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dsi\CARLOS_FANALCA\"/>
    </mc:Choice>
  </mc:AlternateContent>
  <bookViews>
    <workbookView xWindow="480" yWindow="1440" windowWidth="11715" windowHeight="3615" tabRatio="654" firstSheet="3" activeTab="4" xr2:uid="{00000000-000D-0000-FFFF-FFFF00000000}"/>
  </bookViews>
  <sheets>
    <sheet name="Estandar de Rutas" sheetId="11" state="hidden" r:id="rId1"/>
    <sheet name="PASO 2 DISPONIBILIDAD" sheetId="6" r:id="rId2"/>
    <sheet name="PASO 3 MOTOS DESCUENTO" sheetId="29" r:id="rId3"/>
    <sheet name="PASO 4 INF DE CUPOS" sheetId="2" r:id="rId4"/>
    <sheet name="DATOS" sheetId="8" r:id="rId5"/>
    <sheet name="Hoja1" sheetId="33" state="hidden" r:id="rId6"/>
    <sheet name="Status Rutas" sheetId="16" r:id="rId7"/>
    <sheet name="PROGRAMACION DE VIAJES" sheetId="18" r:id="rId8"/>
    <sheet name="INF. CLIENTE" sheetId="22" r:id="rId9"/>
    <sheet name="INF. PORTERIA" sheetId="24" r:id="rId10"/>
    <sheet name="DIRECTORIO" sheetId="30" r:id="rId11"/>
    <sheet name="INF. CARTERA" sheetId="32" r:id="rId12"/>
    <sheet name="ESTANDAR" sheetId="19" state="hidden" r:id="rId13"/>
    <sheet name="Hoja4" sheetId="26" state="hidden" r:id="rId14"/>
  </sheets>
  <externalReferences>
    <externalReference r:id="rId15"/>
    <externalReference r:id="rId16"/>
  </externalReferences>
  <definedNames>
    <definedName name="_xlnm._FilterDatabase" localSheetId="10" hidden="1">DIRECTORIO!$A$1:$S$343</definedName>
    <definedName name="_xlnm._FilterDatabase" localSheetId="0" hidden="1">'Estandar de Rutas'!$A$1:$D$263</definedName>
    <definedName name="_xlnm._FilterDatabase" localSheetId="13" hidden="1">Hoja4!$I$3:$I$176</definedName>
    <definedName name="_xlnm._FilterDatabase" localSheetId="9" hidden="1">'INF. PORTERIA'!$F$24:$J$39</definedName>
    <definedName name="_xlnm.Print_Area" localSheetId="7">'PROGRAMACION DE VIAJES'!$E$17</definedName>
  </definedNames>
  <calcPr calcId="171027"/>
  <pivotCaches>
    <pivotCache cacheId="0" r:id="rId17"/>
  </pivotCaches>
</workbook>
</file>

<file path=xl/calcChain.xml><?xml version="1.0" encoding="utf-8"?>
<calcChain xmlns="http://schemas.openxmlformats.org/spreadsheetml/2006/main"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W102" i="8" l="1"/>
  <c r="W103" i="8"/>
  <c r="D47" i="2" l="1"/>
  <c r="D38" i="2"/>
  <c r="D11" i="2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49" i="24"/>
  <c r="AB3" i="8" l="1"/>
  <c r="AA3" i="8" s="1"/>
  <c r="AB4" i="8"/>
  <c r="AA4" i="8" s="1"/>
  <c r="AB5" i="8"/>
  <c r="AA5" i="8" s="1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8" i="8"/>
  <c r="AA28" i="8" s="1"/>
  <c r="AB29" i="8"/>
  <c r="AA29" i="8" s="1"/>
  <c r="AB30" i="8"/>
  <c r="AA30" i="8" s="1"/>
  <c r="AB31" i="8"/>
  <c r="AA31" i="8" s="1"/>
  <c r="AB32" i="8"/>
  <c r="AA32" i="8" s="1"/>
  <c r="AB33" i="8"/>
  <c r="AA33" i="8" s="1"/>
  <c r="AB34" i="8"/>
  <c r="AA34" i="8" s="1"/>
  <c r="AB35" i="8"/>
  <c r="AA35" i="8" s="1"/>
  <c r="AB36" i="8"/>
  <c r="AA36" i="8" s="1"/>
  <c r="AB37" i="8"/>
  <c r="AA37" i="8" s="1"/>
  <c r="AB38" i="8"/>
  <c r="AA38" i="8" s="1"/>
  <c r="AB39" i="8"/>
  <c r="AA39" i="8" s="1"/>
  <c r="AB40" i="8"/>
  <c r="AA40" i="8" s="1"/>
  <c r="AB41" i="8"/>
  <c r="AA41" i="8" s="1"/>
  <c r="AB42" i="8"/>
  <c r="AA42" i="8" s="1"/>
  <c r="AB43" i="8"/>
  <c r="AA43" i="8" s="1"/>
  <c r="AB44" i="8"/>
  <c r="AA44" i="8" s="1"/>
  <c r="AB45" i="8"/>
  <c r="AA45" i="8" s="1"/>
  <c r="AB46" i="8"/>
  <c r="AA46" i="8" s="1"/>
  <c r="AB47" i="8"/>
  <c r="AA47" i="8" s="1"/>
  <c r="AB48" i="8"/>
  <c r="AA48" i="8" s="1"/>
  <c r="AB49" i="8"/>
  <c r="AA49" i="8" s="1"/>
  <c r="AB50" i="8"/>
  <c r="AA50" i="8" s="1"/>
  <c r="AB51" i="8"/>
  <c r="AA51" i="8" s="1"/>
  <c r="AB52" i="8"/>
  <c r="AA52" i="8" s="1"/>
  <c r="AB53" i="8"/>
  <c r="AA53" i="8" s="1"/>
  <c r="AB54" i="8"/>
  <c r="AA54" i="8" s="1"/>
  <c r="AB55" i="8"/>
  <c r="AA55" i="8" s="1"/>
  <c r="AB56" i="8"/>
  <c r="AA56" i="8" s="1"/>
  <c r="AB57" i="8"/>
  <c r="AA57" i="8" s="1"/>
  <c r="AB58" i="8"/>
  <c r="AA58" i="8" s="1"/>
  <c r="AB59" i="8"/>
  <c r="AA59" i="8" s="1"/>
  <c r="AB60" i="8"/>
  <c r="AA60" i="8" s="1"/>
  <c r="AB61" i="8"/>
  <c r="AA61" i="8" s="1"/>
  <c r="AB62" i="8"/>
  <c r="AA62" i="8" s="1"/>
  <c r="AB63" i="8"/>
  <c r="AA63" i="8" s="1"/>
  <c r="AB64" i="8"/>
  <c r="AA64" i="8" s="1"/>
  <c r="AB65" i="8"/>
  <c r="AA65" i="8" s="1"/>
  <c r="AB66" i="8"/>
  <c r="AA66" i="8" s="1"/>
  <c r="AB67" i="8"/>
  <c r="AA67" i="8" s="1"/>
  <c r="AB68" i="8"/>
  <c r="AA68" i="8" s="1"/>
  <c r="AB69" i="8"/>
  <c r="AA69" i="8" s="1"/>
  <c r="AB70" i="8"/>
  <c r="AA70" i="8" s="1"/>
  <c r="AB71" i="8"/>
  <c r="AA71" i="8" s="1"/>
  <c r="AB72" i="8"/>
  <c r="AA72" i="8" s="1"/>
  <c r="AB73" i="8"/>
  <c r="AA73" i="8" s="1"/>
  <c r="AB74" i="8"/>
  <c r="AA74" i="8" s="1"/>
  <c r="AB75" i="8"/>
  <c r="AA75" i="8" s="1"/>
  <c r="AB76" i="8"/>
  <c r="AA76" i="8" s="1"/>
  <c r="AB77" i="8"/>
  <c r="AA77" i="8" s="1"/>
  <c r="AB78" i="8"/>
  <c r="AA78" i="8" s="1"/>
  <c r="AB79" i="8"/>
  <c r="AA79" i="8" s="1"/>
  <c r="AB80" i="8"/>
  <c r="AA80" i="8" s="1"/>
  <c r="AB81" i="8"/>
  <c r="AA81" i="8" s="1"/>
  <c r="AB82" i="8"/>
  <c r="AA82" i="8" s="1"/>
  <c r="AB83" i="8"/>
  <c r="AA83" i="8" s="1"/>
  <c r="AB84" i="8"/>
  <c r="AA84" i="8" s="1"/>
  <c r="AB85" i="8"/>
  <c r="AA85" i="8" s="1"/>
  <c r="AB86" i="8"/>
  <c r="AA86" i="8" s="1"/>
  <c r="AB87" i="8"/>
  <c r="AA87" i="8" s="1"/>
  <c r="AB88" i="8"/>
  <c r="AA88" i="8" s="1"/>
  <c r="AB89" i="8"/>
  <c r="AA89" i="8" s="1"/>
  <c r="AB90" i="8"/>
  <c r="AA90" i="8" s="1"/>
  <c r="AB91" i="8"/>
  <c r="AA91" i="8" s="1"/>
  <c r="AB92" i="8"/>
  <c r="AA92" i="8" s="1"/>
  <c r="AB93" i="8"/>
  <c r="AA93" i="8" s="1"/>
  <c r="AB94" i="8"/>
  <c r="AA94" i="8" s="1"/>
  <c r="AB95" i="8"/>
  <c r="AA95" i="8" s="1"/>
  <c r="AB96" i="8"/>
  <c r="AA96" i="8" s="1"/>
  <c r="AB97" i="8"/>
  <c r="AA97" i="8" s="1"/>
  <c r="AB98" i="8"/>
  <c r="AA98" i="8" s="1"/>
  <c r="AB99" i="8"/>
  <c r="AA99" i="8" s="1"/>
  <c r="AB100" i="8"/>
  <c r="AA100" i="8" s="1"/>
  <c r="AB101" i="8"/>
  <c r="AA101" i="8" s="1"/>
  <c r="AB102" i="8"/>
  <c r="AA102" i="8" s="1"/>
  <c r="AB103" i="8"/>
  <c r="AA103" i="8" s="1"/>
  <c r="AB104" i="8"/>
  <c r="AA104" i="8" s="1"/>
  <c r="AB105" i="8"/>
  <c r="AA105" i="8" s="1"/>
  <c r="AB106" i="8"/>
  <c r="AA106" i="8" s="1"/>
  <c r="AB107" i="8"/>
  <c r="AA107" i="8" s="1"/>
  <c r="AB108" i="8"/>
  <c r="AA108" i="8" s="1"/>
  <c r="AB109" i="8"/>
  <c r="AA109" i="8" s="1"/>
  <c r="AB110" i="8"/>
  <c r="AA110" i="8" s="1"/>
  <c r="AB111" i="8"/>
  <c r="AA111" i="8" s="1"/>
  <c r="AB112" i="8"/>
  <c r="AA112" i="8" s="1"/>
  <c r="AB113" i="8"/>
  <c r="AA113" i="8" s="1"/>
  <c r="AB114" i="8"/>
  <c r="AA114" i="8" s="1"/>
  <c r="AB115" i="8"/>
  <c r="AA115" i="8" s="1"/>
  <c r="AB116" i="8"/>
  <c r="AA116" i="8" s="1"/>
  <c r="AB117" i="8"/>
  <c r="AA117" i="8" s="1"/>
  <c r="AB118" i="8"/>
  <c r="AA118" i="8" s="1"/>
  <c r="AB119" i="8"/>
  <c r="AA119" i="8" s="1"/>
  <c r="AB120" i="8"/>
  <c r="AA120" i="8" s="1"/>
  <c r="AB121" i="8"/>
  <c r="AA121" i="8" s="1"/>
  <c r="AB122" i="8"/>
  <c r="AA122" i="8" s="1"/>
  <c r="AB123" i="8"/>
  <c r="AA123" i="8" s="1"/>
  <c r="AB124" i="8"/>
  <c r="AA124" i="8" s="1"/>
  <c r="AB125" i="8"/>
  <c r="AA125" i="8" s="1"/>
  <c r="AB126" i="8"/>
  <c r="AA126" i="8" s="1"/>
  <c r="AB127" i="8"/>
  <c r="AA127" i="8" s="1"/>
  <c r="AB128" i="8"/>
  <c r="AA128" i="8" s="1"/>
  <c r="AB129" i="8"/>
  <c r="AA129" i="8" s="1"/>
  <c r="AB130" i="8"/>
  <c r="AA130" i="8" s="1"/>
  <c r="AB131" i="8"/>
  <c r="AA131" i="8" s="1"/>
  <c r="AB132" i="8"/>
  <c r="AA132" i="8" s="1"/>
  <c r="AB133" i="8"/>
  <c r="AA133" i="8" s="1"/>
  <c r="AB134" i="8"/>
  <c r="AA134" i="8" s="1"/>
  <c r="AB135" i="8"/>
  <c r="AA135" i="8" s="1"/>
  <c r="AB136" i="8"/>
  <c r="AA136" i="8" s="1"/>
  <c r="AB137" i="8"/>
  <c r="AA137" i="8" s="1"/>
  <c r="AB138" i="8"/>
  <c r="AA138" i="8" s="1"/>
  <c r="AB139" i="8"/>
  <c r="AA139" i="8" s="1"/>
  <c r="AB140" i="8"/>
  <c r="AA140" i="8" s="1"/>
  <c r="AB141" i="8"/>
  <c r="AA141" i="8" s="1"/>
  <c r="AB142" i="8"/>
  <c r="AA142" i="8" s="1"/>
  <c r="AB143" i="8"/>
  <c r="AA143" i="8" s="1"/>
  <c r="AB144" i="8"/>
  <c r="AA144" i="8" s="1"/>
  <c r="AB145" i="8"/>
  <c r="AA145" i="8" s="1"/>
  <c r="AB146" i="8"/>
  <c r="AA146" i="8" s="1"/>
  <c r="AB147" i="8"/>
  <c r="AA147" i="8" s="1"/>
  <c r="AB148" i="8"/>
  <c r="AA148" i="8" s="1"/>
  <c r="AB149" i="8"/>
  <c r="AA149" i="8" s="1"/>
  <c r="AB150" i="8"/>
  <c r="AA150" i="8" s="1"/>
  <c r="AB151" i="8"/>
  <c r="AA151" i="8" s="1"/>
  <c r="AB152" i="8"/>
  <c r="AA152" i="8" s="1"/>
  <c r="AB153" i="8"/>
  <c r="AA153" i="8" s="1"/>
  <c r="AB154" i="8"/>
  <c r="AA154" i="8" s="1"/>
  <c r="AB155" i="8"/>
  <c r="AA155" i="8" s="1"/>
  <c r="AB156" i="8"/>
  <c r="AA156" i="8" s="1"/>
  <c r="AB157" i="8"/>
  <c r="AA157" i="8" s="1"/>
  <c r="AB158" i="8"/>
  <c r="AA158" i="8" s="1"/>
  <c r="AB159" i="8"/>
  <c r="AA159" i="8" s="1"/>
  <c r="AB160" i="8"/>
  <c r="AA160" i="8" s="1"/>
  <c r="AB161" i="8"/>
  <c r="AA161" i="8" s="1"/>
  <c r="AB162" i="8"/>
  <c r="AA162" i="8" s="1"/>
  <c r="AB163" i="8"/>
  <c r="AA163" i="8" s="1"/>
  <c r="AB164" i="8"/>
  <c r="AA164" i="8" s="1"/>
  <c r="AB165" i="8"/>
  <c r="AA165" i="8" s="1"/>
  <c r="AB166" i="8"/>
  <c r="AA166" i="8" s="1"/>
  <c r="AB167" i="8"/>
  <c r="AA167" i="8" s="1"/>
  <c r="AB168" i="8"/>
  <c r="AA168" i="8" s="1"/>
  <c r="AB169" i="8"/>
  <c r="AA169" i="8" s="1"/>
  <c r="AB170" i="8"/>
  <c r="AA170" i="8" s="1"/>
  <c r="AB171" i="8"/>
  <c r="AA171" i="8" s="1"/>
  <c r="AB172" i="8"/>
  <c r="AA172" i="8" s="1"/>
  <c r="AB173" i="8"/>
  <c r="AA173" i="8" s="1"/>
  <c r="AB174" i="8"/>
  <c r="AA174" i="8" s="1"/>
  <c r="AB175" i="8"/>
  <c r="AA175" i="8" s="1"/>
  <c r="AB176" i="8"/>
  <c r="AA176" i="8" s="1"/>
  <c r="AB177" i="8"/>
  <c r="AA177" i="8" s="1"/>
  <c r="AB178" i="8"/>
  <c r="AA178" i="8" s="1"/>
  <c r="AB179" i="8"/>
  <c r="AA179" i="8" s="1"/>
  <c r="AB180" i="8"/>
  <c r="AA180" i="8" s="1"/>
  <c r="AB181" i="8"/>
  <c r="AA181" i="8" s="1"/>
  <c r="AB182" i="8"/>
  <c r="AA182" i="8" s="1"/>
  <c r="AB183" i="8"/>
  <c r="AA183" i="8" s="1"/>
  <c r="AB184" i="8"/>
  <c r="AA184" i="8" s="1"/>
  <c r="AB185" i="8"/>
  <c r="AA185" i="8" s="1"/>
  <c r="AB186" i="8"/>
  <c r="AA186" i="8" s="1"/>
  <c r="AB187" i="8"/>
  <c r="AA187" i="8" s="1"/>
  <c r="AB188" i="8"/>
  <c r="AA188" i="8" s="1"/>
  <c r="AB189" i="8"/>
  <c r="AA189" i="8" s="1"/>
  <c r="AB190" i="8"/>
  <c r="AA190" i="8" s="1"/>
  <c r="AB191" i="8"/>
  <c r="AA191" i="8" s="1"/>
  <c r="AB192" i="8"/>
  <c r="AA192" i="8" s="1"/>
  <c r="AB193" i="8"/>
  <c r="AA193" i="8" s="1"/>
  <c r="AB194" i="8"/>
  <c r="AA194" i="8" s="1"/>
  <c r="AB195" i="8"/>
  <c r="AA195" i="8" s="1"/>
  <c r="AB196" i="8"/>
  <c r="AA196" i="8" s="1"/>
  <c r="AB197" i="8"/>
  <c r="AA197" i="8" s="1"/>
  <c r="AB198" i="8"/>
  <c r="AA198" i="8" s="1"/>
  <c r="AB199" i="8"/>
  <c r="AA199" i="8" s="1"/>
  <c r="AB200" i="8"/>
  <c r="AA200" i="8" s="1"/>
  <c r="AB201" i="8"/>
  <c r="AA201" i="8" s="1"/>
  <c r="AB202" i="8"/>
  <c r="AA202" i="8" s="1"/>
  <c r="AB203" i="8"/>
  <c r="AA203" i="8" s="1"/>
  <c r="AB204" i="8"/>
  <c r="AA204" i="8" s="1"/>
  <c r="AB205" i="8"/>
  <c r="AA205" i="8" s="1"/>
  <c r="AB206" i="8"/>
  <c r="AA206" i="8" s="1"/>
  <c r="AB207" i="8"/>
  <c r="AA207" i="8" s="1"/>
  <c r="AB208" i="8"/>
  <c r="AA208" i="8" s="1"/>
  <c r="AB209" i="8"/>
  <c r="AA209" i="8" s="1"/>
  <c r="AB210" i="8"/>
  <c r="AA210" i="8" s="1"/>
  <c r="AB211" i="8"/>
  <c r="AA211" i="8" s="1"/>
  <c r="AB212" i="8"/>
  <c r="AA212" i="8" s="1"/>
  <c r="AB213" i="8"/>
  <c r="AA213" i="8" s="1"/>
  <c r="AB214" i="8"/>
  <c r="AA214" i="8" s="1"/>
  <c r="AB215" i="8"/>
  <c r="AA215" i="8" s="1"/>
  <c r="AB216" i="8"/>
  <c r="AA216" i="8" s="1"/>
  <c r="AB217" i="8"/>
  <c r="AA217" i="8" s="1"/>
  <c r="AB218" i="8"/>
  <c r="AA218" i="8" s="1"/>
  <c r="AB219" i="8"/>
  <c r="AA219" i="8" s="1"/>
  <c r="AB220" i="8"/>
  <c r="AA220" i="8" s="1"/>
  <c r="AB221" i="8"/>
  <c r="AA221" i="8" s="1"/>
  <c r="AB222" i="8"/>
  <c r="AA222" i="8" s="1"/>
  <c r="AB223" i="8"/>
  <c r="AA223" i="8" s="1"/>
  <c r="AB224" i="8"/>
  <c r="AA224" i="8" s="1"/>
  <c r="AB225" i="8"/>
  <c r="AA225" i="8" s="1"/>
  <c r="AB226" i="8"/>
  <c r="AA226" i="8" s="1"/>
  <c r="AB227" i="8"/>
  <c r="AA227" i="8" s="1"/>
  <c r="AB228" i="8"/>
  <c r="AA228" i="8" s="1"/>
  <c r="AB229" i="8"/>
  <c r="AA229" i="8" s="1"/>
  <c r="AB230" i="8"/>
  <c r="AA230" i="8" s="1"/>
  <c r="AB231" i="8"/>
  <c r="AA231" i="8" s="1"/>
  <c r="AB232" i="8"/>
  <c r="AA232" i="8" s="1"/>
  <c r="AB233" i="8"/>
  <c r="AA233" i="8" s="1"/>
  <c r="AB234" i="8"/>
  <c r="AA234" i="8" s="1"/>
  <c r="AB235" i="8"/>
  <c r="AA235" i="8" s="1"/>
  <c r="AB236" i="8"/>
  <c r="AA236" i="8" s="1"/>
  <c r="AB237" i="8"/>
  <c r="AA237" i="8" s="1"/>
  <c r="AB238" i="8"/>
  <c r="AA238" i="8" s="1"/>
  <c r="AB239" i="8"/>
  <c r="AA239" i="8" s="1"/>
  <c r="AB240" i="8"/>
  <c r="AA240" i="8" s="1"/>
  <c r="AB241" i="8"/>
  <c r="AA241" i="8" s="1"/>
  <c r="AB242" i="8"/>
  <c r="AA242" i="8" s="1"/>
  <c r="AB243" i="8"/>
  <c r="AA243" i="8" s="1"/>
  <c r="AB244" i="8"/>
  <c r="AA244" i="8" s="1"/>
  <c r="AB245" i="8"/>
  <c r="AA245" i="8" s="1"/>
  <c r="AB246" i="8"/>
  <c r="AA246" i="8" s="1"/>
  <c r="AB247" i="8"/>
  <c r="AA247" i="8" s="1"/>
  <c r="AB248" i="8"/>
  <c r="AA248" i="8" s="1"/>
  <c r="AB249" i="8"/>
  <c r="AA249" i="8" s="1"/>
  <c r="AB250" i="8"/>
  <c r="AA250" i="8" s="1"/>
  <c r="AB251" i="8"/>
  <c r="AA251" i="8" s="1"/>
  <c r="AB252" i="8"/>
  <c r="AA252" i="8" s="1"/>
  <c r="AB253" i="8"/>
  <c r="AA253" i="8" s="1"/>
  <c r="AB254" i="8"/>
  <c r="AA254" i="8" s="1"/>
  <c r="AB255" i="8"/>
  <c r="AA255" i="8" s="1"/>
  <c r="AB256" i="8"/>
  <c r="AA256" i="8" s="1"/>
  <c r="AB257" i="8"/>
  <c r="AA257" i="8" s="1"/>
  <c r="AB258" i="8"/>
  <c r="AA258" i="8" s="1"/>
  <c r="AB259" i="8"/>
  <c r="AA259" i="8" s="1"/>
  <c r="AB260" i="8"/>
  <c r="AA260" i="8" s="1"/>
  <c r="AB261" i="8"/>
  <c r="AA261" i="8" s="1"/>
  <c r="AB262" i="8"/>
  <c r="AA262" i="8" s="1"/>
  <c r="AB263" i="8"/>
  <c r="AA263" i="8" s="1"/>
  <c r="AB264" i="8"/>
  <c r="AA264" i="8" s="1"/>
  <c r="AB265" i="8"/>
  <c r="AA265" i="8" s="1"/>
  <c r="AB266" i="8"/>
  <c r="AA266" i="8" s="1"/>
  <c r="AB267" i="8"/>
  <c r="AA267" i="8" s="1"/>
  <c r="AB268" i="8"/>
  <c r="AA268" i="8" s="1"/>
  <c r="AB269" i="8"/>
  <c r="AA269" i="8" s="1"/>
  <c r="AB270" i="8"/>
  <c r="AA270" i="8" s="1"/>
  <c r="AB271" i="8"/>
  <c r="AA271" i="8" s="1"/>
  <c r="AB272" i="8"/>
  <c r="AA272" i="8" s="1"/>
  <c r="AB273" i="8"/>
  <c r="AA273" i="8" s="1"/>
  <c r="AB274" i="8"/>
  <c r="AA274" i="8" s="1"/>
  <c r="AB275" i="8"/>
  <c r="AA275" i="8" s="1"/>
  <c r="AB276" i="8"/>
  <c r="AA276" i="8" s="1"/>
  <c r="AB277" i="8"/>
  <c r="AA277" i="8" s="1"/>
  <c r="AB278" i="8"/>
  <c r="AA278" i="8" s="1"/>
  <c r="AB279" i="8"/>
  <c r="AA279" i="8" s="1"/>
  <c r="AB280" i="8"/>
  <c r="AA280" i="8" s="1"/>
  <c r="AB281" i="8"/>
  <c r="AA281" i="8" s="1"/>
  <c r="AB282" i="8"/>
  <c r="AA282" i="8" s="1"/>
  <c r="AB283" i="8"/>
  <c r="AA283" i="8" s="1"/>
  <c r="AB284" i="8"/>
  <c r="AA284" i="8" s="1"/>
  <c r="AB285" i="8"/>
  <c r="AA285" i="8" s="1"/>
  <c r="AB286" i="8"/>
  <c r="AA286" i="8" s="1"/>
  <c r="AB287" i="8"/>
  <c r="AA287" i="8" s="1"/>
  <c r="AB288" i="8"/>
  <c r="AA288" i="8" s="1"/>
  <c r="AB289" i="8"/>
  <c r="AA289" i="8" s="1"/>
  <c r="AB290" i="8"/>
  <c r="AA290" i="8" s="1"/>
  <c r="AB291" i="8"/>
  <c r="AA291" i="8" s="1"/>
  <c r="AB292" i="8"/>
  <c r="AA292" i="8" s="1"/>
  <c r="AB293" i="8"/>
  <c r="AA293" i="8" s="1"/>
  <c r="AB294" i="8"/>
  <c r="AA294" i="8" s="1"/>
  <c r="AB295" i="8"/>
  <c r="AA295" i="8" s="1"/>
  <c r="AB296" i="8"/>
  <c r="AA296" i="8" s="1"/>
  <c r="AB297" i="8"/>
  <c r="AA297" i="8" s="1"/>
  <c r="AB298" i="8"/>
  <c r="AA298" i="8" s="1"/>
  <c r="AB299" i="8"/>
  <c r="AA299" i="8" s="1"/>
  <c r="AB300" i="8"/>
  <c r="AA300" i="8" s="1"/>
  <c r="AB301" i="8"/>
  <c r="AA301" i="8" s="1"/>
  <c r="AB302" i="8"/>
  <c r="AA302" i="8" s="1"/>
  <c r="AB303" i="8"/>
  <c r="AA303" i="8" s="1"/>
  <c r="AB304" i="8"/>
  <c r="AA304" i="8" s="1"/>
  <c r="AB305" i="8"/>
  <c r="AA305" i="8" s="1"/>
  <c r="AB306" i="8"/>
  <c r="AA306" i="8" s="1"/>
  <c r="AB307" i="8"/>
  <c r="AA307" i="8" s="1"/>
  <c r="AB308" i="8"/>
  <c r="AA308" i="8" s="1"/>
  <c r="AB309" i="8"/>
  <c r="AA309" i="8" s="1"/>
  <c r="AB310" i="8"/>
  <c r="AA310" i="8" s="1"/>
  <c r="AB311" i="8"/>
  <c r="AA311" i="8" s="1"/>
  <c r="AB312" i="8"/>
  <c r="AA312" i="8" s="1"/>
  <c r="AB313" i="8"/>
  <c r="AA313" i="8" s="1"/>
  <c r="AB314" i="8"/>
  <c r="AA314" i="8" s="1"/>
  <c r="AB315" i="8"/>
  <c r="AA315" i="8" s="1"/>
  <c r="AB316" i="8"/>
  <c r="AA316" i="8" s="1"/>
  <c r="AB317" i="8"/>
  <c r="AA317" i="8" s="1"/>
  <c r="AB318" i="8"/>
  <c r="AA318" i="8" s="1"/>
  <c r="AB319" i="8"/>
  <c r="AA319" i="8" s="1"/>
  <c r="AB320" i="8"/>
  <c r="AA320" i="8" s="1"/>
  <c r="AB321" i="8"/>
  <c r="AA321" i="8" s="1"/>
  <c r="AB322" i="8"/>
  <c r="AA322" i="8" s="1"/>
  <c r="AB323" i="8"/>
  <c r="AA323" i="8" s="1"/>
  <c r="AB324" i="8"/>
  <c r="AA324" i="8" s="1"/>
  <c r="AB325" i="8"/>
  <c r="AA325" i="8" s="1"/>
  <c r="AB326" i="8"/>
  <c r="AA326" i="8" s="1"/>
  <c r="AB327" i="8"/>
  <c r="AA327" i="8" s="1"/>
  <c r="AB328" i="8"/>
  <c r="AA328" i="8" s="1"/>
  <c r="AB329" i="8"/>
  <c r="AA329" i="8" s="1"/>
  <c r="AB330" i="8"/>
  <c r="AA330" i="8" s="1"/>
  <c r="AB331" i="8"/>
  <c r="AA331" i="8" s="1"/>
  <c r="AB332" i="8"/>
  <c r="AA332" i="8" s="1"/>
  <c r="AB333" i="8"/>
  <c r="AA333" i="8" s="1"/>
  <c r="AB334" i="8"/>
  <c r="AA334" i="8" s="1"/>
  <c r="AB335" i="8"/>
  <c r="AA335" i="8" s="1"/>
  <c r="AB336" i="8"/>
  <c r="AA336" i="8" s="1"/>
  <c r="AB337" i="8"/>
  <c r="AA337" i="8" s="1"/>
  <c r="AB338" i="8"/>
  <c r="AA338" i="8" s="1"/>
  <c r="AB339" i="8"/>
  <c r="AA339" i="8" s="1"/>
  <c r="AB340" i="8"/>
  <c r="AA340" i="8" s="1"/>
  <c r="AB341" i="8"/>
  <c r="AA341" i="8" s="1"/>
  <c r="AB342" i="8"/>
  <c r="AA342" i="8" s="1"/>
  <c r="AB343" i="8"/>
  <c r="AA343" i="8" s="1"/>
  <c r="AB344" i="8"/>
  <c r="AA344" i="8" s="1"/>
  <c r="AB345" i="8"/>
  <c r="AA345" i="8" s="1"/>
  <c r="AB346" i="8"/>
  <c r="AA346" i="8" s="1"/>
  <c r="AB347" i="8"/>
  <c r="AA347" i="8" s="1"/>
  <c r="AB348" i="8"/>
  <c r="AA348" i="8" s="1"/>
  <c r="AB349" i="8"/>
  <c r="AA349" i="8" s="1"/>
  <c r="AB350" i="8"/>
  <c r="AA350" i="8" s="1"/>
  <c r="AB351" i="8"/>
  <c r="AA351" i="8" s="1"/>
  <c r="AB352" i="8"/>
  <c r="AA352" i="8" s="1"/>
  <c r="AB353" i="8"/>
  <c r="AA353" i="8" s="1"/>
  <c r="AB354" i="8"/>
  <c r="AA354" i="8" s="1"/>
  <c r="AB355" i="8"/>
  <c r="AA355" i="8" s="1"/>
  <c r="AB356" i="8"/>
  <c r="AA356" i="8" s="1"/>
  <c r="AB357" i="8"/>
  <c r="AA357" i="8" s="1"/>
  <c r="AB358" i="8"/>
  <c r="AA358" i="8" s="1"/>
  <c r="AB359" i="8"/>
  <c r="AA359" i="8" s="1"/>
  <c r="AB360" i="8"/>
  <c r="AA360" i="8" s="1"/>
  <c r="AB361" i="8"/>
  <c r="AA361" i="8" s="1"/>
  <c r="AB362" i="8"/>
  <c r="AA362" i="8" s="1"/>
  <c r="AB363" i="8"/>
  <c r="AA363" i="8" s="1"/>
  <c r="AB364" i="8"/>
  <c r="AA364" i="8" s="1"/>
  <c r="AB365" i="8"/>
  <c r="AA365" i="8" s="1"/>
  <c r="AB366" i="8"/>
  <c r="AA366" i="8" s="1"/>
  <c r="AB367" i="8"/>
  <c r="AA367" i="8" s="1"/>
  <c r="AB368" i="8"/>
  <c r="AA368" i="8" s="1"/>
  <c r="AB369" i="8"/>
  <c r="AA369" i="8" s="1"/>
  <c r="AB370" i="8"/>
  <c r="AA370" i="8" s="1"/>
  <c r="AB371" i="8"/>
  <c r="AA371" i="8" s="1"/>
  <c r="AB372" i="8"/>
  <c r="AA372" i="8" s="1"/>
  <c r="AB373" i="8"/>
  <c r="AA373" i="8" s="1"/>
  <c r="AB374" i="8"/>
  <c r="AA374" i="8" s="1"/>
  <c r="AB375" i="8"/>
  <c r="AA375" i="8" s="1"/>
  <c r="AB376" i="8"/>
  <c r="AA376" i="8" s="1"/>
  <c r="AB377" i="8"/>
  <c r="AA377" i="8" s="1"/>
  <c r="AB378" i="8"/>
  <c r="AA378" i="8" s="1"/>
  <c r="AB379" i="8"/>
  <c r="AA379" i="8" s="1"/>
  <c r="AB380" i="8"/>
  <c r="AA380" i="8" s="1"/>
  <c r="AB381" i="8"/>
  <c r="AA381" i="8" s="1"/>
  <c r="AB382" i="8"/>
  <c r="AA382" i="8" s="1"/>
  <c r="AB383" i="8"/>
  <c r="AA383" i="8" s="1"/>
  <c r="AB384" i="8"/>
  <c r="AA384" i="8" s="1"/>
  <c r="AB385" i="8"/>
  <c r="AA385" i="8" s="1"/>
  <c r="AB386" i="8"/>
  <c r="AA386" i="8" s="1"/>
  <c r="AB387" i="8"/>
  <c r="AA387" i="8" s="1"/>
  <c r="AB388" i="8"/>
  <c r="AA388" i="8" s="1"/>
  <c r="AB389" i="8"/>
  <c r="AA389" i="8" s="1"/>
  <c r="AB390" i="8"/>
  <c r="AA390" i="8" s="1"/>
  <c r="AB391" i="8"/>
  <c r="AA391" i="8" s="1"/>
  <c r="AB392" i="8"/>
  <c r="AA392" i="8" s="1"/>
  <c r="AB393" i="8"/>
  <c r="AA393" i="8" s="1"/>
  <c r="AB394" i="8"/>
  <c r="AA394" i="8" s="1"/>
  <c r="AB395" i="8"/>
  <c r="AA395" i="8" s="1"/>
  <c r="AB396" i="8"/>
  <c r="AA396" i="8" s="1"/>
  <c r="AB397" i="8"/>
  <c r="AA397" i="8" s="1"/>
  <c r="AB398" i="8"/>
  <c r="AA398" i="8" s="1"/>
  <c r="AB399" i="8"/>
  <c r="AA399" i="8" s="1"/>
  <c r="AB400" i="8"/>
  <c r="AA400" i="8" s="1"/>
  <c r="AB401" i="8"/>
  <c r="AA401" i="8" s="1"/>
  <c r="AB402" i="8"/>
  <c r="AA402" i="8" s="1"/>
  <c r="AB403" i="8"/>
  <c r="AA403" i="8" s="1"/>
  <c r="AB404" i="8"/>
  <c r="AA404" i="8" s="1"/>
  <c r="AB405" i="8"/>
  <c r="AA405" i="8" s="1"/>
  <c r="AB406" i="8"/>
  <c r="AA406" i="8" s="1"/>
  <c r="AB407" i="8"/>
  <c r="AA407" i="8" s="1"/>
  <c r="AB408" i="8"/>
  <c r="AA408" i="8" s="1"/>
  <c r="AB409" i="8"/>
  <c r="AA409" i="8" s="1"/>
  <c r="AB410" i="8"/>
  <c r="AA410" i="8" s="1"/>
  <c r="AB411" i="8"/>
  <c r="AA411" i="8" s="1"/>
  <c r="AB412" i="8"/>
  <c r="AA412" i="8" s="1"/>
  <c r="AB413" i="8"/>
  <c r="AA413" i="8" s="1"/>
  <c r="AB414" i="8"/>
  <c r="AA414" i="8" s="1"/>
  <c r="AB415" i="8"/>
  <c r="AA415" i="8" s="1"/>
  <c r="AB416" i="8"/>
  <c r="AA416" i="8" s="1"/>
  <c r="AB417" i="8"/>
  <c r="AA417" i="8" s="1"/>
  <c r="AB418" i="8"/>
  <c r="AA418" i="8" s="1"/>
  <c r="AB419" i="8"/>
  <c r="AA419" i="8" s="1"/>
  <c r="AB420" i="8"/>
  <c r="AA420" i="8" s="1"/>
  <c r="AB421" i="8"/>
  <c r="AA421" i="8" s="1"/>
  <c r="AB422" i="8"/>
  <c r="AA422" i="8" s="1"/>
  <c r="AB423" i="8"/>
  <c r="AA423" i="8" s="1"/>
  <c r="AB424" i="8"/>
  <c r="AA424" i="8" s="1"/>
  <c r="AB425" i="8"/>
  <c r="AA425" i="8" s="1"/>
  <c r="AB426" i="8"/>
  <c r="AA426" i="8" s="1"/>
  <c r="AB427" i="8"/>
  <c r="AA427" i="8" s="1"/>
  <c r="AB428" i="8"/>
  <c r="AA428" i="8" s="1"/>
  <c r="AB429" i="8"/>
  <c r="AA429" i="8" s="1"/>
  <c r="AB430" i="8"/>
  <c r="AA430" i="8" s="1"/>
  <c r="AB431" i="8"/>
  <c r="AA431" i="8" s="1"/>
  <c r="AB432" i="8"/>
  <c r="AA432" i="8" s="1"/>
  <c r="AB433" i="8"/>
  <c r="AA433" i="8" s="1"/>
  <c r="AB434" i="8"/>
  <c r="AA434" i="8" s="1"/>
  <c r="AB435" i="8"/>
  <c r="AA435" i="8" s="1"/>
  <c r="AB436" i="8"/>
  <c r="AA436" i="8" s="1"/>
  <c r="AB437" i="8"/>
  <c r="AA437" i="8" s="1"/>
  <c r="AB438" i="8"/>
  <c r="AA438" i="8" s="1"/>
  <c r="AB439" i="8"/>
  <c r="AA439" i="8" s="1"/>
  <c r="AB440" i="8"/>
  <c r="AA440" i="8" s="1"/>
  <c r="AB441" i="8"/>
  <c r="AA441" i="8" s="1"/>
  <c r="AB442" i="8"/>
  <c r="AA442" i="8" s="1"/>
  <c r="AB443" i="8"/>
  <c r="AA443" i="8" s="1"/>
  <c r="AB444" i="8"/>
  <c r="AA444" i="8" s="1"/>
  <c r="AB445" i="8"/>
  <c r="AA445" i="8" s="1"/>
  <c r="AB446" i="8"/>
  <c r="AA446" i="8" s="1"/>
  <c r="AB447" i="8"/>
  <c r="AA447" i="8" s="1"/>
  <c r="AB448" i="8"/>
  <c r="AA448" i="8" s="1"/>
  <c r="AB449" i="8"/>
  <c r="AA449" i="8" s="1"/>
  <c r="AB450" i="8"/>
  <c r="AA450" i="8" s="1"/>
  <c r="AB451" i="8"/>
  <c r="AA451" i="8" s="1"/>
  <c r="AB452" i="8"/>
  <c r="AA452" i="8" s="1"/>
  <c r="AB453" i="8"/>
  <c r="AA453" i="8" s="1"/>
  <c r="AB454" i="8"/>
  <c r="AA454" i="8" s="1"/>
  <c r="AB455" i="8"/>
  <c r="AA455" i="8" s="1"/>
  <c r="AB456" i="8"/>
  <c r="AA456" i="8" s="1"/>
  <c r="AB457" i="8"/>
  <c r="AA457" i="8" s="1"/>
  <c r="AB458" i="8"/>
  <c r="AA458" i="8" s="1"/>
  <c r="AB459" i="8"/>
  <c r="AA459" i="8" s="1"/>
  <c r="AB460" i="8"/>
  <c r="AA460" i="8" s="1"/>
  <c r="AB461" i="8"/>
  <c r="AA461" i="8" s="1"/>
  <c r="AB462" i="8"/>
  <c r="AA462" i="8" s="1"/>
  <c r="AB463" i="8"/>
  <c r="AA463" i="8" s="1"/>
  <c r="AB464" i="8"/>
  <c r="AA464" i="8" s="1"/>
  <c r="AB465" i="8"/>
  <c r="AA465" i="8" s="1"/>
  <c r="AB466" i="8"/>
  <c r="AA466" i="8" s="1"/>
  <c r="AB467" i="8"/>
  <c r="AA467" i="8" s="1"/>
  <c r="AB468" i="8"/>
  <c r="AA468" i="8" s="1"/>
  <c r="AB469" i="8"/>
  <c r="AA469" i="8" s="1"/>
  <c r="AB470" i="8"/>
  <c r="AA470" i="8" s="1"/>
  <c r="AB471" i="8"/>
  <c r="AA471" i="8" s="1"/>
  <c r="AB472" i="8"/>
  <c r="AA472" i="8" s="1"/>
  <c r="AB473" i="8"/>
  <c r="AA473" i="8" s="1"/>
  <c r="AB474" i="8"/>
  <c r="AA474" i="8" s="1"/>
  <c r="AB475" i="8"/>
  <c r="AA475" i="8" s="1"/>
  <c r="AB476" i="8"/>
  <c r="AA476" i="8" s="1"/>
  <c r="AB477" i="8"/>
  <c r="AA477" i="8" s="1"/>
  <c r="AB478" i="8"/>
  <c r="AA478" i="8" s="1"/>
  <c r="AB479" i="8"/>
  <c r="AA479" i="8" s="1"/>
  <c r="AB480" i="8"/>
  <c r="AA480" i="8" s="1"/>
  <c r="AB481" i="8"/>
  <c r="AA481" i="8" s="1"/>
  <c r="AB482" i="8"/>
  <c r="AA482" i="8" s="1"/>
  <c r="AB483" i="8"/>
  <c r="AA483" i="8" s="1"/>
  <c r="AB484" i="8"/>
  <c r="AA484" i="8" s="1"/>
  <c r="AB485" i="8"/>
  <c r="AA485" i="8" s="1"/>
  <c r="AB486" i="8"/>
  <c r="AA486" i="8" s="1"/>
  <c r="AB487" i="8"/>
  <c r="AA487" i="8" s="1"/>
  <c r="AB488" i="8"/>
  <c r="AA488" i="8" s="1"/>
  <c r="AB489" i="8"/>
  <c r="AA489" i="8" s="1"/>
  <c r="AB490" i="8"/>
  <c r="AA490" i="8" s="1"/>
  <c r="AB491" i="8"/>
  <c r="AA491" i="8" s="1"/>
  <c r="AB492" i="8"/>
  <c r="AA492" i="8" s="1"/>
  <c r="AB493" i="8"/>
  <c r="AA493" i="8" s="1"/>
  <c r="AB494" i="8"/>
  <c r="AA494" i="8" s="1"/>
  <c r="AB495" i="8"/>
  <c r="AA495" i="8" s="1"/>
  <c r="AB496" i="8"/>
  <c r="AA496" i="8" s="1"/>
  <c r="AB497" i="8"/>
  <c r="AA497" i="8" s="1"/>
  <c r="AB498" i="8"/>
  <c r="AA498" i="8" s="1"/>
  <c r="AB499" i="8"/>
  <c r="AA499" i="8" s="1"/>
  <c r="AB500" i="8"/>
  <c r="AA500" i="8" s="1"/>
  <c r="AB501" i="8"/>
  <c r="AA501" i="8" s="1"/>
  <c r="AB502" i="8"/>
  <c r="AA502" i="8" s="1"/>
  <c r="AB503" i="8"/>
  <c r="AA503" i="8" s="1"/>
  <c r="AB504" i="8"/>
  <c r="AA504" i="8" s="1"/>
  <c r="AB505" i="8"/>
  <c r="AA505" i="8" s="1"/>
  <c r="AB506" i="8"/>
  <c r="AA506" i="8" s="1"/>
  <c r="AB507" i="8"/>
  <c r="AA507" i="8" s="1"/>
  <c r="AB508" i="8"/>
  <c r="AA508" i="8" s="1"/>
  <c r="AB509" i="8"/>
  <c r="AA509" i="8" s="1"/>
  <c r="AB510" i="8"/>
  <c r="AA510" i="8" s="1"/>
  <c r="AB511" i="8"/>
  <c r="AA511" i="8" s="1"/>
  <c r="AB512" i="8"/>
  <c r="AA512" i="8" s="1"/>
  <c r="AB513" i="8"/>
  <c r="AA513" i="8" s="1"/>
  <c r="AB514" i="8"/>
  <c r="AA514" i="8" s="1"/>
  <c r="AB515" i="8"/>
  <c r="AA515" i="8" s="1"/>
  <c r="AB516" i="8"/>
  <c r="AA516" i="8" s="1"/>
  <c r="AB517" i="8"/>
  <c r="AA517" i="8" s="1"/>
  <c r="AB518" i="8"/>
  <c r="AA518" i="8" s="1"/>
  <c r="AB519" i="8"/>
  <c r="AA519" i="8" s="1"/>
  <c r="AB520" i="8"/>
  <c r="AA520" i="8" s="1"/>
  <c r="AB521" i="8"/>
  <c r="AA521" i="8" s="1"/>
  <c r="AB522" i="8"/>
  <c r="AA522" i="8" s="1"/>
  <c r="AB523" i="8"/>
  <c r="AA523" i="8" s="1"/>
  <c r="AB524" i="8"/>
  <c r="AA524" i="8" s="1"/>
  <c r="AB525" i="8"/>
  <c r="AA525" i="8" s="1"/>
  <c r="AB526" i="8"/>
  <c r="AA526" i="8" s="1"/>
  <c r="AB527" i="8"/>
  <c r="AA527" i="8" s="1"/>
  <c r="AB528" i="8"/>
  <c r="AA528" i="8" s="1"/>
  <c r="AB529" i="8"/>
  <c r="AA529" i="8" s="1"/>
  <c r="AB530" i="8"/>
  <c r="AA530" i="8" s="1"/>
  <c r="AB531" i="8"/>
  <c r="AA531" i="8" s="1"/>
  <c r="AB532" i="8"/>
  <c r="AA532" i="8" s="1"/>
  <c r="AB533" i="8"/>
  <c r="AA533" i="8" s="1"/>
  <c r="AB534" i="8"/>
  <c r="AA534" i="8" s="1"/>
  <c r="AB535" i="8"/>
  <c r="AA535" i="8" s="1"/>
  <c r="AB536" i="8"/>
  <c r="AA536" i="8" s="1"/>
  <c r="AB537" i="8"/>
  <c r="AA537" i="8" s="1"/>
  <c r="AB538" i="8"/>
  <c r="AA538" i="8" s="1"/>
  <c r="AB539" i="8"/>
  <c r="AA539" i="8" s="1"/>
  <c r="AB540" i="8"/>
  <c r="AA540" i="8" s="1"/>
  <c r="AB541" i="8"/>
  <c r="AA541" i="8" s="1"/>
  <c r="AB542" i="8"/>
  <c r="AA542" i="8" s="1"/>
  <c r="AB543" i="8"/>
  <c r="AA543" i="8" s="1"/>
  <c r="AB544" i="8"/>
  <c r="AA544" i="8" s="1"/>
  <c r="AB545" i="8"/>
  <c r="AA545" i="8" s="1"/>
  <c r="AB546" i="8"/>
  <c r="AA546" i="8" s="1"/>
  <c r="AB547" i="8"/>
  <c r="AA547" i="8" s="1"/>
  <c r="AB548" i="8"/>
  <c r="AA548" i="8" s="1"/>
  <c r="AB549" i="8"/>
  <c r="AA549" i="8" s="1"/>
  <c r="AB550" i="8"/>
  <c r="AA550" i="8" s="1"/>
  <c r="AB551" i="8"/>
  <c r="AA551" i="8" s="1"/>
  <c r="AB552" i="8"/>
  <c r="AA552" i="8" s="1"/>
  <c r="AB553" i="8"/>
  <c r="AA553" i="8" s="1"/>
  <c r="AB554" i="8"/>
  <c r="AA554" i="8" s="1"/>
  <c r="AB555" i="8"/>
  <c r="AA555" i="8" s="1"/>
  <c r="AB556" i="8"/>
  <c r="AA556" i="8" s="1"/>
  <c r="AB557" i="8"/>
  <c r="AA557" i="8" s="1"/>
  <c r="AB558" i="8"/>
  <c r="AA558" i="8" s="1"/>
  <c r="AB559" i="8"/>
  <c r="AA559" i="8" s="1"/>
  <c r="AB560" i="8"/>
  <c r="AA560" i="8" s="1"/>
  <c r="AB561" i="8"/>
  <c r="AA561" i="8" s="1"/>
  <c r="AB562" i="8"/>
  <c r="AA562" i="8" s="1"/>
  <c r="AB563" i="8"/>
  <c r="AA563" i="8" s="1"/>
  <c r="AB564" i="8"/>
  <c r="AA564" i="8" s="1"/>
  <c r="AB565" i="8"/>
  <c r="AA565" i="8" s="1"/>
  <c r="AB566" i="8"/>
  <c r="AA566" i="8" s="1"/>
  <c r="AB567" i="8"/>
  <c r="AA567" i="8" s="1"/>
  <c r="AB568" i="8"/>
  <c r="AA568" i="8" s="1"/>
  <c r="AB569" i="8"/>
  <c r="AA569" i="8" s="1"/>
  <c r="AB570" i="8"/>
  <c r="AA570" i="8" s="1"/>
  <c r="AB571" i="8"/>
  <c r="AA571" i="8" s="1"/>
  <c r="AB572" i="8"/>
  <c r="AA572" i="8" s="1"/>
  <c r="AB573" i="8"/>
  <c r="AA573" i="8" s="1"/>
  <c r="AB574" i="8"/>
  <c r="AA574" i="8" s="1"/>
  <c r="AB575" i="8"/>
  <c r="AA575" i="8" s="1"/>
  <c r="AB576" i="8"/>
  <c r="AA576" i="8" s="1"/>
  <c r="AB577" i="8"/>
  <c r="AA577" i="8" s="1"/>
  <c r="AB578" i="8"/>
  <c r="AA578" i="8" s="1"/>
  <c r="AB579" i="8"/>
  <c r="AA579" i="8" s="1"/>
  <c r="AB580" i="8"/>
  <c r="AA580" i="8" s="1"/>
  <c r="AB581" i="8"/>
  <c r="AA581" i="8" s="1"/>
  <c r="AB582" i="8"/>
  <c r="AA582" i="8" s="1"/>
  <c r="AB583" i="8"/>
  <c r="AA583" i="8" s="1"/>
  <c r="AB584" i="8"/>
  <c r="AA584" i="8" s="1"/>
  <c r="AB585" i="8"/>
  <c r="AA585" i="8" s="1"/>
  <c r="AB586" i="8"/>
  <c r="AA586" i="8" s="1"/>
  <c r="AB587" i="8"/>
  <c r="AA587" i="8" s="1"/>
  <c r="AB588" i="8"/>
  <c r="AA588" i="8" s="1"/>
  <c r="AB589" i="8"/>
  <c r="AA589" i="8" s="1"/>
  <c r="AB590" i="8"/>
  <c r="AA590" i="8" s="1"/>
  <c r="AB591" i="8"/>
  <c r="AA591" i="8" s="1"/>
  <c r="AB592" i="8"/>
  <c r="AA592" i="8" s="1"/>
  <c r="AB593" i="8"/>
  <c r="AA593" i="8" s="1"/>
  <c r="AB594" i="8"/>
  <c r="AA594" i="8" s="1"/>
  <c r="AB595" i="8"/>
  <c r="AA595" i="8" s="1"/>
  <c r="AB596" i="8"/>
  <c r="AA596" i="8" s="1"/>
  <c r="AB597" i="8"/>
  <c r="AA597" i="8" s="1"/>
  <c r="AB598" i="8"/>
  <c r="AA598" i="8" s="1"/>
  <c r="AB599" i="8"/>
  <c r="AA599" i="8" s="1"/>
  <c r="AB600" i="8"/>
  <c r="AA600" i="8" s="1"/>
  <c r="AB601" i="8"/>
  <c r="AA601" i="8" s="1"/>
  <c r="AB602" i="8"/>
  <c r="AA602" i="8" s="1"/>
  <c r="AB603" i="8"/>
  <c r="AA603" i="8" s="1"/>
  <c r="AB604" i="8"/>
  <c r="AA604" i="8" s="1"/>
  <c r="AB605" i="8"/>
  <c r="AA605" i="8" s="1"/>
  <c r="AB606" i="8"/>
  <c r="AA606" i="8" s="1"/>
  <c r="AB607" i="8"/>
  <c r="AA607" i="8" s="1"/>
  <c r="AB608" i="8"/>
  <c r="AA608" i="8" s="1"/>
  <c r="AB609" i="8"/>
  <c r="AA609" i="8" s="1"/>
  <c r="AB610" i="8"/>
  <c r="AA610" i="8" s="1"/>
  <c r="AB611" i="8"/>
  <c r="AA611" i="8" s="1"/>
  <c r="AB612" i="8"/>
  <c r="AA612" i="8" s="1"/>
  <c r="AB613" i="8"/>
  <c r="AA613" i="8" s="1"/>
  <c r="AB614" i="8"/>
  <c r="AA614" i="8" s="1"/>
  <c r="AB615" i="8"/>
  <c r="AA615" i="8" s="1"/>
  <c r="AB616" i="8"/>
  <c r="AA616" i="8" s="1"/>
  <c r="AB617" i="8"/>
  <c r="AA617" i="8" s="1"/>
  <c r="AB618" i="8"/>
  <c r="AA618" i="8" s="1"/>
  <c r="AB619" i="8"/>
  <c r="AA619" i="8" s="1"/>
  <c r="AB620" i="8"/>
  <c r="AA620" i="8" s="1"/>
  <c r="AB621" i="8"/>
  <c r="AA621" i="8" s="1"/>
  <c r="AB622" i="8"/>
  <c r="AA622" i="8" s="1"/>
  <c r="AB623" i="8"/>
  <c r="AA623" i="8" s="1"/>
  <c r="AB624" i="8"/>
  <c r="AA624" i="8" s="1"/>
  <c r="AB625" i="8"/>
  <c r="AA625" i="8" s="1"/>
  <c r="AB626" i="8"/>
  <c r="AA626" i="8" s="1"/>
  <c r="AB627" i="8"/>
  <c r="AA627" i="8" s="1"/>
  <c r="AB628" i="8"/>
  <c r="AA628" i="8" s="1"/>
  <c r="AB629" i="8"/>
  <c r="AA629" i="8" s="1"/>
  <c r="AB630" i="8"/>
  <c r="AA630" i="8" s="1"/>
  <c r="AB631" i="8"/>
  <c r="AA631" i="8" s="1"/>
  <c r="AB632" i="8"/>
  <c r="AA632" i="8" s="1"/>
  <c r="AB633" i="8"/>
  <c r="AA633" i="8" s="1"/>
  <c r="AB634" i="8"/>
  <c r="AA634" i="8" s="1"/>
  <c r="AB635" i="8"/>
  <c r="AA635" i="8" s="1"/>
  <c r="AB636" i="8"/>
  <c r="AA636" i="8" s="1"/>
  <c r="AB637" i="8"/>
  <c r="AA637" i="8" s="1"/>
  <c r="AB638" i="8"/>
  <c r="AA638" i="8" s="1"/>
  <c r="AB639" i="8"/>
  <c r="AA639" i="8" s="1"/>
  <c r="AB640" i="8"/>
  <c r="AA640" i="8" s="1"/>
  <c r="AB641" i="8"/>
  <c r="AA641" i="8" s="1"/>
  <c r="AB642" i="8"/>
  <c r="AA642" i="8" s="1"/>
  <c r="AB643" i="8"/>
  <c r="AA643" i="8" s="1"/>
  <c r="AB644" i="8"/>
  <c r="AA644" i="8" s="1"/>
  <c r="AB645" i="8"/>
  <c r="AA645" i="8" s="1"/>
  <c r="AB646" i="8"/>
  <c r="AA646" i="8" s="1"/>
  <c r="AB647" i="8"/>
  <c r="AA647" i="8" s="1"/>
  <c r="AB648" i="8"/>
  <c r="AA648" i="8" s="1"/>
  <c r="AB649" i="8"/>
  <c r="AA649" i="8" s="1"/>
  <c r="AB650" i="8"/>
  <c r="AA650" i="8" s="1"/>
  <c r="AB651" i="8"/>
  <c r="AA651" i="8" s="1"/>
  <c r="AB652" i="8"/>
  <c r="AA652" i="8" s="1"/>
  <c r="AB653" i="8"/>
  <c r="AA653" i="8" s="1"/>
  <c r="AB654" i="8"/>
  <c r="AA654" i="8" s="1"/>
  <c r="AB655" i="8"/>
  <c r="AA655" i="8" s="1"/>
  <c r="AB656" i="8"/>
  <c r="AA656" i="8" s="1"/>
  <c r="AB657" i="8"/>
  <c r="AA657" i="8" s="1"/>
  <c r="AB658" i="8"/>
  <c r="AA658" i="8" s="1"/>
  <c r="AB659" i="8"/>
  <c r="AA659" i="8" s="1"/>
  <c r="AB660" i="8"/>
  <c r="AA660" i="8" s="1"/>
  <c r="AB661" i="8"/>
  <c r="AA661" i="8" s="1"/>
  <c r="AB662" i="8"/>
  <c r="AA662" i="8" s="1"/>
  <c r="AB663" i="8"/>
  <c r="AA663" i="8" s="1"/>
  <c r="AB664" i="8"/>
  <c r="AA664" i="8" s="1"/>
  <c r="AB665" i="8"/>
  <c r="AA665" i="8" s="1"/>
  <c r="AB666" i="8"/>
  <c r="AA666" i="8" s="1"/>
  <c r="AB667" i="8"/>
  <c r="AA667" i="8" s="1"/>
  <c r="AB668" i="8"/>
  <c r="AA668" i="8" s="1"/>
  <c r="AB669" i="8"/>
  <c r="AA669" i="8" s="1"/>
  <c r="AB670" i="8"/>
  <c r="AA670" i="8" s="1"/>
  <c r="AB671" i="8"/>
  <c r="AA671" i="8" s="1"/>
  <c r="AB672" i="8"/>
  <c r="AA672" i="8" s="1"/>
  <c r="AB673" i="8"/>
  <c r="AA673" i="8" s="1"/>
  <c r="AB674" i="8"/>
  <c r="AA674" i="8" s="1"/>
  <c r="AB675" i="8"/>
  <c r="AA675" i="8" s="1"/>
  <c r="AB676" i="8"/>
  <c r="AA676" i="8" s="1"/>
  <c r="AB677" i="8"/>
  <c r="AA677" i="8" s="1"/>
  <c r="AB678" i="8"/>
  <c r="AA678" i="8" s="1"/>
  <c r="AB679" i="8"/>
  <c r="AA679" i="8" s="1"/>
  <c r="AB680" i="8"/>
  <c r="AA680" i="8" s="1"/>
  <c r="AB681" i="8"/>
  <c r="AA681" i="8" s="1"/>
  <c r="AB682" i="8"/>
  <c r="AA682" i="8" s="1"/>
  <c r="AB683" i="8"/>
  <c r="AA683" i="8" s="1"/>
  <c r="AB684" i="8"/>
  <c r="AA684" i="8" s="1"/>
  <c r="AB685" i="8"/>
  <c r="AA685" i="8" s="1"/>
  <c r="AB686" i="8"/>
  <c r="AA686" i="8" s="1"/>
  <c r="AB687" i="8"/>
  <c r="AA687" i="8" s="1"/>
  <c r="AB688" i="8"/>
  <c r="AA688" i="8" s="1"/>
  <c r="AB689" i="8"/>
  <c r="AA689" i="8" s="1"/>
  <c r="AB690" i="8"/>
  <c r="AA690" i="8" s="1"/>
  <c r="AB691" i="8"/>
  <c r="AA691" i="8" s="1"/>
  <c r="AB692" i="8"/>
  <c r="AA692" i="8" s="1"/>
  <c r="AB693" i="8"/>
  <c r="AA693" i="8" s="1"/>
  <c r="AB694" i="8"/>
  <c r="AA694" i="8" s="1"/>
  <c r="AB695" i="8"/>
  <c r="AA695" i="8" s="1"/>
  <c r="AB696" i="8"/>
  <c r="AA696" i="8" s="1"/>
  <c r="AB697" i="8"/>
  <c r="AA697" i="8" s="1"/>
  <c r="AB698" i="8"/>
  <c r="AA698" i="8" s="1"/>
  <c r="AB699" i="8"/>
  <c r="AA699" i="8" s="1"/>
  <c r="AB700" i="8"/>
  <c r="AA700" i="8" s="1"/>
  <c r="AB701" i="8"/>
  <c r="AA701" i="8" s="1"/>
  <c r="AB702" i="8"/>
  <c r="AA702" i="8" s="1"/>
  <c r="AB703" i="8"/>
  <c r="AA703" i="8" s="1"/>
  <c r="AB704" i="8"/>
  <c r="AA704" i="8" s="1"/>
  <c r="AB705" i="8"/>
  <c r="AA705" i="8" s="1"/>
  <c r="AB706" i="8"/>
  <c r="AA706" i="8" s="1"/>
  <c r="AB707" i="8"/>
  <c r="AA707" i="8" s="1"/>
  <c r="AB708" i="8"/>
  <c r="AA708" i="8" s="1"/>
  <c r="AB709" i="8"/>
  <c r="AA709" i="8" s="1"/>
  <c r="AB710" i="8"/>
  <c r="AA710" i="8" s="1"/>
  <c r="AB711" i="8"/>
  <c r="AA711" i="8" s="1"/>
  <c r="AB712" i="8"/>
  <c r="AA712" i="8" s="1"/>
  <c r="AB713" i="8"/>
  <c r="AA713" i="8" s="1"/>
  <c r="AB714" i="8"/>
  <c r="AA714" i="8" s="1"/>
  <c r="AB715" i="8"/>
  <c r="AA715" i="8" s="1"/>
  <c r="AB716" i="8"/>
  <c r="AA716" i="8" s="1"/>
  <c r="AB717" i="8"/>
  <c r="AA717" i="8" s="1"/>
  <c r="AB718" i="8"/>
  <c r="AA718" i="8" s="1"/>
  <c r="AB719" i="8"/>
  <c r="AA719" i="8" s="1"/>
  <c r="AB720" i="8"/>
  <c r="AA720" i="8" s="1"/>
  <c r="AB721" i="8"/>
  <c r="AA721" i="8" s="1"/>
  <c r="AB722" i="8"/>
  <c r="AA722" i="8" s="1"/>
  <c r="AB723" i="8"/>
  <c r="AA723" i="8" s="1"/>
  <c r="AB724" i="8"/>
  <c r="AA724" i="8" s="1"/>
  <c r="AB725" i="8"/>
  <c r="AA725" i="8" s="1"/>
  <c r="AB726" i="8"/>
  <c r="AA726" i="8" s="1"/>
  <c r="AB727" i="8"/>
  <c r="AA727" i="8" s="1"/>
  <c r="AB728" i="8"/>
  <c r="AA728" i="8" s="1"/>
  <c r="AB729" i="8"/>
  <c r="AA729" i="8" s="1"/>
  <c r="AB730" i="8"/>
  <c r="AA730" i="8" s="1"/>
  <c r="AB731" i="8"/>
  <c r="AA731" i="8" s="1"/>
  <c r="AB732" i="8"/>
  <c r="AA732" i="8" s="1"/>
  <c r="AB733" i="8"/>
  <c r="AA733" i="8" s="1"/>
  <c r="AB734" i="8"/>
  <c r="AA734" i="8" s="1"/>
  <c r="AB735" i="8"/>
  <c r="AA735" i="8" s="1"/>
  <c r="AB736" i="8"/>
  <c r="AA736" i="8" s="1"/>
  <c r="AB737" i="8"/>
  <c r="AA737" i="8" s="1"/>
  <c r="AB738" i="8"/>
  <c r="AA738" i="8" s="1"/>
  <c r="AB739" i="8"/>
  <c r="AA739" i="8" s="1"/>
  <c r="AB740" i="8"/>
  <c r="AA740" i="8" s="1"/>
  <c r="AB741" i="8"/>
  <c r="AA741" i="8" s="1"/>
  <c r="AB742" i="8"/>
  <c r="AA742" i="8" s="1"/>
  <c r="AB743" i="8"/>
  <c r="AA743" i="8" s="1"/>
  <c r="AB744" i="8"/>
  <c r="AA744" i="8" s="1"/>
  <c r="AB745" i="8"/>
  <c r="AA745" i="8" s="1"/>
  <c r="AB746" i="8"/>
  <c r="AA746" i="8" s="1"/>
  <c r="AB747" i="8"/>
  <c r="AA747" i="8" s="1"/>
  <c r="AB748" i="8"/>
  <c r="AA748" i="8" s="1"/>
  <c r="AB749" i="8"/>
  <c r="AA749" i="8" s="1"/>
  <c r="AB750" i="8"/>
  <c r="AA750" i="8" s="1"/>
  <c r="AB751" i="8"/>
  <c r="AA751" i="8" s="1"/>
  <c r="AB752" i="8"/>
  <c r="AA752" i="8" s="1"/>
  <c r="AB753" i="8"/>
  <c r="AA753" i="8" s="1"/>
  <c r="AB754" i="8"/>
  <c r="AA754" i="8" s="1"/>
  <c r="AB755" i="8"/>
  <c r="AA755" i="8" s="1"/>
  <c r="AB756" i="8"/>
  <c r="AA756" i="8" s="1"/>
  <c r="AB757" i="8"/>
  <c r="AA757" i="8" s="1"/>
  <c r="AB758" i="8"/>
  <c r="AA758" i="8" s="1"/>
  <c r="AB759" i="8"/>
  <c r="AA759" i="8" s="1"/>
  <c r="AB760" i="8"/>
  <c r="AA760" i="8" s="1"/>
  <c r="AB761" i="8"/>
  <c r="AA761" i="8" s="1"/>
  <c r="AB762" i="8"/>
  <c r="AA762" i="8" s="1"/>
  <c r="AB763" i="8"/>
  <c r="AA763" i="8" s="1"/>
  <c r="AB764" i="8"/>
  <c r="AA764" i="8" s="1"/>
  <c r="AB765" i="8"/>
  <c r="AA765" i="8" s="1"/>
  <c r="AB766" i="8"/>
  <c r="AA766" i="8" s="1"/>
  <c r="AB767" i="8"/>
  <c r="AA767" i="8" s="1"/>
  <c r="AB768" i="8"/>
  <c r="AA768" i="8" s="1"/>
  <c r="AB769" i="8"/>
  <c r="AA769" i="8" s="1"/>
  <c r="AB770" i="8"/>
  <c r="AA770" i="8" s="1"/>
  <c r="AB771" i="8"/>
  <c r="AA771" i="8" s="1"/>
  <c r="AB772" i="8"/>
  <c r="AA772" i="8" s="1"/>
  <c r="AB773" i="8"/>
  <c r="AA773" i="8" s="1"/>
  <c r="AB774" i="8"/>
  <c r="AA774" i="8" s="1"/>
  <c r="AB775" i="8"/>
  <c r="AA775" i="8" s="1"/>
  <c r="AB776" i="8"/>
  <c r="AA776" i="8" s="1"/>
  <c r="AB777" i="8"/>
  <c r="AA777" i="8" s="1"/>
  <c r="AB778" i="8"/>
  <c r="AA778" i="8" s="1"/>
  <c r="AB779" i="8"/>
  <c r="AA779" i="8" s="1"/>
  <c r="AB780" i="8"/>
  <c r="AA780" i="8" s="1"/>
  <c r="AB781" i="8"/>
  <c r="AA781" i="8" s="1"/>
  <c r="AB782" i="8"/>
  <c r="AA782" i="8" s="1"/>
  <c r="AB783" i="8"/>
  <c r="AA783" i="8" s="1"/>
  <c r="AB784" i="8"/>
  <c r="AA784" i="8" s="1"/>
  <c r="AB785" i="8"/>
  <c r="AA785" i="8" s="1"/>
  <c r="AB786" i="8"/>
  <c r="AA786" i="8" s="1"/>
  <c r="AB787" i="8"/>
  <c r="AA787" i="8" s="1"/>
  <c r="AB788" i="8"/>
  <c r="AA788" i="8" s="1"/>
  <c r="AB789" i="8"/>
  <c r="AA789" i="8" s="1"/>
  <c r="AB790" i="8"/>
  <c r="AA790" i="8" s="1"/>
  <c r="AB791" i="8"/>
  <c r="AA791" i="8" s="1"/>
  <c r="AB792" i="8"/>
  <c r="AA792" i="8" s="1"/>
  <c r="AB793" i="8"/>
  <c r="AA793" i="8" s="1"/>
  <c r="AB794" i="8"/>
  <c r="AA794" i="8" s="1"/>
  <c r="AB795" i="8"/>
  <c r="AA795" i="8" s="1"/>
  <c r="AB796" i="8"/>
  <c r="AA796" i="8" s="1"/>
  <c r="AB797" i="8"/>
  <c r="AA797" i="8" s="1"/>
  <c r="AB798" i="8"/>
  <c r="AA798" i="8" s="1"/>
  <c r="AB799" i="8"/>
  <c r="AA799" i="8" s="1"/>
  <c r="AB800" i="8"/>
  <c r="AA800" i="8" s="1"/>
  <c r="AB801" i="8"/>
  <c r="AA801" i="8" s="1"/>
  <c r="AB802" i="8"/>
  <c r="AA802" i="8" s="1"/>
  <c r="AB803" i="8"/>
  <c r="AA803" i="8" s="1"/>
  <c r="AB804" i="8"/>
  <c r="AA804" i="8" s="1"/>
  <c r="AB805" i="8"/>
  <c r="AA805" i="8" s="1"/>
  <c r="AB806" i="8"/>
  <c r="AA806" i="8" s="1"/>
  <c r="AB807" i="8"/>
  <c r="AA807" i="8" s="1"/>
  <c r="AB808" i="8"/>
  <c r="AA808" i="8" s="1"/>
  <c r="AB809" i="8"/>
  <c r="AA809" i="8" s="1"/>
  <c r="AB810" i="8"/>
  <c r="AA810" i="8" s="1"/>
  <c r="AB811" i="8"/>
  <c r="AA811" i="8" s="1"/>
  <c r="AB812" i="8"/>
  <c r="AA812" i="8" s="1"/>
  <c r="AB813" i="8"/>
  <c r="AA813" i="8" s="1"/>
  <c r="AB814" i="8"/>
  <c r="AA814" i="8" s="1"/>
  <c r="AB815" i="8"/>
  <c r="AA815" i="8" s="1"/>
  <c r="AB816" i="8"/>
  <c r="AA816" i="8" s="1"/>
  <c r="AB817" i="8"/>
  <c r="AA817" i="8" s="1"/>
  <c r="AB818" i="8"/>
  <c r="AA818" i="8" s="1"/>
  <c r="AB819" i="8"/>
  <c r="AA819" i="8" s="1"/>
  <c r="AB820" i="8"/>
  <c r="AA820" i="8" s="1"/>
  <c r="AB821" i="8"/>
  <c r="AA821" i="8" s="1"/>
  <c r="AB822" i="8"/>
  <c r="AA822" i="8" s="1"/>
  <c r="AB823" i="8"/>
  <c r="AA823" i="8" s="1"/>
  <c r="AB824" i="8"/>
  <c r="AA824" i="8" s="1"/>
  <c r="AB825" i="8"/>
  <c r="AA825" i="8" s="1"/>
  <c r="AB826" i="8"/>
  <c r="AA826" i="8" s="1"/>
  <c r="AB827" i="8"/>
  <c r="AA827" i="8" s="1"/>
  <c r="AB828" i="8"/>
  <c r="AA828" i="8" s="1"/>
  <c r="AB829" i="8"/>
  <c r="AA829" i="8" s="1"/>
  <c r="AB830" i="8"/>
  <c r="AA830" i="8" s="1"/>
  <c r="AB831" i="8"/>
  <c r="AA831" i="8" s="1"/>
  <c r="AB832" i="8"/>
  <c r="AA832" i="8" s="1"/>
  <c r="AB833" i="8"/>
  <c r="AA833" i="8" s="1"/>
  <c r="AB834" i="8"/>
  <c r="AA834" i="8" s="1"/>
  <c r="AB835" i="8"/>
  <c r="AA835" i="8" s="1"/>
  <c r="AB836" i="8"/>
  <c r="AA836" i="8" s="1"/>
  <c r="AB837" i="8"/>
  <c r="AA837" i="8" s="1"/>
  <c r="AB838" i="8"/>
  <c r="AA838" i="8" s="1"/>
  <c r="AB839" i="8"/>
  <c r="AA839" i="8" s="1"/>
  <c r="AB840" i="8"/>
  <c r="AA840" i="8" s="1"/>
  <c r="AB841" i="8"/>
  <c r="AA841" i="8" s="1"/>
  <c r="AB842" i="8"/>
  <c r="AA842" i="8" s="1"/>
  <c r="AB843" i="8"/>
  <c r="AA843" i="8" s="1"/>
  <c r="AB844" i="8"/>
  <c r="AA844" i="8" s="1"/>
  <c r="AB845" i="8"/>
  <c r="AA845" i="8" s="1"/>
  <c r="AB846" i="8"/>
  <c r="AA846" i="8" s="1"/>
  <c r="AB847" i="8"/>
  <c r="AA847" i="8" s="1"/>
  <c r="AB848" i="8"/>
  <c r="AA848" i="8" s="1"/>
  <c r="AB849" i="8"/>
  <c r="AA849" i="8" s="1"/>
  <c r="AB850" i="8"/>
  <c r="AA850" i="8" s="1"/>
  <c r="AB851" i="8"/>
  <c r="AA851" i="8" s="1"/>
  <c r="AB852" i="8"/>
  <c r="AA852" i="8" s="1"/>
  <c r="AB853" i="8"/>
  <c r="AA853" i="8" s="1"/>
  <c r="AB854" i="8"/>
  <c r="AA854" i="8" s="1"/>
  <c r="AB855" i="8"/>
  <c r="AA855" i="8" s="1"/>
  <c r="AB856" i="8"/>
  <c r="AA856" i="8" s="1"/>
  <c r="AB857" i="8"/>
  <c r="AA857" i="8" s="1"/>
  <c r="AB858" i="8"/>
  <c r="AA858" i="8" s="1"/>
  <c r="AB859" i="8"/>
  <c r="AA859" i="8" s="1"/>
  <c r="AB860" i="8"/>
  <c r="AA860" i="8" s="1"/>
  <c r="AB861" i="8"/>
  <c r="AA861" i="8" s="1"/>
  <c r="AB862" i="8"/>
  <c r="AA862" i="8" s="1"/>
  <c r="AB863" i="8"/>
  <c r="AA863" i="8" s="1"/>
  <c r="AB864" i="8"/>
  <c r="AA864" i="8" s="1"/>
  <c r="AB865" i="8"/>
  <c r="AA865" i="8" s="1"/>
  <c r="AB866" i="8"/>
  <c r="AA866" i="8" s="1"/>
  <c r="AB867" i="8"/>
  <c r="AA867" i="8" s="1"/>
  <c r="AB868" i="8"/>
  <c r="AA868" i="8" s="1"/>
  <c r="AB869" i="8"/>
  <c r="AA869" i="8" s="1"/>
  <c r="AB870" i="8"/>
  <c r="AA870" i="8" s="1"/>
  <c r="AB871" i="8"/>
  <c r="AA871" i="8" s="1"/>
  <c r="AB872" i="8"/>
  <c r="AA872" i="8" s="1"/>
  <c r="AB873" i="8"/>
  <c r="AA873" i="8" s="1"/>
  <c r="AB874" i="8"/>
  <c r="AA874" i="8" s="1"/>
  <c r="AB875" i="8"/>
  <c r="AA875" i="8" s="1"/>
  <c r="AB876" i="8"/>
  <c r="AA876" i="8" s="1"/>
  <c r="AB877" i="8"/>
  <c r="AA877" i="8" s="1"/>
  <c r="AB878" i="8"/>
  <c r="AA878" i="8" s="1"/>
  <c r="AB879" i="8"/>
  <c r="AA879" i="8" s="1"/>
  <c r="AB880" i="8"/>
  <c r="AA880" i="8" s="1"/>
  <c r="AB881" i="8"/>
  <c r="AA881" i="8" s="1"/>
  <c r="AB882" i="8"/>
  <c r="AA882" i="8" s="1"/>
  <c r="AB883" i="8"/>
  <c r="AA883" i="8" s="1"/>
  <c r="AB884" i="8"/>
  <c r="AA884" i="8" s="1"/>
  <c r="AB885" i="8"/>
  <c r="AA885" i="8" s="1"/>
  <c r="AB886" i="8"/>
  <c r="AA886" i="8" s="1"/>
  <c r="AB887" i="8"/>
  <c r="AA887" i="8" s="1"/>
  <c r="AB888" i="8"/>
  <c r="AA888" i="8" s="1"/>
  <c r="AB889" i="8"/>
  <c r="AA889" i="8" s="1"/>
  <c r="AB890" i="8"/>
  <c r="AA890" i="8" s="1"/>
  <c r="AB891" i="8"/>
  <c r="AA891" i="8" s="1"/>
  <c r="AB892" i="8"/>
  <c r="AA892" i="8" s="1"/>
  <c r="AB893" i="8"/>
  <c r="AA893" i="8" s="1"/>
  <c r="AB894" i="8"/>
  <c r="AA894" i="8" s="1"/>
  <c r="AB895" i="8"/>
  <c r="AA895" i="8" s="1"/>
  <c r="AB896" i="8"/>
  <c r="AA896" i="8" s="1"/>
  <c r="AB897" i="8"/>
  <c r="AA897" i="8" s="1"/>
  <c r="AB898" i="8"/>
  <c r="AA898" i="8" s="1"/>
  <c r="AB899" i="8"/>
  <c r="AA899" i="8" s="1"/>
  <c r="AB900" i="8"/>
  <c r="AA900" i="8" s="1"/>
  <c r="AB901" i="8"/>
  <c r="AA901" i="8" s="1"/>
  <c r="AB902" i="8"/>
  <c r="AA902" i="8" s="1"/>
  <c r="AB903" i="8"/>
  <c r="AA903" i="8" s="1"/>
  <c r="AB904" i="8"/>
  <c r="AA904" i="8" s="1"/>
  <c r="AB905" i="8"/>
  <c r="AA905" i="8" s="1"/>
  <c r="AB906" i="8"/>
  <c r="AA906" i="8" s="1"/>
  <c r="AB907" i="8"/>
  <c r="AA907" i="8" s="1"/>
  <c r="AB908" i="8"/>
  <c r="AA908" i="8" s="1"/>
  <c r="AB909" i="8"/>
  <c r="AA909" i="8" s="1"/>
  <c r="AB910" i="8"/>
  <c r="AA910" i="8" s="1"/>
  <c r="AB911" i="8"/>
  <c r="AA911" i="8" s="1"/>
  <c r="AB912" i="8"/>
  <c r="AA912" i="8" s="1"/>
  <c r="AB913" i="8"/>
  <c r="AA913" i="8" s="1"/>
  <c r="AB914" i="8"/>
  <c r="AA914" i="8" s="1"/>
  <c r="AB915" i="8"/>
  <c r="AA915" i="8" s="1"/>
  <c r="AB916" i="8"/>
  <c r="AA916" i="8" s="1"/>
  <c r="AB917" i="8"/>
  <c r="AA917" i="8" s="1"/>
  <c r="AB918" i="8"/>
  <c r="AA918" i="8" s="1"/>
  <c r="AB919" i="8"/>
  <c r="AA919" i="8" s="1"/>
  <c r="AB920" i="8"/>
  <c r="AA920" i="8" s="1"/>
  <c r="AB921" i="8"/>
  <c r="AA921" i="8" s="1"/>
  <c r="AB922" i="8"/>
  <c r="AA922" i="8" s="1"/>
  <c r="AB923" i="8"/>
  <c r="AA923" i="8" s="1"/>
  <c r="AB924" i="8"/>
  <c r="AA924" i="8" s="1"/>
  <c r="AB925" i="8"/>
  <c r="AA925" i="8" s="1"/>
  <c r="AB926" i="8"/>
  <c r="AA926" i="8" s="1"/>
  <c r="AB927" i="8"/>
  <c r="AA927" i="8" s="1"/>
  <c r="AB928" i="8"/>
  <c r="AA928" i="8" s="1"/>
  <c r="AB929" i="8"/>
  <c r="AA929" i="8" s="1"/>
  <c r="AB930" i="8"/>
  <c r="AA930" i="8" s="1"/>
  <c r="AB931" i="8"/>
  <c r="AA931" i="8" s="1"/>
  <c r="AB932" i="8"/>
  <c r="AA932" i="8" s="1"/>
  <c r="AB933" i="8"/>
  <c r="AA933" i="8" s="1"/>
  <c r="AB934" i="8"/>
  <c r="AA934" i="8" s="1"/>
  <c r="AB935" i="8"/>
  <c r="AA935" i="8" s="1"/>
  <c r="AB936" i="8"/>
  <c r="AA936" i="8" s="1"/>
  <c r="AB937" i="8"/>
  <c r="AA937" i="8" s="1"/>
  <c r="AB938" i="8"/>
  <c r="AA938" i="8" s="1"/>
  <c r="AB939" i="8"/>
  <c r="AA939" i="8" s="1"/>
  <c r="AB940" i="8"/>
  <c r="AA940" i="8" s="1"/>
  <c r="AB941" i="8"/>
  <c r="AA941" i="8" s="1"/>
  <c r="AB942" i="8"/>
  <c r="AA942" i="8" s="1"/>
  <c r="AB943" i="8"/>
  <c r="AA943" i="8" s="1"/>
  <c r="AB944" i="8"/>
  <c r="AA944" i="8" s="1"/>
  <c r="AB945" i="8"/>
  <c r="AA945" i="8" s="1"/>
  <c r="AB946" i="8"/>
  <c r="AA946" i="8" s="1"/>
  <c r="AB947" i="8"/>
  <c r="AA947" i="8" s="1"/>
  <c r="AB948" i="8"/>
  <c r="AA948" i="8" s="1"/>
  <c r="AB949" i="8"/>
  <c r="AA949" i="8" s="1"/>
  <c r="AB950" i="8"/>
  <c r="AA950" i="8" s="1"/>
  <c r="AB951" i="8"/>
  <c r="AA951" i="8" s="1"/>
  <c r="AB952" i="8"/>
  <c r="AA952" i="8" s="1"/>
  <c r="AB953" i="8"/>
  <c r="AA953" i="8" s="1"/>
  <c r="AB954" i="8"/>
  <c r="AA954" i="8" s="1"/>
  <c r="AB955" i="8"/>
  <c r="AA955" i="8" s="1"/>
  <c r="AB956" i="8"/>
  <c r="AA956" i="8" s="1"/>
  <c r="AB957" i="8"/>
  <c r="AA957" i="8" s="1"/>
  <c r="AB958" i="8"/>
  <c r="AA958" i="8" s="1"/>
  <c r="AB959" i="8"/>
  <c r="AA959" i="8" s="1"/>
  <c r="AB960" i="8"/>
  <c r="AA960" i="8" s="1"/>
  <c r="AB961" i="8"/>
  <c r="AA961" i="8" s="1"/>
  <c r="AB962" i="8"/>
  <c r="AA962" i="8" s="1"/>
  <c r="AB963" i="8"/>
  <c r="AA963" i="8" s="1"/>
  <c r="AB964" i="8"/>
  <c r="AA964" i="8" s="1"/>
  <c r="AB965" i="8"/>
  <c r="AA965" i="8" s="1"/>
  <c r="AB966" i="8"/>
  <c r="AA966" i="8" s="1"/>
  <c r="AB967" i="8"/>
  <c r="AA967" i="8" s="1"/>
  <c r="AB968" i="8"/>
  <c r="AA968" i="8" s="1"/>
  <c r="AB969" i="8"/>
  <c r="AA969" i="8" s="1"/>
  <c r="AB970" i="8"/>
  <c r="AA970" i="8" s="1"/>
  <c r="AB971" i="8"/>
  <c r="AA971" i="8" s="1"/>
  <c r="AB972" i="8"/>
  <c r="AA972" i="8" s="1"/>
  <c r="AB973" i="8"/>
  <c r="AA973" i="8" s="1"/>
  <c r="AB974" i="8"/>
  <c r="AA974" i="8" s="1"/>
  <c r="AB975" i="8"/>
  <c r="AA975" i="8" s="1"/>
  <c r="AB976" i="8"/>
  <c r="AA976" i="8" s="1"/>
  <c r="AB977" i="8"/>
  <c r="AA977" i="8" s="1"/>
  <c r="AB978" i="8"/>
  <c r="AA978" i="8" s="1"/>
  <c r="AB979" i="8"/>
  <c r="AA979" i="8" s="1"/>
  <c r="AB980" i="8"/>
  <c r="AA980" i="8" s="1"/>
  <c r="AB981" i="8"/>
  <c r="AA981" i="8" s="1"/>
  <c r="AB982" i="8"/>
  <c r="AA982" i="8" s="1"/>
  <c r="AB983" i="8"/>
  <c r="AA983" i="8" s="1"/>
  <c r="AB984" i="8"/>
  <c r="AA984" i="8" s="1"/>
  <c r="AB985" i="8"/>
  <c r="AA985" i="8" s="1"/>
  <c r="AB986" i="8"/>
  <c r="AA986" i="8" s="1"/>
  <c r="AB987" i="8"/>
  <c r="AA987" i="8" s="1"/>
  <c r="AB988" i="8"/>
  <c r="AA988" i="8" s="1"/>
  <c r="AB989" i="8"/>
  <c r="AA989" i="8" s="1"/>
  <c r="AB990" i="8"/>
  <c r="AA990" i="8" s="1"/>
  <c r="AB991" i="8"/>
  <c r="AA991" i="8" s="1"/>
  <c r="AB992" i="8"/>
  <c r="AA992" i="8" s="1"/>
  <c r="AB993" i="8"/>
  <c r="AA993" i="8" s="1"/>
  <c r="AB994" i="8"/>
  <c r="AA994" i="8" s="1"/>
  <c r="AB995" i="8"/>
  <c r="AA995" i="8" s="1"/>
  <c r="AB996" i="8"/>
  <c r="AA996" i="8" s="1"/>
  <c r="AB997" i="8"/>
  <c r="AA997" i="8" s="1"/>
  <c r="AB998" i="8"/>
  <c r="AA998" i="8" s="1"/>
  <c r="AB999" i="8"/>
  <c r="AA999" i="8" s="1"/>
  <c r="AB1000" i="8"/>
  <c r="AA1000" i="8" s="1"/>
  <c r="AB1001" i="8"/>
  <c r="AA1001" i="8" s="1"/>
  <c r="AB1002" i="8"/>
  <c r="AA1002" i="8" s="1"/>
  <c r="AB1003" i="8"/>
  <c r="AA1003" i="8" s="1"/>
  <c r="AB1004" i="8"/>
  <c r="AA1004" i="8" s="1"/>
  <c r="AB1005" i="8"/>
  <c r="AA1005" i="8" s="1"/>
  <c r="AB1006" i="8"/>
  <c r="AA1006" i="8" s="1"/>
  <c r="AB1007" i="8"/>
  <c r="AA1007" i="8" s="1"/>
  <c r="AB1008" i="8"/>
  <c r="AA1008" i="8" s="1"/>
  <c r="AB1009" i="8"/>
  <c r="AA1009" i="8" s="1"/>
  <c r="AB1010" i="8"/>
  <c r="AA1010" i="8" s="1"/>
  <c r="AB1011" i="8"/>
  <c r="AA1011" i="8" s="1"/>
  <c r="AB1012" i="8"/>
  <c r="AA1012" i="8" s="1"/>
  <c r="AB1013" i="8"/>
  <c r="AA1013" i="8" s="1"/>
  <c r="AB1014" i="8"/>
  <c r="AA1014" i="8" s="1"/>
  <c r="AB1015" i="8"/>
  <c r="AA1015" i="8" s="1"/>
  <c r="AB1016" i="8"/>
  <c r="AA1016" i="8" s="1"/>
  <c r="AB1017" i="8"/>
  <c r="AA1017" i="8" s="1"/>
  <c r="AB1018" i="8"/>
  <c r="AA1018" i="8" s="1"/>
  <c r="AB1019" i="8"/>
  <c r="AA1019" i="8" s="1"/>
  <c r="AB1020" i="8"/>
  <c r="AA1020" i="8" s="1"/>
  <c r="AB1021" i="8"/>
  <c r="AA1021" i="8" s="1"/>
  <c r="AB1022" i="8"/>
  <c r="AA1022" i="8" s="1"/>
  <c r="AB1023" i="8"/>
  <c r="AA1023" i="8" s="1"/>
  <c r="AB1024" i="8"/>
  <c r="AA1024" i="8" s="1"/>
  <c r="AB1025" i="8"/>
  <c r="AA1025" i="8" s="1"/>
  <c r="AB1026" i="8"/>
  <c r="AA1026" i="8" s="1"/>
  <c r="AB1027" i="8"/>
  <c r="AA1027" i="8" s="1"/>
  <c r="AB1028" i="8"/>
  <c r="AA1028" i="8" s="1"/>
  <c r="AB1029" i="8"/>
  <c r="AA1029" i="8" s="1"/>
  <c r="AB1030" i="8"/>
  <c r="AA1030" i="8" s="1"/>
  <c r="AB1031" i="8"/>
  <c r="AA1031" i="8" s="1"/>
  <c r="AB1032" i="8"/>
  <c r="AA1032" i="8" s="1"/>
  <c r="AB1033" i="8"/>
  <c r="AA1033" i="8" s="1"/>
  <c r="AB1034" i="8"/>
  <c r="AA1034" i="8" s="1"/>
  <c r="AB1035" i="8"/>
  <c r="AA1035" i="8" s="1"/>
  <c r="AB1036" i="8"/>
  <c r="AA1036" i="8" s="1"/>
  <c r="AB1037" i="8"/>
  <c r="AA1037" i="8" s="1"/>
  <c r="AB1038" i="8"/>
  <c r="AA1038" i="8" s="1"/>
  <c r="AB1039" i="8"/>
  <c r="AA1039" i="8" s="1"/>
  <c r="AB1040" i="8"/>
  <c r="AA1040" i="8" s="1"/>
  <c r="AB1041" i="8"/>
  <c r="AA1041" i="8" s="1"/>
  <c r="AB1042" i="8"/>
  <c r="AA1042" i="8" s="1"/>
  <c r="AB1043" i="8"/>
  <c r="AA1043" i="8" s="1"/>
  <c r="AB1044" i="8"/>
  <c r="AA1044" i="8" s="1"/>
  <c r="AB1045" i="8"/>
  <c r="AA1045" i="8" s="1"/>
  <c r="AB1046" i="8"/>
  <c r="AA1046" i="8" s="1"/>
  <c r="AB1047" i="8"/>
  <c r="AA1047" i="8" s="1"/>
  <c r="AB1048" i="8"/>
  <c r="AA1048" i="8" s="1"/>
  <c r="AB1049" i="8"/>
  <c r="AA1049" i="8" s="1"/>
  <c r="AB1050" i="8"/>
  <c r="AA1050" i="8" s="1"/>
  <c r="AB1051" i="8"/>
  <c r="AA1051" i="8" s="1"/>
  <c r="AB1052" i="8"/>
  <c r="AA1052" i="8" s="1"/>
  <c r="AB1053" i="8"/>
  <c r="AA1053" i="8" s="1"/>
  <c r="AB1054" i="8"/>
  <c r="AA1054" i="8" s="1"/>
  <c r="AB1055" i="8"/>
  <c r="AA1055" i="8" s="1"/>
  <c r="AB1056" i="8"/>
  <c r="AA1056" i="8" s="1"/>
  <c r="AB1057" i="8"/>
  <c r="AA1057" i="8" s="1"/>
  <c r="AB1058" i="8"/>
  <c r="AA1058" i="8" s="1"/>
  <c r="AB1059" i="8"/>
  <c r="AA1059" i="8" s="1"/>
  <c r="AB1060" i="8"/>
  <c r="AA1060" i="8" s="1"/>
  <c r="AB1061" i="8"/>
  <c r="AA1061" i="8" s="1"/>
  <c r="AB1062" i="8"/>
  <c r="AA1062" i="8" s="1"/>
  <c r="AB1063" i="8"/>
  <c r="AA1063" i="8" s="1"/>
  <c r="AB1064" i="8"/>
  <c r="AA1064" i="8" s="1"/>
  <c r="AB1065" i="8"/>
  <c r="AA1065" i="8" s="1"/>
  <c r="AB1066" i="8"/>
  <c r="AA1066" i="8" s="1"/>
  <c r="AB1067" i="8"/>
  <c r="AA1067" i="8" s="1"/>
  <c r="AB1068" i="8"/>
  <c r="AA1068" i="8" s="1"/>
  <c r="AB1069" i="8"/>
  <c r="AA1069" i="8" s="1"/>
  <c r="AB1070" i="8"/>
  <c r="AA1070" i="8" s="1"/>
  <c r="AB1071" i="8"/>
  <c r="AA1071" i="8" s="1"/>
  <c r="AB1072" i="8"/>
  <c r="AA1072" i="8" s="1"/>
  <c r="AB1073" i="8"/>
  <c r="AA1073" i="8" s="1"/>
  <c r="AB1074" i="8"/>
  <c r="AA1074" i="8" s="1"/>
  <c r="AB1075" i="8"/>
  <c r="AA1075" i="8" s="1"/>
  <c r="AB1076" i="8"/>
  <c r="AA1076" i="8" s="1"/>
  <c r="AB1077" i="8"/>
  <c r="AA1077" i="8" s="1"/>
  <c r="AB1078" i="8"/>
  <c r="AA1078" i="8" s="1"/>
  <c r="AB1079" i="8"/>
  <c r="AA1079" i="8" s="1"/>
  <c r="AB1080" i="8"/>
  <c r="AA1080" i="8" s="1"/>
  <c r="AB1081" i="8"/>
  <c r="AA1081" i="8" s="1"/>
  <c r="AB1082" i="8"/>
  <c r="AA1082" i="8" s="1"/>
  <c r="AB1083" i="8"/>
  <c r="AA1083" i="8" s="1"/>
  <c r="AB1084" i="8"/>
  <c r="AA1084" i="8" s="1"/>
  <c r="AB1085" i="8"/>
  <c r="AA1085" i="8" s="1"/>
  <c r="AB1086" i="8"/>
  <c r="AA1086" i="8" s="1"/>
  <c r="AB1087" i="8"/>
  <c r="AA1087" i="8" s="1"/>
  <c r="AB1088" i="8"/>
  <c r="AA1088" i="8" s="1"/>
  <c r="AB1089" i="8"/>
  <c r="AA1089" i="8" s="1"/>
  <c r="AB1090" i="8"/>
  <c r="AA1090" i="8" s="1"/>
  <c r="AB1091" i="8"/>
  <c r="AA1091" i="8" s="1"/>
  <c r="AB1092" i="8"/>
  <c r="AA1092" i="8" s="1"/>
  <c r="AB1093" i="8"/>
  <c r="AA1093" i="8" s="1"/>
  <c r="AB1094" i="8"/>
  <c r="AA1094" i="8" s="1"/>
  <c r="AB1095" i="8"/>
  <c r="AA1095" i="8" s="1"/>
  <c r="AB1096" i="8"/>
  <c r="AA1096" i="8" s="1"/>
  <c r="AB1097" i="8"/>
  <c r="AA1097" i="8" s="1"/>
  <c r="AB1098" i="8"/>
  <c r="AA1098" i="8" s="1"/>
  <c r="AB1099" i="8"/>
  <c r="AA1099" i="8" s="1"/>
  <c r="AB1100" i="8"/>
  <c r="AA1100" i="8" s="1"/>
  <c r="AB1101" i="8"/>
  <c r="AA1101" i="8" s="1"/>
  <c r="AB1102" i="8"/>
  <c r="AA1102" i="8" s="1"/>
  <c r="AB1103" i="8"/>
  <c r="AA1103" i="8" s="1"/>
  <c r="AB1104" i="8"/>
  <c r="AA1104" i="8" s="1"/>
  <c r="AB1105" i="8"/>
  <c r="AA1105" i="8" s="1"/>
  <c r="AB1106" i="8"/>
  <c r="AA1106" i="8" s="1"/>
  <c r="AB1107" i="8"/>
  <c r="AA1107" i="8" s="1"/>
  <c r="AB1108" i="8"/>
  <c r="AA1108" i="8" s="1"/>
  <c r="AB1109" i="8"/>
  <c r="AA1109" i="8" s="1"/>
  <c r="AB1110" i="8"/>
  <c r="AA1110" i="8" s="1"/>
  <c r="AB1111" i="8"/>
  <c r="AA1111" i="8" s="1"/>
  <c r="AB1112" i="8"/>
  <c r="AA1112" i="8" s="1"/>
  <c r="AB1113" i="8"/>
  <c r="AA1113" i="8" s="1"/>
  <c r="AB1114" i="8"/>
  <c r="AA1114" i="8" s="1"/>
  <c r="AB1115" i="8"/>
  <c r="AA1115" i="8" s="1"/>
  <c r="AB1116" i="8"/>
  <c r="AA1116" i="8" s="1"/>
  <c r="AB1117" i="8"/>
  <c r="AA1117" i="8" s="1"/>
  <c r="AB1118" i="8"/>
  <c r="AA1118" i="8" s="1"/>
  <c r="AB1119" i="8"/>
  <c r="AA1119" i="8" s="1"/>
  <c r="AB1120" i="8"/>
  <c r="AA1120" i="8" s="1"/>
  <c r="AB1121" i="8"/>
  <c r="AA1121" i="8" s="1"/>
  <c r="AB1122" i="8"/>
  <c r="AA1122" i="8" s="1"/>
  <c r="AB1123" i="8"/>
  <c r="AA1123" i="8" s="1"/>
  <c r="AB1124" i="8"/>
  <c r="AA1124" i="8" s="1"/>
  <c r="AB1125" i="8"/>
  <c r="AA1125" i="8" s="1"/>
  <c r="AB1126" i="8"/>
  <c r="AA1126" i="8" s="1"/>
  <c r="AB1127" i="8"/>
  <c r="AA1127" i="8" s="1"/>
  <c r="AB1128" i="8"/>
  <c r="AA1128" i="8" s="1"/>
  <c r="AB1129" i="8"/>
  <c r="AA1129" i="8" s="1"/>
  <c r="AB1130" i="8"/>
  <c r="AA1130" i="8" s="1"/>
  <c r="AB1131" i="8"/>
  <c r="AA1131" i="8" s="1"/>
  <c r="AB1132" i="8"/>
  <c r="AA1132" i="8" s="1"/>
  <c r="AB1133" i="8"/>
  <c r="AA1133" i="8" s="1"/>
  <c r="AB1134" i="8"/>
  <c r="AA1134" i="8" s="1"/>
  <c r="AB1135" i="8"/>
  <c r="AA1135" i="8" s="1"/>
  <c r="AB1136" i="8"/>
  <c r="AA1136" i="8" s="1"/>
  <c r="AB1137" i="8"/>
  <c r="AA1137" i="8" s="1"/>
  <c r="AB1138" i="8"/>
  <c r="AA1138" i="8" s="1"/>
  <c r="AB1139" i="8"/>
  <c r="AA1139" i="8" s="1"/>
  <c r="AB1140" i="8"/>
  <c r="AA1140" i="8" s="1"/>
  <c r="AB1141" i="8"/>
  <c r="AA1141" i="8" s="1"/>
  <c r="AB1142" i="8"/>
  <c r="AA1142" i="8" s="1"/>
  <c r="AB1143" i="8"/>
  <c r="AA1143" i="8" s="1"/>
  <c r="AB1144" i="8"/>
  <c r="AA1144" i="8" s="1"/>
  <c r="AB1145" i="8"/>
  <c r="AA1145" i="8" s="1"/>
  <c r="AB1146" i="8"/>
  <c r="AA1146" i="8" s="1"/>
  <c r="AB1147" i="8"/>
  <c r="AA1147" i="8" s="1"/>
  <c r="AB1148" i="8"/>
  <c r="AA1148" i="8" s="1"/>
  <c r="AB1149" i="8"/>
  <c r="AA1149" i="8" s="1"/>
  <c r="AB1150" i="8"/>
  <c r="AA1150" i="8" s="1"/>
  <c r="AB1151" i="8"/>
  <c r="AA1151" i="8" s="1"/>
  <c r="AB1152" i="8"/>
  <c r="AA1152" i="8" s="1"/>
  <c r="AB1153" i="8"/>
  <c r="AA1153" i="8" s="1"/>
  <c r="AB1154" i="8"/>
  <c r="AA1154" i="8" s="1"/>
  <c r="AB1155" i="8"/>
  <c r="AA1155" i="8" s="1"/>
  <c r="AB1156" i="8"/>
  <c r="AA1156" i="8" s="1"/>
  <c r="AB1157" i="8"/>
  <c r="AA1157" i="8" s="1"/>
  <c r="AB1158" i="8"/>
  <c r="AA1158" i="8" s="1"/>
  <c r="AB1159" i="8"/>
  <c r="AA1159" i="8" s="1"/>
  <c r="AB1160" i="8"/>
  <c r="AA1160" i="8" s="1"/>
  <c r="AB1161" i="8"/>
  <c r="AA1161" i="8" s="1"/>
  <c r="AB1162" i="8"/>
  <c r="AA1162" i="8" s="1"/>
  <c r="AB1163" i="8"/>
  <c r="AA1163" i="8" s="1"/>
  <c r="AB1164" i="8"/>
  <c r="AA1164" i="8" s="1"/>
  <c r="AB1165" i="8"/>
  <c r="AA1165" i="8" s="1"/>
  <c r="AB1166" i="8"/>
  <c r="AA1166" i="8" s="1"/>
  <c r="AB1167" i="8"/>
  <c r="AA1167" i="8" s="1"/>
  <c r="AB1168" i="8"/>
  <c r="AA1168" i="8" s="1"/>
  <c r="AB1169" i="8"/>
  <c r="AA1169" i="8" s="1"/>
  <c r="AB1170" i="8"/>
  <c r="AA1170" i="8" s="1"/>
  <c r="AB1171" i="8"/>
  <c r="AA1171" i="8" s="1"/>
  <c r="AB1172" i="8"/>
  <c r="AA1172" i="8" s="1"/>
  <c r="AB1173" i="8"/>
  <c r="AA1173" i="8" s="1"/>
  <c r="AB1174" i="8"/>
  <c r="AA1174" i="8" s="1"/>
  <c r="AB1175" i="8"/>
  <c r="AA1175" i="8" s="1"/>
  <c r="AB1176" i="8"/>
  <c r="AA1176" i="8" s="1"/>
  <c r="AB1177" i="8"/>
  <c r="AA1177" i="8" s="1"/>
  <c r="AB1178" i="8"/>
  <c r="AA1178" i="8" s="1"/>
  <c r="AB1179" i="8"/>
  <c r="AA1179" i="8" s="1"/>
  <c r="AB1180" i="8"/>
  <c r="AA1180" i="8" s="1"/>
  <c r="AB1181" i="8"/>
  <c r="AA1181" i="8" s="1"/>
  <c r="AB1182" i="8"/>
  <c r="AA1182" i="8" s="1"/>
  <c r="AB1183" i="8"/>
  <c r="AA1183" i="8" s="1"/>
  <c r="AB1184" i="8"/>
  <c r="AA1184" i="8" s="1"/>
  <c r="AB1185" i="8"/>
  <c r="AA1185" i="8" s="1"/>
  <c r="AB1186" i="8"/>
  <c r="AA1186" i="8" s="1"/>
  <c r="AB1187" i="8"/>
  <c r="AA1187" i="8" s="1"/>
  <c r="AB1188" i="8"/>
  <c r="AA1188" i="8" s="1"/>
  <c r="AB1189" i="8"/>
  <c r="AA1189" i="8" s="1"/>
  <c r="AB1190" i="8"/>
  <c r="AA1190" i="8" s="1"/>
  <c r="AB1191" i="8"/>
  <c r="AA1191" i="8" s="1"/>
  <c r="AB1192" i="8"/>
  <c r="AA1192" i="8" s="1"/>
  <c r="AB1193" i="8"/>
  <c r="AA1193" i="8" s="1"/>
  <c r="AB1194" i="8"/>
  <c r="AA1194" i="8" s="1"/>
  <c r="AB1195" i="8"/>
  <c r="AA1195" i="8" s="1"/>
  <c r="AB1196" i="8"/>
  <c r="AA1196" i="8" s="1"/>
  <c r="AB1197" i="8"/>
  <c r="AA1197" i="8" s="1"/>
  <c r="AB1198" i="8"/>
  <c r="AA1198" i="8" s="1"/>
  <c r="AB1199" i="8"/>
  <c r="AA1199" i="8" s="1"/>
  <c r="AB1200" i="8"/>
  <c r="AA1200" i="8" s="1"/>
  <c r="AB1201" i="8"/>
  <c r="AA1201" i="8" s="1"/>
  <c r="AB1202" i="8"/>
  <c r="AA1202" i="8" s="1"/>
  <c r="AB1203" i="8"/>
  <c r="AA1203" i="8" s="1"/>
  <c r="AB1204" i="8"/>
  <c r="AA1204" i="8" s="1"/>
  <c r="AB1205" i="8"/>
  <c r="AA1205" i="8" s="1"/>
  <c r="AB1206" i="8"/>
  <c r="AA1206" i="8" s="1"/>
  <c r="AB1207" i="8"/>
  <c r="AA1207" i="8" s="1"/>
  <c r="AB1208" i="8"/>
  <c r="AA1208" i="8" s="1"/>
  <c r="AB1209" i="8"/>
  <c r="AA1209" i="8" s="1"/>
  <c r="AB1210" i="8"/>
  <c r="AA1210" i="8" s="1"/>
  <c r="AB1211" i="8"/>
  <c r="AA1211" i="8" s="1"/>
  <c r="AB1212" i="8"/>
  <c r="AA1212" i="8" s="1"/>
  <c r="AB1213" i="8"/>
  <c r="AA1213" i="8" s="1"/>
  <c r="AB1214" i="8"/>
  <c r="AA1214" i="8" s="1"/>
  <c r="AB1215" i="8"/>
  <c r="AA1215" i="8" s="1"/>
  <c r="AB1216" i="8"/>
  <c r="AA1216" i="8" s="1"/>
  <c r="AB1217" i="8"/>
  <c r="AA1217" i="8" s="1"/>
  <c r="AB1218" i="8"/>
  <c r="AA1218" i="8" s="1"/>
  <c r="AB1219" i="8"/>
  <c r="AA1219" i="8" s="1"/>
  <c r="AB1220" i="8"/>
  <c r="AA1220" i="8" s="1"/>
  <c r="AB1221" i="8"/>
  <c r="AA1221" i="8" s="1"/>
  <c r="AB1222" i="8"/>
  <c r="AA1222" i="8" s="1"/>
  <c r="AB1223" i="8"/>
  <c r="AA1223" i="8" s="1"/>
  <c r="AB1224" i="8"/>
  <c r="AA1224" i="8" s="1"/>
  <c r="AB1225" i="8"/>
  <c r="AA1225" i="8" s="1"/>
  <c r="AB1226" i="8"/>
  <c r="AA1226" i="8" s="1"/>
  <c r="AB1227" i="8"/>
  <c r="AA1227" i="8" s="1"/>
  <c r="AB1228" i="8"/>
  <c r="AA1228" i="8" s="1"/>
  <c r="AB1229" i="8"/>
  <c r="AA1229" i="8" s="1"/>
  <c r="AB1230" i="8"/>
  <c r="AA1230" i="8" s="1"/>
  <c r="AB1231" i="8"/>
  <c r="AA1231" i="8" s="1"/>
  <c r="AB1232" i="8"/>
  <c r="AA1232" i="8" s="1"/>
  <c r="AB1233" i="8"/>
  <c r="AA1233" i="8" s="1"/>
  <c r="AB1234" i="8"/>
  <c r="AA1234" i="8" s="1"/>
  <c r="AB1235" i="8"/>
  <c r="AA1235" i="8" s="1"/>
  <c r="AB1236" i="8"/>
  <c r="AA1236" i="8" s="1"/>
  <c r="AB1237" i="8"/>
  <c r="AA1237" i="8" s="1"/>
  <c r="AB1238" i="8"/>
  <c r="AA1238" i="8" s="1"/>
  <c r="AB1239" i="8"/>
  <c r="AA1239" i="8" s="1"/>
  <c r="AB1240" i="8"/>
  <c r="AA1240" i="8" s="1"/>
  <c r="AB1241" i="8"/>
  <c r="AA1241" i="8" s="1"/>
  <c r="AB1242" i="8"/>
  <c r="AA1242" i="8" s="1"/>
  <c r="AB1243" i="8"/>
  <c r="AA1243" i="8" s="1"/>
  <c r="AB1244" i="8"/>
  <c r="AA1244" i="8" s="1"/>
  <c r="AB1245" i="8"/>
  <c r="AA1245" i="8" s="1"/>
  <c r="AB1246" i="8"/>
  <c r="AA1246" i="8" s="1"/>
  <c r="AB1247" i="8"/>
  <c r="AA1247" i="8" s="1"/>
  <c r="AB1248" i="8"/>
  <c r="AA1248" i="8" s="1"/>
  <c r="AB1249" i="8"/>
  <c r="AA1249" i="8" s="1"/>
  <c r="AB1250" i="8"/>
  <c r="AA1250" i="8" s="1"/>
  <c r="AB1251" i="8"/>
  <c r="AA1251" i="8" s="1"/>
  <c r="AB1252" i="8"/>
  <c r="AA1252" i="8" s="1"/>
  <c r="AB1253" i="8"/>
  <c r="AA1253" i="8" s="1"/>
  <c r="AB1254" i="8"/>
  <c r="AA1254" i="8" s="1"/>
  <c r="AB1255" i="8"/>
  <c r="AA1255" i="8" s="1"/>
  <c r="AB1256" i="8"/>
  <c r="AA1256" i="8" s="1"/>
  <c r="AB1257" i="8"/>
  <c r="AA1257" i="8" s="1"/>
  <c r="AB1258" i="8"/>
  <c r="AA1258" i="8" s="1"/>
  <c r="AB1259" i="8"/>
  <c r="AA1259" i="8" s="1"/>
  <c r="AB1260" i="8"/>
  <c r="AA1260" i="8" s="1"/>
  <c r="AB1261" i="8"/>
  <c r="AA1261" i="8" s="1"/>
  <c r="AB1262" i="8"/>
  <c r="AA1262" i="8" s="1"/>
  <c r="AB1263" i="8"/>
  <c r="AA1263" i="8" s="1"/>
  <c r="AB1264" i="8"/>
  <c r="AA1264" i="8" s="1"/>
  <c r="AB1265" i="8"/>
  <c r="AA1265" i="8" s="1"/>
  <c r="AB1266" i="8"/>
  <c r="AA1266" i="8" s="1"/>
  <c r="AB1267" i="8"/>
  <c r="AA1267" i="8" s="1"/>
  <c r="AB1268" i="8"/>
  <c r="AA1268" i="8" s="1"/>
  <c r="AB1269" i="8"/>
  <c r="AA1269" i="8" s="1"/>
  <c r="AB1270" i="8"/>
  <c r="AA1270" i="8" s="1"/>
  <c r="AB1271" i="8"/>
  <c r="AA1271" i="8" s="1"/>
  <c r="AB1272" i="8"/>
  <c r="AA1272" i="8" s="1"/>
  <c r="AB1273" i="8"/>
  <c r="AA1273" i="8" s="1"/>
  <c r="AB1274" i="8"/>
  <c r="AA1274" i="8" s="1"/>
  <c r="AB1275" i="8"/>
  <c r="AA1275" i="8" s="1"/>
  <c r="AB1276" i="8"/>
  <c r="AA1276" i="8" s="1"/>
  <c r="AB1277" i="8"/>
  <c r="AA1277" i="8" s="1"/>
  <c r="AB1278" i="8"/>
  <c r="AA1278" i="8" s="1"/>
  <c r="AB1279" i="8"/>
  <c r="AA1279" i="8" s="1"/>
  <c r="AB1280" i="8"/>
  <c r="AA1280" i="8" s="1"/>
  <c r="AB1281" i="8"/>
  <c r="AA1281" i="8" s="1"/>
  <c r="AB1282" i="8"/>
  <c r="AA1282" i="8" s="1"/>
  <c r="AB1283" i="8"/>
  <c r="AA1283" i="8" s="1"/>
  <c r="AB1284" i="8"/>
  <c r="AA1284" i="8" s="1"/>
  <c r="AB1285" i="8"/>
  <c r="AA1285" i="8" s="1"/>
  <c r="AB1286" i="8"/>
  <c r="AA1286" i="8" s="1"/>
  <c r="AB1287" i="8"/>
  <c r="AA1287" i="8" s="1"/>
  <c r="AB1288" i="8"/>
  <c r="AA1288" i="8" s="1"/>
  <c r="AB1289" i="8"/>
  <c r="AA1289" i="8" s="1"/>
  <c r="AB1290" i="8"/>
  <c r="AA1290" i="8" s="1"/>
  <c r="AB1291" i="8"/>
  <c r="AA1291" i="8" s="1"/>
  <c r="AB1292" i="8"/>
  <c r="AA1292" i="8" s="1"/>
  <c r="AB1293" i="8"/>
  <c r="AA1293" i="8" s="1"/>
  <c r="AB1294" i="8"/>
  <c r="AA1294" i="8" s="1"/>
  <c r="AB1295" i="8"/>
  <c r="AA1295" i="8" s="1"/>
  <c r="AB1296" i="8"/>
  <c r="AA1296" i="8" s="1"/>
  <c r="AB1297" i="8"/>
  <c r="AA1297" i="8" s="1"/>
  <c r="AB1298" i="8"/>
  <c r="AA1298" i="8" s="1"/>
  <c r="AB1299" i="8"/>
  <c r="AA1299" i="8" s="1"/>
  <c r="AB1300" i="8"/>
  <c r="AA1300" i="8" s="1"/>
  <c r="AB1301" i="8"/>
  <c r="AA1301" i="8" s="1"/>
  <c r="AB1302" i="8"/>
  <c r="AA1302" i="8" s="1"/>
  <c r="AB1303" i="8"/>
  <c r="AA1303" i="8" s="1"/>
  <c r="AB1304" i="8"/>
  <c r="AA1304" i="8" s="1"/>
  <c r="AB1305" i="8"/>
  <c r="AA1305" i="8" s="1"/>
  <c r="AB1306" i="8"/>
  <c r="AA1306" i="8" s="1"/>
  <c r="AB1307" i="8"/>
  <c r="AA1307" i="8" s="1"/>
  <c r="AB1308" i="8"/>
  <c r="AA1308" i="8" s="1"/>
  <c r="AB1309" i="8"/>
  <c r="AA1309" i="8" s="1"/>
  <c r="AB1310" i="8"/>
  <c r="AA1310" i="8" s="1"/>
  <c r="AB1311" i="8"/>
  <c r="AA1311" i="8" s="1"/>
  <c r="AB1312" i="8"/>
  <c r="AA1312" i="8" s="1"/>
  <c r="AB1313" i="8"/>
  <c r="AA1313" i="8" s="1"/>
  <c r="AB1314" i="8"/>
  <c r="AA1314" i="8" s="1"/>
  <c r="AB1315" i="8"/>
  <c r="AA1315" i="8" s="1"/>
  <c r="AB1316" i="8"/>
  <c r="AA1316" i="8" s="1"/>
  <c r="AB1317" i="8"/>
  <c r="AA1317" i="8" s="1"/>
  <c r="AB1318" i="8"/>
  <c r="AA1318" i="8" s="1"/>
  <c r="AB1319" i="8"/>
  <c r="AA1319" i="8" s="1"/>
  <c r="AB1320" i="8"/>
  <c r="AA1320" i="8" s="1"/>
  <c r="AB1321" i="8"/>
  <c r="AA1321" i="8" s="1"/>
  <c r="AB1322" i="8"/>
  <c r="AA1322" i="8" s="1"/>
  <c r="AB1323" i="8"/>
  <c r="AA1323" i="8" s="1"/>
  <c r="AB1324" i="8"/>
  <c r="AA1324" i="8" s="1"/>
  <c r="AB1325" i="8"/>
  <c r="AA1325" i="8" s="1"/>
  <c r="AB1326" i="8"/>
  <c r="AA1326" i="8" s="1"/>
  <c r="AB1327" i="8"/>
  <c r="AA1327" i="8" s="1"/>
  <c r="AB1328" i="8"/>
  <c r="AA1328" i="8" s="1"/>
  <c r="AB1329" i="8"/>
  <c r="AA1329" i="8" s="1"/>
  <c r="AB1330" i="8"/>
  <c r="AA1330" i="8" s="1"/>
  <c r="AB1331" i="8"/>
  <c r="AA1331" i="8" s="1"/>
  <c r="AB1332" i="8"/>
  <c r="AA1332" i="8" s="1"/>
  <c r="AB1333" i="8"/>
  <c r="AA1333" i="8" s="1"/>
  <c r="AB1334" i="8"/>
  <c r="AA1334" i="8" s="1"/>
  <c r="AB1335" i="8"/>
  <c r="AA1335" i="8" s="1"/>
  <c r="AB1336" i="8"/>
  <c r="AA1336" i="8" s="1"/>
  <c r="AB1337" i="8"/>
  <c r="AA1337" i="8" s="1"/>
  <c r="AB1338" i="8"/>
  <c r="AA1338" i="8" s="1"/>
  <c r="AB1339" i="8"/>
  <c r="AA1339" i="8" s="1"/>
  <c r="AB1340" i="8"/>
  <c r="AA1340" i="8" s="1"/>
  <c r="AB1341" i="8"/>
  <c r="AA1341" i="8" s="1"/>
  <c r="AB1342" i="8"/>
  <c r="AA1342" i="8" s="1"/>
  <c r="AB1343" i="8"/>
  <c r="AA1343" i="8" s="1"/>
  <c r="AB1344" i="8"/>
  <c r="AA1344" i="8" s="1"/>
  <c r="AB1345" i="8"/>
  <c r="AA1345" i="8" s="1"/>
  <c r="AB1346" i="8"/>
  <c r="AA1346" i="8" s="1"/>
  <c r="AB1347" i="8"/>
  <c r="AA1347" i="8" s="1"/>
  <c r="AB1348" i="8"/>
  <c r="AA1348" i="8" s="1"/>
  <c r="AB1349" i="8"/>
  <c r="AA1349" i="8" s="1"/>
  <c r="AB1350" i="8"/>
  <c r="AA1350" i="8" s="1"/>
  <c r="AB1351" i="8"/>
  <c r="AA1351" i="8" s="1"/>
  <c r="AB1352" i="8"/>
  <c r="AA1352" i="8" s="1"/>
  <c r="AB1353" i="8"/>
  <c r="AA1353" i="8" s="1"/>
  <c r="AB1354" i="8"/>
  <c r="AA1354" i="8" s="1"/>
  <c r="AB1355" i="8"/>
  <c r="AA1355" i="8" s="1"/>
  <c r="AB1356" i="8"/>
  <c r="AA1356" i="8" s="1"/>
  <c r="AB1357" i="8"/>
  <c r="AA1357" i="8" s="1"/>
  <c r="AB1358" i="8"/>
  <c r="AA1358" i="8" s="1"/>
  <c r="AB1359" i="8"/>
  <c r="AA1359" i="8" s="1"/>
  <c r="AB1360" i="8"/>
  <c r="AA1360" i="8" s="1"/>
  <c r="AB1361" i="8"/>
  <c r="AA1361" i="8" s="1"/>
  <c r="AB1362" i="8"/>
  <c r="AA1362" i="8" s="1"/>
  <c r="AB1363" i="8"/>
  <c r="AA1363" i="8" s="1"/>
  <c r="AB1364" i="8"/>
  <c r="AA1364" i="8" s="1"/>
  <c r="AB1365" i="8"/>
  <c r="AA1365" i="8" s="1"/>
  <c r="AB1366" i="8"/>
  <c r="AA1366" i="8" s="1"/>
  <c r="AB1367" i="8"/>
  <c r="AA1367" i="8" s="1"/>
  <c r="AB1368" i="8"/>
  <c r="AA1368" i="8" s="1"/>
  <c r="AB1369" i="8"/>
  <c r="AA1369" i="8" s="1"/>
  <c r="AB1370" i="8"/>
  <c r="AA1370" i="8" s="1"/>
  <c r="AB1371" i="8"/>
  <c r="AA1371" i="8" s="1"/>
  <c r="AB1372" i="8"/>
  <c r="AA1372" i="8" s="1"/>
  <c r="AB1373" i="8"/>
  <c r="AA1373" i="8" s="1"/>
  <c r="AB1374" i="8"/>
  <c r="AA1374" i="8" s="1"/>
  <c r="AB1375" i="8"/>
  <c r="AA1375" i="8" s="1"/>
  <c r="AB1376" i="8"/>
  <c r="AA1376" i="8" s="1"/>
  <c r="AB1377" i="8"/>
  <c r="AA1377" i="8" s="1"/>
  <c r="AB1378" i="8"/>
  <c r="AA1378" i="8" s="1"/>
  <c r="AB1379" i="8"/>
  <c r="AA1379" i="8" s="1"/>
  <c r="AB1380" i="8"/>
  <c r="AA1380" i="8" s="1"/>
  <c r="AB1381" i="8"/>
  <c r="AA1381" i="8" s="1"/>
  <c r="AB1382" i="8"/>
  <c r="AA1382" i="8" s="1"/>
  <c r="AB1383" i="8"/>
  <c r="AA1383" i="8" s="1"/>
  <c r="AB1384" i="8"/>
  <c r="AA1384" i="8" s="1"/>
  <c r="AB1385" i="8"/>
  <c r="AA1385" i="8" s="1"/>
  <c r="AB1386" i="8"/>
  <c r="AA1386" i="8" s="1"/>
  <c r="AB1387" i="8"/>
  <c r="AA1387" i="8" s="1"/>
  <c r="AB1388" i="8"/>
  <c r="AA1388" i="8" s="1"/>
  <c r="AB1389" i="8"/>
  <c r="AA1389" i="8" s="1"/>
  <c r="AB1390" i="8"/>
  <c r="AA1390" i="8" s="1"/>
  <c r="AB1391" i="8"/>
  <c r="AA1391" i="8" s="1"/>
  <c r="AB1392" i="8"/>
  <c r="AA1392" i="8" s="1"/>
  <c r="AB1393" i="8"/>
  <c r="AA1393" i="8" s="1"/>
  <c r="AB1394" i="8"/>
  <c r="AA1394" i="8" s="1"/>
  <c r="AB1395" i="8"/>
  <c r="AA1395" i="8" s="1"/>
  <c r="AB1396" i="8"/>
  <c r="AA1396" i="8" s="1"/>
  <c r="AB1397" i="8"/>
  <c r="AA1397" i="8" s="1"/>
  <c r="AB1398" i="8"/>
  <c r="AA1398" i="8" s="1"/>
  <c r="AB1399" i="8"/>
  <c r="AA1399" i="8" s="1"/>
  <c r="AB1400" i="8"/>
  <c r="AA1400" i="8" s="1"/>
  <c r="AB1401" i="8"/>
  <c r="AA1401" i="8" s="1"/>
  <c r="AB1402" i="8"/>
  <c r="AA1402" i="8" s="1"/>
  <c r="AB1403" i="8"/>
  <c r="AA1403" i="8" s="1"/>
  <c r="AB1404" i="8"/>
  <c r="AA1404" i="8" s="1"/>
  <c r="AB1405" i="8"/>
  <c r="AA1405" i="8" s="1"/>
  <c r="AB1406" i="8"/>
  <c r="AA1406" i="8" s="1"/>
  <c r="AB1407" i="8"/>
  <c r="AA1407" i="8" s="1"/>
  <c r="AB1408" i="8"/>
  <c r="AA1408" i="8" s="1"/>
  <c r="AB1409" i="8"/>
  <c r="AA1409" i="8" s="1"/>
  <c r="AB1410" i="8"/>
  <c r="AA1410" i="8" s="1"/>
  <c r="AB1411" i="8"/>
  <c r="AA1411" i="8" s="1"/>
  <c r="AB1412" i="8"/>
  <c r="AA1412" i="8" s="1"/>
  <c r="AB1413" i="8"/>
  <c r="AA1413" i="8" s="1"/>
  <c r="AB1414" i="8"/>
  <c r="AA1414" i="8" s="1"/>
  <c r="AB1415" i="8"/>
  <c r="AA1415" i="8" s="1"/>
  <c r="AB1416" i="8"/>
  <c r="AA1416" i="8" s="1"/>
  <c r="AB1417" i="8"/>
  <c r="AA1417" i="8" s="1"/>
  <c r="AB1418" i="8"/>
  <c r="AA1418" i="8" s="1"/>
  <c r="AB1419" i="8"/>
  <c r="AA1419" i="8" s="1"/>
  <c r="AB1420" i="8"/>
  <c r="AA1420" i="8" s="1"/>
  <c r="AB1421" i="8"/>
  <c r="AA1421" i="8" s="1"/>
  <c r="AB1422" i="8"/>
  <c r="AA1422" i="8" s="1"/>
  <c r="AB1423" i="8"/>
  <c r="AA1423" i="8" s="1"/>
  <c r="AB1424" i="8"/>
  <c r="AA1424" i="8" s="1"/>
  <c r="AB1425" i="8"/>
  <c r="AA1425" i="8" s="1"/>
  <c r="AB1426" i="8"/>
  <c r="AA1426" i="8" s="1"/>
  <c r="AB1427" i="8"/>
  <c r="AA1427" i="8" s="1"/>
  <c r="AB1428" i="8"/>
  <c r="AA1428" i="8" s="1"/>
  <c r="AB1429" i="8"/>
  <c r="AA1429" i="8" s="1"/>
  <c r="AB1430" i="8"/>
  <c r="AA1430" i="8" s="1"/>
  <c r="AB1431" i="8"/>
  <c r="AA1431" i="8" s="1"/>
  <c r="AB1432" i="8"/>
  <c r="AA1432" i="8" s="1"/>
  <c r="AB1433" i="8"/>
  <c r="AA1433" i="8" s="1"/>
  <c r="AB1434" i="8"/>
  <c r="AA1434" i="8" s="1"/>
  <c r="AB1435" i="8"/>
  <c r="AA1435" i="8" s="1"/>
  <c r="AB1436" i="8"/>
  <c r="AA1436" i="8" s="1"/>
  <c r="AB1437" i="8"/>
  <c r="AA1437" i="8" s="1"/>
  <c r="AB1438" i="8"/>
  <c r="AA1438" i="8" s="1"/>
  <c r="AB1439" i="8"/>
  <c r="AA1439" i="8" s="1"/>
  <c r="AB1440" i="8"/>
  <c r="AA1440" i="8" s="1"/>
  <c r="AB1441" i="8"/>
  <c r="AA1441" i="8" s="1"/>
  <c r="AB1442" i="8"/>
  <c r="AA1442" i="8" s="1"/>
  <c r="AB1443" i="8"/>
  <c r="AA1443" i="8" s="1"/>
  <c r="AB1444" i="8"/>
  <c r="AA1444" i="8" s="1"/>
  <c r="AB1445" i="8"/>
  <c r="AA1445" i="8" s="1"/>
  <c r="AB1446" i="8"/>
  <c r="AA1446" i="8" s="1"/>
  <c r="AB1447" i="8"/>
  <c r="AA1447" i="8" s="1"/>
  <c r="AB1448" i="8"/>
  <c r="AA1448" i="8" s="1"/>
  <c r="AB1449" i="8"/>
  <c r="AA1449" i="8" s="1"/>
  <c r="AB1450" i="8"/>
  <c r="AA1450" i="8" s="1"/>
  <c r="AB1451" i="8"/>
  <c r="AA1451" i="8" s="1"/>
  <c r="AB1452" i="8"/>
  <c r="AA1452" i="8" s="1"/>
  <c r="AB1453" i="8"/>
  <c r="AA1453" i="8" s="1"/>
  <c r="AB1454" i="8"/>
  <c r="AA1454" i="8" s="1"/>
  <c r="AB1455" i="8"/>
  <c r="AA1455" i="8" s="1"/>
  <c r="AB1456" i="8"/>
  <c r="AA1456" i="8" s="1"/>
  <c r="AB1457" i="8"/>
  <c r="AA1457" i="8" s="1"/>
  <c r="AB1458" i="8"/>
  <c r="AA1458" i="8" s="1"/>
  <c r="AB1459" i="8"/>
  <c r="AA1459" i="8" s="1"/>
  <c r="AB1460" i="8"/>
  <c r="AA1460" i="8" s="1"/>
  <c r="AB1461" i="8"/>
  <c r="AA1461" i="8" s="1"/>
  <c r="AB1462" i="8"/>
  <c r="AA1462" i="8" s="1"/>
  <c r="AB1463" i="8"/>
  <c r="AA1463" i="8" s="1"/>
  <c r="AB1464" i="8"/>
  <c r="AA1464" i="8" s="1"/>
  <c r="AB1465" i="8"/>
  <c r="AA1465" i="8" s="1"/>
  <c r="AB1466" i="8"/>
  <c r="AA1466" i="8" s="1"/>
  <c r="AB1467" i="8"/>
  <c r="AA1467" i="8" s="1"/>
  <c r="AB1468" i="8"/>
  <c r="AA1468" i="8" s="1"/>
  <c r="AB1469" i="8"/>
  <c r="AA1469" i="8" s="1"/>
  <c r="AB1470" i="8"/>
  <c r="AA1470" i="8" s="1"/>
  <c r="AB1471" i="8"/>
  <c r="AA1471" i="8" s="1"/>
  <c r="AB1472" i="8"/>
  <c r="AA1472" i="8" s="1"/>
  <c r="AB1473" i="8"/>
  <c r="AA1473" i="8" s="1"/>
  <c r="AB1474" i="8"/>
  <c r="AA1474" i="8" s="1"/>
  <c r="AB1475" i="8"/>
  <c r="AA1475" i="8" s="1"/>
  <c r="AB1476" i="8"/>
  <c r="AA1476" i="8" s="1"/>
  <c r="AB1477" i="8"/>
  <c r="AA1477" i="8" s="1"/>
  <c r="AB1478" i="8"/>
  <c r="AA1478" i="8" s="1"/>
  <c r="AB1479" i="8"/>
  <c r="AA1479" i="8" s="1"/>
  <c r="AB1480" i="8"/>
  <c r="AA1480" i="8" s="1"/>
  <c r="AB1481" i="8"/>
  <c r="AA1481" i="8" s="1"/>
  <c r="AB1482" i="8"/>
  <c r="AA1482" i="8" s="1"/>
  <c r="AB1483" i="8"/>
  <c r="AA1483" i="8" s="1"/>
  <c r="AB1484" i="8"/>
  <c r="AA1484" i="8" s="1"/>
  <c r="AB1485" i="8"/>
  <c r="AA1485" i="8" s="1"/>
  <c r="AB1486" i="8"/>
  <c r="AA1486" i="8" s="1"/>
  <c r="AB1487" i="8"/>
  <c r="AA1487" i="8" s="1"/>
  <c r="AB1488" i="8"/>
  <c r="AA1488" i="8" s="1"/>
  <c r="AB1489" i="8"/>
  <c r="AA1489" i="8" s="1"/>
  <c r="AB1490" i="8"/>
  <c r="AA1490" i="8" s="1"/>
  <c r="AB1491" i="8"/>
  <c r="AA1491" i="8" s="1"/>
  <c r="AB1492" i="8"/>
  <c r="AA1492" i="8" s="1"/>
  <c r="AB1493" i="8"/>
  <c r="AA1493" i="8" s="1"/>
  <c r="AB1494" i="8"/>
  <c r="AA1494" i="8" s="1"/>
  <c r="AB1495" i="8"/>
  <c r="AA1495" i="8" s="1"/>
  <c r="AB1496" i="8"/>
  <c r="AA1496" i="8" s="1"/>
  <c r="AB1497" i="8"/>
  <c r="AA1497" i="8" s="1"/>
  <c r="AB1498" i="8"/>
  <c r="AA1498" i="8" s="1"/>
  <c r="AB1499" i="8"/>
  <c r="AA1499" i="8" s="1"/>
  <c r="AB1500" i="8"/>
  <c r="AA1500" i="8" s="1"/>
  <c r="AB1501" i="8"/>
  <c r="AA1501" i="8" s="1"/>
  <c r="AB1502" i="8"/>
  <c r="AA1502" i="8" s="1"/>
  <c r="AB1503" i="8"/>
  <c r="AA1503" i="8" s="1"/>
  <c r="AB1504" i="8"/>
  <c r="AA1504" i="8" s="1"/>
  <c r="AB1505" i="8"/>
  <c r="AA1505" i="8" s="1"/>
  <c r="AB1506" i="8"/>
  <c r="AA1506" i="8" s="1"/>
  <c r="AB1507" i="8"/>
  <c r="AA1507" i="8" s="1"/>
  <c r="AB1508" i="8"/>
  <c r="AA1508" i="8" s="1"/>
  <c r="AB1509" i="8"/>
  <c r="AA1509" i="8" s="1"/>
  <c r="AB1510" i="8"/>
  <c r="AA1510" i="8" s="1"/>
  <c r="AB1511" i="8"/>
  <c r="AA1511" i="8" s="1"/>
  <c r="AB1512" i="8"/>
  <c r="AA1512" i="8" s="1"/>
  <c r="AB1513" i="8"/>
  <c r="AA1513" i="8" s="1"/>
  <c r="AB1514" i="8"/>
  <c r="AA1514" i="8" s="1"/>
  <c r="AB1515" i="8"/>
  <c r="AA1515" i="8" s="1"/>
  <c r="AB1516" i="8"/>
  <c r="AA1516" i="8" s="1"/>
  <c r="AB1517" i="8"/>
  <c r="AA1517" i="8" s="1"/>
  <c r="AB1518" i="8"/>
  <c r="AA1518" i="8" s="1"/>
  <c r="AB1519" i="8"/>
  <c r="AA1519" i="8" s="1"/>
  <c r="AB1520" i="8"/>
  <c r="AA1520" i="8" s="1"/>
  <c r="AB1521" i="8"/>
  <c r="AA1521" i="8" s="1"/>
  <c r="AB1522" i="8"/>
  <c r="AA1522" i="8" s="1"/>
  <c r="AB1523" i="8"/>
  <c r="AA1523" i="8" s="1"/>
  <c r="AB1524" i="8"/>
  <c r="AA1524" i="8" s="1"/>
  <c r="AB1525" i="8"/>
  <c r="AA1525" i="8" s="1"/>
  <c r="AB1526" i="8"/>
  <c r="AA1526" i="8" s="1"/>
  <c r="AB1527" i="8"/>
  <c r="AA1527" i="8" s="1"/>
  <c r="AB1528" i="8"/>
  <c r="AA1528" i="8" s="1"/>
  <c r="AB1529" i="8"/>
  <c r="AA1529" i="8" s="1"/>
  <c r="AB1530" i="8"/>
  <c r="AA1530" i="8" s="1"/>
  <c r="AB1531" i="8"/>
  <c r="AA1531" i="8" s="1"/>
  <c r="AB1532" i="8"/>
  <c r="AA1532" i="8" s="1"/>
  <c r="AB1533" i="8"/>
  <c r="AA1533" i="8" s="1"/>
  <c r="AB1534" i="8"/>
  <c r="AA1534" i="8" s="1"/>
  <c r="AB1535" i="8"/>
  <c r="AA1535" i="8" s="1"/>
  <c r="AB1536" i="8"/>
  <c r="AA1536" i="8" s="1"/>
  <c r="AB1537" i="8"/>
  <c r="AA1537" i="8" s="1"/>
  <c r="AB1538" i="8"/>
  <c r="AA1538" i="8" s="1"/>
  <c r="AB1539" i="8"/>
  <c r="AA1539" i="8" s="1"/>
  <c r="AB1540" i="8"/>
  <c r="AA1540" i="8" s="1"/>
  <c r="AB1541" i="8"/>
  <c r="AA1541" i="8" s="1"/>
  <c r="AB1542" i="8"/>
  <c r="AA1542" i="8" s="1"/>
  <c r="AB1543" i="8"/>
  <c r="AA1543" i="8" s="1"/>
  <c r="AB1544" i="8"/>
  <c r="AA1544" i="8" s="1"/>
  <c r="AB1545" i="8"/>
  <c r="AA1545" i="8" s="1"/>
  <c r="AB1546" i="8"/>
  <c r="AA1546" i="8" s="1"/>
  <c r="AB1547" i="8"/>
  <c r="AA1547" i="8" s="1"/>
  <c r="AB1548" i="8"/>
  <c r="AA1548" i="8" s="1"/>
  <c r="AB1549" i="8"/>
  <c r="AA1549" i="8" s="1"/>
  <c r="AB1550" i="8"/>
  <c r="AA1550" i="8" s="1"/>
  <c r="AB1551" i="8"/>
  <c r="AA1551" i="8" s="1"/>
  <c r="AB1552" i="8"/>
  <c r="AA1552" i="8" s="1"/>
  <c r="AB1553" i="8"/>
  <c r="AA1553" i="8" s="1"/>
  <c r="AB1554" i="8"/>
  <c r="AA1554" i="8" s="1"/>
  <c r="AB1555" i="8"/>
  <c r="AA1555" i="8" s="1"/>
  <c r="AB1556" i="8"/>
  <c r="AA1556" i="8" s="1"/>
  <c r="AB1557" i="8"/>
  <c r="AA1557" i="8" s="1"/>
  <c r="AB1558" i="8"/>
  <c r="AA1558" i="8" s="1"/>
  <c r="AB1559" i="8"/>
  <c r="AA1559" i="8" s="1"/>
  <c r="AB1560" i="8"/>
  <c r="AA1560" i="8" s="1"/>
  <c r="AB1561" i="8"/>
  <c r="AA1561" i="8" s="1"/>
  <c r="AB1562" i="8"/>
  <c r="AA1562" i="8" s="1"/>
  <c r="AB1563" i="8"/>
  <c r="AA1563" i="8" s="1"/>
  <c r="AB1564" i="8"/>
  <c r="AA1564" i="8" s="1"/>
  <c r="AB1565" i="8"/>
  <c r="AA1565" i="8" s="1"/>
  <c r="AB1566" i="8"/>
  <c r="AA1566" i="8" s="1"/>
  <c r="AB1567" i="8"/>
  <c r="AA1567" i="8" s="1"/>
  <c r="AB1568" i="8"/>
  <c r="AA1568" i="8" s="1"/>
  <c r="AB1569" i="8"/>
  <c r="AA1569" i="8" s="1"/>
  <c r="AB1570" i="8"/>
  <c r="AA1570" i="8" s="1"/>
  <c r="AB1571" i="8"/>
  <c r="AA1571" i="8" s="1"/>
  <c r="AB1572" i="8"/>
  <c r="AA1572" i="8" s="1"/>
  <c r="AB1573" i="8"/>
  <c r="AA1573" i="8" s="1"/>
  <c r="AB1574" i="8"/>
  <c r="AA1574" i="8" s="1"/>
  <c r="AB1575" i="8"/>
  <c r="AA1575" i="8" s="1"/>
  <c r="AB1576" i="8"/>
  <c r="AA1576" i="8" s="1"/>
  <c r="AB1577" i="8"/>
  <c r="AA1577" i="8" s="1"/>
  <c r="AB1578" i="8"/>
  <c r="AA1578" i="8" s="1"/>
  <c r="AB1579" i="8"/>
  <c r="AA1579" i="8" s="1"/>
  <c r="AB1580" i="8"/>
  <c r="AA1580" i="8" s="1"/>
  <c r="AB1581" i="8"/>
  <c r="AA1581" i="8" s="1"/>
  <c r="AB1582" i="8"/>
  <c r="AA1582" i="8" s="1"/>
  <c r="AB1583" i="8"/>
  <c r="AA1583" i="8" s="1"/>
  <c r="AB1584" i="8"/>
  <c r="AA1584" i="8" s="1"/>
  <c r="AB1585" i="8"/>
  <c r="AA1585" i="8" s="1"/>
  <c r="AB1586" i="8"/>
  <c r="AA1586" i="8" s="1"/>
  <c r="AB1587" i="8"/>
  <c r="AA1587" i="8" s="1"/>
  <c r="AB1588" i="8"/>
  <c r="AA1588" i="8" s="1"/>
  <c r="AB1589" i="8"/>
  <c r="AA1589" i="8" s="1"/>
  <c r="AB1590" i="8"/>
  <c r="AA1590" i="8" s="1"/>
  <c r="AB1591" i="8"/>
  <c r="AA1591" i="8" s="1"/>
  <c r="AB1592" i="8"/>
  <c r="AA1592" i="8" s="1"/>
  <c r="AB1593" i="8"/>
  <c r="AA1593" i="8" s="1"/>
  <c r="AB1594" i="8"/>
  <c r="AA1594" i="8" s="1"/>
  <c r="AB1595" i="8"/>
  <c r="AA1595" i="8" s="1"/>
  <c r="AB1596" i="8"/>
  <c r="AA1596" i="8" s="1"/>
  <c r="AB1597" i="8"/>
  <c r="AA1597" i="8" s="1"/>
  <c r="AB1598" i="8"/>
  <c r="AA1598" i="8" s="1"/>
  <c r="AB1599" i="8"/>
  <c r="AA1599" i="8" s="1"/>
  <c r="AB1600" i="8"/>
  <c r="AA1600" i="8" s="1"/>
  <c r="AB1601" i="8"/>
  <c r="AA1601" i="8" s="1"/>
  <c r="AB1602" i="8"/>
  <c r="AA1602" i="8" s="1"/>
  <c r="AB1603" i="8"/>
  <c r="AA1603" i="8" s="1"/>
  <c r="AB1604" i="8"/>
  <c r="AA1604" i="8" s="1"/>
  <c r="AB1605" i="8"/>
  <c r="AA1605" i="8" s="1"/>
  <c r="AB1606" i="8"/>
  <c r="AA1606" i="8" s="1"/>
  <c r="AB1607" i="8"/>
  <c r="AA1607" i="8" s="1"/>
  <c r="AB1608" i="8"/>
  <c r="AA1608" i="8" s="1"/>
  <c r="AB1609" i="8"/>
  <c r="AA1609" i="8" s="1"/>
  <c r="AB1610" i="8"/>
  <c r="AA1610" i="8" s="1"/>
  <c r="AB1611" i="8"/>
  <c r="AA1611" i="8" s="1"/>
  <c r="AB1612" i="8"/>
  <c r="AA1612" i="8" s="1"/>
  <c r="AB1613" i="8"/>
  <c r="AA1613" i="8" s="1"/>
  <c r="AB1614" i="8"/>
  <c r="AA1614" i="8" s="1"/>
  <c r="AB1615" i="8"/>
  <c r="AA1615" i="8" s="1"/>
  <c r="AB1616" i="8"/>
  <c r="AA1616" i="8" s="1"/>
  <c r="AB1617" i="8"/>
  <c r="AA1617" i="8" s="1"/>
  <c r="AB1618" i="8"/>
  <c r="AA1618" i="8" s="1"/>
  <c r="AB1619" i="8"/>
  <c r="AA1619" i="8" s="1"/>
  <c r="AB1620" i="8"/>
  <c r="AA1620" i="8" s="1"/>
  <c r="AB1621" i="8"/>
  <c r="AA1621" i="8" s="1"/>
  <c r="AB1622" i="8"/>
  <c r="AA1622" i="8" s="1"/>
  <c r="AB1623" i="8"/>
  <c r="AA1623" i="8" s="1"/>
  <c r="AB1624" i="8"/>
  <c r="AA1624" i="8" s="1"/>
  <c r="AB1625" i="8"/>
  <c r="AA1625" i="8" s="1"/>
  <c r="AB1626" i="8"/>
  <c r="AA1626" i="8" s="1"/>
  <c r="AB1627" i="8"/>
  <c r="AA1627" i="8" s="1"/>
  <c r="AB1628" i="8"/>
  <c r="AA1628" i="8" s="1"/>
  <c r="AB1629" i="8"/>
  <c r="AA1629" i="8" s="1"/>
  <c r="AB1630" i="8"/>
  <c r="AA1630" i="8" s="1"/>
  <c r="AB1631" i="8"/>
  <c r="AA1631" i="8" s="1"/>
  <c r="AB1632" i="8"/>
  <c r="AA1632" i="8" s="1"/>
  <c r="AB1633" i="8"/>
  <c r="AA1633" i="8" s="1"/>
  <c r="AB1634" i="8"/>
  <c r="AA1634" i="8" s="1"/>
  <c r="AB1635" i="8"/>
  <c r="AA1635" i="8" s="1"/>
  <c r="AB1636" i="8"/>
  <c r="AA1636" i="8" s="1"/>
  <c r="AB1637" i="8"/>
  <c r="AA1637" i="8" s="1"/>
  <c r="AB1638" i="8"/>
  <c r="AA1638" i="8" s="1"/>
  <c r="AB1639" i="8"/>
  <c r="AA1639" i="8" s="1"/>
  <c r="AB1640" i="8"/>
  <c r="AA1640" i="8" s="1"/>
  <c r="AB1641" i="8"/>
  <c r="AA1641" i="8" s="1"/>
  <c r="AB1642" i="8"/>
  <c r="AA1642" i="8" s="1"/>
  <c r="AB1643" i="8"/>
  <c r="AA1643" i="8" s="1"/>
  <c r="AB1644" i="8"/>
  <c r="AA1644" i="8" s="1"/>
  <c r="AB1645" i="8"/>
  <c r="AA1645" i="8" s="1"/>
  <c r="AB1646" i="8"/>
  <c r="AA1646" i="8" s="1"/>
  <c r="AB1647" i="8"/>
  <c r="AA1647" i="8" s="1"/>
  <c r="AB1648" i="8"/>
  <c r="AA1648" i="8" s="1"/>
  <c r="AB1649" i="8"/>
  <c r="AA1649" i="8" s="1"/>
  <c r="AB1650" i="8"/>
  <c r="AA1650" i="8" s="1"/>
  <c r="AB1651" i="8"/>
  <c r="AA1651" i="8" s="1"/>
  <c r="AB1652" i="8"/>
  <c r="AA1652" i="8" s="1"/>
  <c r="AB1653" i="8"/>
  <c r="AA1653" i="8" s="1"/>
  <c r="AB1654" i="8"/>
  <c r="AA1654" i="8" s="1"/>
  <c r="AB1655" i="8"/>
  <c r="AA1655" i="8" s="1"/>
  <c r="AB1656" i="8"/>
  <c r="AA1656" i="8" s="1"/>
  <c r="AB1657" i="8"/>
  <c r="AA1657" i="8" s="1"/>
  <c r="AB1658" i="8"/>
  <c r="AA1658" i="8" s="1"/>
  <c r="AB1659" i="8"/>
  <c r="AA1659" i="8" s="1"/>
  <c r="AB1660" i="8"/>
  <c r="AA1660" i="8" s="1"/>
  <c r="AB1661" i="8"/>
  <c r="AA1661" i="8" s="1"/>
  <c r="AB1662" i="8"/>
  <c r="AA1662" i="8" s="1"/>
  <c r="AB1663" i="8"/>
  <c r="AA1663" i="8" s="1"/>
  <c r="AB1664" i="8"/>
  <c r="AA1664" i="8" s="1"/>
  <c r="AB1665" i="8"/>
  <c r="AA1665" i="8" s="1"/>
  <c r="AB1666" i="8"/>
  <c r="AA1666" i="8" s="1"/>
  <c r="AB1667" i="8"/>
  <c r="AA1667" i="8" s="1"/>
  <c r="AB1668" i="8"/>
  <c r="AA1668" i="8" s="1"/>
  <c r="AB1669" i="8"/>
  <c r="AA1669" i="8" s="1"/>
  <c r="AB1670" i="8"/>
  <c r="AA1670" i="8" s="1"/>
  <c r="AB1671" i="8"/>
  <c r="AA1671" i="8" s="1"/>
  <c r="AB1672" i="8"/>
  <c r="AA1672" i="8" s="1"/>
  <c r="AB1673" i="8"/>
  <c r="AA1673" i="8" s="1"/>
  <c r="AB1674" i="8"/>
  <c r="AA1674" i="8" s="1"/>
  <c r="AB1675" i="8"/>
  <c r="AA1675" i="8" s="1"/>
  <c r="AB1676" i="8"/>
  <c r="AA1676" i="8" s="1"/>
  <c r="AB1677" i="8"/>
  <c r="AA1677" i="8" s="1"/>
  <c r="AB1678" i="8"/>
  <c r="AA1678" i="8" s="1"/>
  <c r="AB1679" i="8"/>
  <c r="AA1679" i="8" s="1"/>
  <c r="AB1680" i="8"/>
  <c r="AA1680" i="8" s="1"/>
  <c r="AB1681" i="8"/>
  <c r="AA1681" i="8" s="1"/>
  <c r="AB1682" i="8"/>
  <c r="AA1682" i="8" s="1"/>
  <c r="AB1683" i="8"/>
  <c r="AA1683" i="8" s="1"/>
  <c r="AB1684" i="8"/>
  <c r="AA1684" i="8" s="1"/>
  <c r="AB1685" i="8"/>
  <c r="AA1685" i="8" s="1"/>
  <c r="AB1686" i="8"/>
  <c r="AA1686" i="8" s="1"/>
  <c r="AB1687" i="8"/>
  <c r="AA1687" i="8" s="1"/>
  <c r="AB1688" i="8"/>
  <c r="AA1688" i="8" s="1"/>
  <c r="AB1689" i="8"/>
  <c r="AA1689" i="8" s="1"/>
  <c r="AB1690" i="8"/>
  <c r="AA1690" i="8" s="1"/>
  <c r="AB1691" i="8"/>
  <c r="AA1691" i="8" s="1"/>
  <c r="AB1692" i="8"/>
  <c r="AA1692" i="8" s="1"/>
  <c r="AB1693" i="8"/>
  <c r="AA1693" i="8" s="1"/>
  <c r="AB1694" i="8"/>
  <c r="AA1694" i="8" s="1"/>
  <c r="AB1695" i="8"/>
  <c r="AA1695" i="8" s="1"/>
  <c r="AB1696" i="8"/>
  <c r="AA1696" i="8" s="1"/>
  <c r="AB1697" i="8"/>
  <c r="AA1697" i="8" s="1"/>
  <c r="AB1698" i="8"/>
  <c r="AA1698" i="8" s="1"/>
  <c r="AB1699" i="8"/>
  <c r="AA1699" i="8" s="1"/>
  <c r="AB1700" i="8"/>
  <c r="AA1700" i="8" s="1"/>
  <c r="AB1701" i="8"/>
  <c r="AA1701" i="8" s="1"/>
  <c r="AB1702" i="8"/>
  <c r="AA1702" i="8" s="1"/>
  <c r="AB1703" i="8"/>
  <c r="AA1703" i="8" s="1"/>
  <c r="AB1704" i="8"/>
  <c r="AA1704" i="8" s="1"/>
  <c r="AB1705" i="8"/>
  <c r="AA1705" i="8" s="1"/>
  <c r="AB1706" i="8"/>
  <c r="AA1706" i="8" s="1"/>
  <c r="AB1707" i="8"/>
  <c r="AA1707" i="8" s="1"/>
  <c r="AB1708" i="8"/>
  <c r="AA1708" i="8" s="1"/>
  <c r="AB1709" i="8"/>
  <c r="AA1709" i="8" s="1"/>
  <c r="AB1710" i="8"/>
  <c r="AA1710" i="8" s="1"/>
  <c r="AB1711" i="8"/>
  <c r="AA1711" i="8" s="1"/>
  <c r="AB1712" i="8"/>
  <c r="AA1712" i="8" s="1"/>
  <c r="AB1713" i="8"/>
  <c r="AA1713" i="8" s="1"/>
  <c r="AB1714" i="8"/>
  <c r="AA1714" i="8" s="1"/>
  <c r="AB1715" i="8"/>
  <c r="AA1715" i="8" s="1"/>
  <c r="AB1716" i="8"/>
  <c r="AA1716" i="8" s="1"/>
  <c r="AB1717" i="8"/>
  <c r="AA1717" i="8" s="1"/>
  <c r="AB1718" i="8"/>
  <c r="AA1718" i="8" s="1"/>
  <c r="AB1719" i="8"/>
  <c r="AA1719" i="8" s="1"/>
  <c r="AB1720" i="8"/>
  <c r="AA1720" i="8" s="1"/>
  <c r="AB1721" i="8"/>
  <c r="AA1721" i="8" s="1"/>
  <c r="AB1722" i="8"/>
  <c r="AA1722" i="8" s="1"/>
  <c r="AB1723" i="8"/>
  <c r="AA1723" i="8" s="1"/>
  <c r="AB1724" i="8"/>
  <c r="AA1724" i="8" s="1"/>
  <c r="AB1725" i="8"/>
  <c r="AA1725" i="8" s="1"/>
  <c r="AB1726" i="8"/>
  <c r="AA1726" i="8" s="1"/>
  <c r="AB1727" i="8"/>
  <c r="AA1727" i="8" s="1"/>
  <c r="AB1728" i="8"/>
  <c r="AA1728" i="8" s="1"/>
  <c r="AB1729" i="8"/>
  <c r="AA1729" i="8" s="1"/>
  <c r="AB1730" i="8"/>
  <c r="AA1730" i="8" s="1"/>
  <c r="AB1731" i="8"/>
  <c r="AA1731" i="8" s="1"/>
  <c r="AB1732" i="8"/>
  <c r="AA1732" i="8" s="1"/>
  <c r="AB1733" i="8"/>
  <c r="AA1733" i="8" s="1"/>
  <c r="AB1734" i="8"/>
  <c r="AA1734" i="8" s="1"/>
  <c r="AB1735" i="8"/>
  <c r="AA1735" i="8" s="1"/>
  <c r="AB1736" i="8"/>
  <c r="AA1736" i="8" s="1"/>
  <c r="AB1737" i="8"/>
  <c r="AA1737" i="8" s="1"/>
  <c r="AB1738" i="8"/>
  <c r="AA1738" i="8" s="1"/>
  <c r="AB1739" i="8"/>
  <c r="AA1739" i="8" s="1"/>
  <c r="AB1740" i="8"/>
  <c r="AA1740" i="8" s="1"/>
  <c r="AB1741" i="8"/>
  <c r="AA1741" i="8" s="1"/>
  <c r="AB1742" i="8"/>
  <c r="AA1742" i="8" s="1"/>
  <c r="AB1743" i="8"/>
  <c r="AA1743" i="8" s="1"/>
  <c r="AB1744" i="8"/>
  <c r="AA1744" i="8" s="1"/>
  <c r="AB1745" i="8"/>
  <c r="AA1745" i="8" s="1"/>
  <c r="AB1746" i="8"/>
  <c r="AA1746" i="8" s="1"/>
  <c r="AB1747" i="8"/>
  <c r="AA1747" i="8" s="1"/>
  <c r="AB1748" i="8"/>
  <c r="AA1748" i="8" s="1"/>
  <c r="AB1749" i="8"/>
  <c r="AA1749" i="8" s="1"/>
  <c r="AB1750" i="8"/>
  <c r="AA1750" i="8" s="1"/>
  <c r="AB1751" i="8"/>
  <c r="AA1751" i="8" s="1"/>
  <c r="AB1752" i="8"/>
  <c r="AA1752" i="8" s="1"/>
  <c r="AB1753" i="8"/>
  <c r="AA1753" i="8" s="1"/>
  <c r="AB1754" i="8"/>
  <c r="AA1754" i="8" s="1"/>
  <c r="AB1755" i="8"/>
  <c r="AA1755" i="8" s="1"/>
  <c r="AB1756" i="8"/>
  <c r="AA1756" i="8" s="1"/>
  <c r="AB1757" i="8"/>
  <c r="AA1757" i="8" s="1"/>
  <c r="AB1758" i="8"/>
  <c r="AA1758" i="8" s="1"/>
  <c r="AB1759" i="8"/>
  <c r="AA1759" i="8" s="1"/>
  <c r="AB1760" i="8"/>
  <c r="AA1760" i="8" s="1"/>
  <c r="AB1761" i="8"/>
  <c r="AA1761" i="8" s="1"/>
  <c r="AB1762" i="8"/>
  <c r="AA1762" i="8" s="1"/>
  <c r="AB1763" i="8"/>
  <c r="AA1763" i="8" s="1"/>
  <c r="AB1764" i="8"/>
  <c r="AA1764" i="8" s="1"/>
  <c r="AB1765" i="8"/>
  <c r="AA1765" i="8" s="1"/>
  <c r="AB1766" i="8"/>
  <c r="AA1766" i="8" s="1"/>
  <c r="AB1767" i="8"/>
  <c r="AA1767" i="8" s="1"/>
  <c r="AB1768" i="8"/>
  <c r="AA1768" i="8" s="1"/>
  <c r="AB1769" i="8"/>
  <c r="AA1769" i="8" s="1"/>
  <c r="AB1770" i="8"/>
  <c r="AA1770" i="8" s="1"/>
  <c r="AB1771" i="8"/>
  <c r="AA1771" i="8" s="1"/>
  <c r="AB1772" i="8"/>
  <c r="AA1772" i="8" s="1"/>
  <c r="AB1773" i="8"/>
  <c r="AA1773" i="8" s="1"/>
  <c r="AB1774" i="8"/>
  <c r="AA1774" i="8" s="1"/>
  <c r="AB1775" i="8"/>
  <c r="AA1775" i="8" s="1"/>
  <c r="AB1776" i="8"/>
  <c r="AA1776" i="8" s="1"/>
  <c r="AB1777" i="8"/>
  <c r="AA1777" i="8" s="1"/>
  <c r="AB1778" i="8"/>
  <c r="AA1778" i="8" s="1"/>
  <c r="AB1779" i="8"/>
  <c r="AA1779" i="8" s="1"/>
  <c r="AB1780" i="8"/>
  <c r="AA1780" i="8" s="1"/>
  <c r="AB1781" i="8"/>
  <c r="AA1781" i="8" s="1"/>
  <c r="AB1782" i="8"/>
  <c r="AA1782" i="8" s="1"/>
  <c r="AB1783" i="8"/>
  <c r="AA1783" i="8" s="1"/>
  <c r="AB1784" i="8"/>
  <c r="AA1784" i="8" s="1"/>
  <c r="AB1785" i="8"/>
  <c r="AA1785" i="8" s="1"/>
  <c r="AB1786" i="8"/>
  <c r="AA1786" i="8" s="1"/>
  <c r="AB1787" i="8"/>
  <c r="AA1787" i="8" s="1"/>
  <c r="AB1788" i="8"/>
  <c r="AA1788" i="8" s="1"/>
  <c r="AB1789" i="8"/>
  <c r="AA1789" i="8" s="1"/>
  <c r="AB1790" i="8"/>
  <c r="AA1790" i="8" s="1"/>
  <c r="AB1791" i="8"/>
  <c r="AA1791" i="8" s="1"/>
  <c r="AB1792" i="8"/>
  <c r="AA1792" i="8" s="1"/>
  <c r="AB1793" i="8"/>
  <c r="AA1793" i="8" s="1"/>
  <c r="AB1794" i="8"/>
  <c r="AA1794" i="8" s="1"/>
  <c r="AB1795" i="8"/>
  <c r="AA1795" i="8" s="1"/>
  <c r="AB1796" i="8"/>
  <c r="AA1796" i="8" s="1"/>
  <c r="AB1797" i="8"/>
  <c r="AA1797" i="8" s="1"/>
  <c r="AB1798" i="8"/>
  <c r="AA1798" i="8" s="1"/>
  <c r="AB1799" i="8"/>
  <c r="AA1799" i="8" s="1"/>
  <c r="AB1800" i="8"/>
  <c r="AA1800" i="8" s="1"/>
  <c r="AB1801" i="8"/>
  <c r="AA1801" i="8" s="1"/>
  <c r="AB1802" i="8"/>
  <c r="AA1802" i="8" s="1"/>
  <c r="AB1803" i="8"/>
  <c r="AA1803" i="8" s="1"/>
  <c r="AB1804" i="8"/>
  <c r="AA1804" i="8" s="1"/>
  <c r="AB1805" i="8"/>
  <c r="AA1805" i="8" s="1"/>
  <c r="AB1806" i="8"/>
  <c r="AA1806" i="8" s="1"/>
  <c r="AB1807" i="8"/>
  <c r="AA1807" i="8" s="1"/>
  <c r="AB1808" i="8"/>
  <c r="AA1808" i="8" s="1"/>
  <c r="AB1809" i="8"/>
  <c r="AA1809" i="8" s="1"/>
  <c r="AB1810" i="8"/>
  <c r="AA1810" i="8" s="1"/>
  <c r="AB1811" i="8"/>
  <c r="AA1811" i="8" s="1"/>
  <c r="AB1812" i="8"/>
  <c r="AA1812" i="8" s="1"/>
  <c r="AB1813" i="8"/>
  <c r="AA1813" i="8" s="1"/>
  <c r="AB1814" i="8"/>
  <c r="AA1814" i="8" s="1"/>
  <c r="AB1815" i="8"/>
  <c r="AA1815" i="8" s="1"/>
  <c r="AB1816" i="8"/>
  <c r="AA1816" i="8" s="1"/>
  <c r="AB1817" i="8"/>
  <c r="AA1817" i="8" s="1"/>
  <c r="AB1818" i="8"/>
  <c r="AA1818" i="8" s="1"/>
  <c r="AB1819" i="8"/>
  <c r="AA1819" i="8" s="1"/>
  <c r="AB1820" i="8"/>
  <c r="AA1820" i="8" s="1"/>
  <c r="AB1821" i="8"/>
  <c r="AA1821" i="8" s="1"/>
  <c r="AB1822" i="8"/>
  <c r="AA1822" i="8" s="1"/>
  <c r="AB1823" i="8"/>
  <c r="AA1823" i="8" s="1"/>
  <c r="AB1824" i="8"/>
  <c r="AA1824" i="8" s="1"/>
  <c r="AB1825" i="8"/>
  <c r="AA1825" i="8" s="1"/>
  <c r="AB1826" i="8"/>
  <c r="AA1826" i="8" s="1"/>
  <c r="AB1827" i="8"/>
  <c r="AA1827" i="8" s="1"/>
  <c r="AB1828" i="8"/>
  <c r="AA1828" i="8" s="1"/>
  <c r="AB1829" i="8"/>
  <c r="AA1829" i="8" s="1"/>
  <c r="AB1830" i="8"/>
  <c r="AA1830" i="8" s="1"/>
  <c r="AB1831" i="8"/>
  <c r="AA1831" i="8" s="1"/>
  <c r="AB1832" i="8"/>
  <c r="AA1832" i="8" s="1"/>
  <c r="AB1833" i="8"/>
  <c r="AA1833" i="8" s="1"/>
  <c r="AB1834" i="8"/>
  <c r="AA1834" i="8" s="1"/>
  <c r="AB1835" i="8"/>
  <c r="AA1835" i="8" s="1"/>
  <c r="AB1836" i="8"/>
  <c r="AA1836" i="8" s="1"/>
  <c r="AB1837" i="8"/>
  <c r="AA1837" i="8" s="1"/>
  <c r="AB1838" i="8"/>
  <c r="AA1838" i="8" s="1"/>
  <c r="AB1839" i="8"/>
  <c r="AA1839" i="8" s="1"/>
  <c r="AB1840" i="8"/>
  <c r="AA1840" i="8" s="1"/>
  <c r="AB1841" i="8"/>
  <c r="AA1841" i="8" s="1"/>
  <c r="AB1842" i="8"/>
  <c r="AA1842" i="8" s="1"/>
  <c r="AB1843" i="8"/>
  <c r="AA1843" i="8" s="1"/>
  <c r="AB1844" i="8"/>
  <c r="AA1844" i="8" s="1"/>
  <c r="AB1845" i="8"/>
  <c r="AA1845" i="8" s="1"/>
  <c r="AB1846" i="8"/>
  <c r="AA1846" i="8" s="1"/>
  <c r="AB1847" i="8"/>
  <c r="AA1847" i="8" s="1"/>
  <c r="AB1848" i="8"/>
  <c r="AA1848" i="8" s="1"/>
  <c r="AB1849" i="8"/>
  <c r="AA1849" i="8" s="1"/>
  <c r="AB1850" i="8"/>
  <c r="AA1850" i="8" s="1"/>
  <c r="AB1851" i="8"/>
  <c r="AA1851" i="8" s="1"/>
  <c r="AB1852" i="8"/>
  <c r="AA1852" i="8" s="1"/>
  <c r="AB1853" i="8"/>
  <c r="AA1853" i="8" s="1"/>
  <c r="AB1854" i="8"/>
  <c r="AA1854" i="8" s="1"/>
  <c r="AB1855" i="8"/>
  <c r="AA1855" i="8" s="1"/>
  <c r="AB1856" i="8"/>
  <c r="AA1856" i="8" s="1"/>
  <c r="AB1857" i="8"/>
  <c r="AA1857" i="8" s="1"/>
  <c r="AB1858" i="8"/>
  <c r="AA1858" i="8" s="1"/>
  <c r="AB1859" i="8"/>
  <c r="AA1859" i="8" s="1"/>
  <c r="AB1860" i="8"/>
  <c r="AA1860" i="8" s="1"/>
  <c r="AB1861" i="8"/>
  <c r="AA1861" i="8" s="1"/>
  <c r="AB1862" i="8"/>
  <c r="AA1862" i="8" s="1"/>
  <c r="AB1863" i="8"/>
  <c r="AA1863" i="8" s="1"/>
  <c r="AB1864" i="8"/>
  <c r="AA1864" i="8" s="1"/>
  <c r="AB1865" i="8"/>
  <c r="AA1865" i="8" s="1"/>
  <c r="AB1866" i="8"/>
  <c r="AA1866" i="8" s="1"/>
  <c r="AB1867" i="8"/>
  <c r="AA1867" i="8" s="1"/>
  <c r="AB1868" i="8"/>
  <c r="AA1868" i="8" s="1"/>
  <c r="AB1869" i="8"/>
  <c r="AA1869" i="8" s="1"/>
  <c r="AB1870" i="8"/>
  <c r="AA1870" i="8" s="1"/>
  <c r="AB1871" i="8"/>
  <c r="AA1871" i="8" s="1"/>
  <c r="AB1872" i="8"/>
  <c r="AA1872" i="8" s="1"/>
  <c r="AB1873" i="8"/>
  <c r="AA1873" i="8" s="1"/>
  <c r="AB1874" i="8"/>
  <c r="AA1874" i="8" s="1"/>
  <c r="AB1875" i="8"/>
  <c r="AA1875" i="8" s="1"/>
  <c r="AB1876" i="8"/>
  <c r="AA1876" i="8" s="1"/>
  <c r="AB1877" i="8"/>
  <c r="AA1877" i="8" s="1"/>
  <c r="AB1878" i="8"/>
  <c r="AA1878" i="8" s="1"/>
  <c r="AB1879" i="8"/>
  <c r="AA1879" i="8" s="1"/>
  <c r="AB1880" i="8"/>
  <c r="AA1880" i="8" s="1"/>
  <c r="AB1881" i="8"/>
  <c r="AA1881" i="8" s="1"/>
  <c r="AB1882" i="8"/>
  <c r="AA1882" i="8" s="1"/>
  <c r="AB1883" i="8"/>
  <c r="AA1883" i="8" s="1"/>
  <c r="AB1884" i="8"/>
  <c r="AA1884" i="8" s="1"/>
  <c r="AB1885" i="8"/>
  <c r="AA1885" i="8" s="1"/>
  <c r="AB1886" i="8"/>
  <c r="AA1886" i="8" s="1"/>
  <c r="AB1887" i="8"/>
  <c r="AA1887" i="8" s="1"/>
  <c r="AB1888" i="8"/>
  <c r="AA1888" i="8" s="1"/>
  <c r="AB1889" i="8"/>
  <c r="AA1889" i="8" s="1"/>
  <c r="AB1890" i="8"/>
  <c r="AA1890" i="8" s="1"/>
  <c r="AB1891" i="8"/>
  <c r="AA1891" i="8" s="1"/>
  <c r="AB1892" i="8"/>
  <c r="AA1892" i="8" s="1"/>
  <c r="AB1893" i="8"/>
  <c r="AA1893" i="8" s="1"/>
  <c r="AB1894" i="8"/>
  <c r="AA1894" i="8" s="1"/>
  <c r="AB1895" i="8"/>
  <c r="AA1895" i="8" s="1"/>
  <c r="AB1896" i="8"/>
  <c r="AA1896" i="8" s="1"/>
  <c r="AB1897" i="8"/>
  <c r="AA1897" i="8" s="1"/>
  <c r="AB1898" i="8"/>
  <c r="AA1898" i="8" s="1"/>
  <c r="AB1899" i="8"/>
  <c r="AA1899" i="8" s="1"/>
  <c r="AB1900" i="8"/>
  <c r="AA1900" i="8" s="1"/>
  <c r="AB1901" i="8"/>
  <c r="AA1901" i="8" s="1"/>
  <c r="AB1902" i="8"/>
  <c r="AA1902" i="8" s="1"/>
  <c r="AB1903" i="8"/>
  <c r="AA1903" i="8" s="1"/>
  <c r="AB1904" i="8"/>
  <c r="AA1904" i="8" s="1"/>
  <c r="AB1905" i="8"/>
  <c r="AA1905" i="8" s="1"/>
  <c r="AB1906" i="8"/>
  <c r="AA1906" i="8" s="1"/>
  <c r="AB1907" i="8"/>
  <c r="AA1907" i="8" s="1"/>
  <c r="AB1908" i="8"/>
  <c r="AA1908" i="8" s="1"/>
  <c r="AB1909" i="8"/>
  <c r="AA1909" i="8" s="1"/>
  <c r="AB1910" i="8"/>
  <c r="AA1910" i="8" s="1"/>
  <c r="AB1911" i="8"/>
  <c r="AA1911" i="8" s="1"/>
  <c r="AB1912" i="8"/>
  <c r="AA1912" i="8" s="1"/>
  <c r="AB1913" i="8"/>
  <c r="AA1913" i="8" s="1"/>
  <c r="AB1914" i="8"/>
  <c r="AA1914" i="8" s="1"/>
  <c r="AB1915" i="8"/>
  <c r="AA1915" i="8" s="1"/>
  <c r="AB1916" i="8"/>
  <c r="AA1916" i="8" s="1"/>
  <c r="AB1917" i="8"/>
  <c r="AA1917" i="8" s="1"/>
  <c r="AB1918" i="8"/>
  <c r="AA1918" i="8" s="1"/>
  <c r="AB1919" i="8"/>
  <c r="AA1919" i="8" s="1"/>
  <c r="AB1920" i="8"/>
  <c r="AA1920" i="8" s="1"/>
  <c r="AB1921" i="8"/>
  <c r="AA1921" i="8" s="1"/>
  <c r="AB1922" i="8"/>
  <c r="AA1922" i="8" s="1"/>
  <c r="AB1923" i="8"/>
  <c r="AA1923" i="8" s="1"/>
  <c r="AB1924" i="8"/>
  <c r="AA1924" i="8" s="1"/>
  <c r="AB1925" i="8"/>
  <c r="AA1925" i="8" s="1"/>
  <c r="AB1926" i="8"/>
  <c r="AA1926" i="8" s="1"/>
  <c r="AB1927" i="8"/>
  <c r="AA1927" i="8" s="1"/>
  <c r="AB1928" i="8"/>
  <c r="AA1928" i="8" s="1"/>
  <c r="AB1929" i="8"/>
  <c r="AA1929" i="8" s="1"/>
  <c r="AB1930" i="8"/>
  <c r="AA1930" i="8" s="1"/>
  <c r="AB1931" i="8"/>
  <c r="AA1931" i="8" s="1"/>
  <c r="AB1932" i="8"/>
  <c r="AA1932" i="8" s="1"/>
  <c r="AB1933" i="8"/>
  <c r="AA1933" i="8" s="1"/>
  <c r="AB1934" i="8"/>
  <c r="AA1934" i="8" s="1"/>
  <c r="AB1935" i="8"/>
  <c r="AA1935" i="8" s="1"/>
  <c r="AB1936" i="8"/>
  <c r="AA1936" i="8" s="1"/>
  <c r="AB1937" i="8"/>
  <c r="AA1937" i="8" s="1"/>
  <c r="AB1938" i="8"/>
  <c r="AA1938" i="8" s="1"/>
  <c r="AB1939" i="8"/>
  <c r="AA1939" i="8" s="1"/>
  <c r="AB1940" i="8"/>
  <c r="AA1940" i="8" s="1"/>
  <c r="AB1941" i="8"/>
  <c r="AA1941" i="8" s="1"/>
  <c r="AB1942" i="8"/>
  <c r="AA1942" i="8" s="1"/>
  <c r="AB1943" i="8"/>
  <c r="AA1943" i="8" s="1"/>
  <c r="AB1944" i="8"/>
  <c r="AA1944" i="8" s="1"/>
  <c r="AB1945" i="8"/>
  <c r="AA1945" i="8" s="1"/>
  <c r="AB1946" i="8"/>
  <c r="AA1946" i="8" s="1"/>
  <c r="AB1947" i="8"/>
  <c r="AA1947" i="8" s="1"/>
  <c r="AB1948" i="8"/>
  <c r="AA1948" i="8" s="1"/>
  <c r="AB1949" i="8"/>
  <c r="AA1949" i="8" s="1"/>
  <c r="AB1950" i="8"/>
  <c r="AA1950" i="8" s="1"/>
  <c r="AB1951" i="8"/>
  <c r="AA1951" i="8" s="1"/>
  <c r="AB1952" i="8"/>
  <c r="AA1952" i="8" s="1"/>
  <c r="AB1953" i="8"/>
  <c r="AA1953" i="8" s="1"/>
  <c r="AB1954" i="8"/>
  <c r="AA1954" i="8" s="1"/>
  <c r="AB1955" i="8"/>
  <c r="AA1955" i="8" s="1"/>
  <c r="AB1956" i="8"/>
  <c r="AA1956" i="8" s="1"/>
  <c r="AB1957" i="8"/>
  <c r="AA1957" i="8" s="1"/>
  <c r="AB1958" i="8"/>
  <c r="AA1958" i="8" s="1"/>
  <c r="AB1959" i="8"/>
  <c r="AA1959" i="8" s="1"/>
  <c r="AB1960" i="8"/>
  <c r="AA1960" i="8" s="1"/>
  <c r="AB1961" i="8"/>
  <c r="AA1961" i="8" s="1"/>
  <c r="AB1962" i="8"/>
  <c r="AA1962" i="8" s="1"/>
  <c r="AB1963" i="8"/>
  <c r="AA1963" i="8" s="1"/>
  <c r="AB1964" i="8"/>
  <c r="AA1964" i="8" s="1"/>
  <c r="AB1965" i="8"/>
  <c r="AA1965" i="8" s="1"/>
  <c r="AB1966" i="8"/>
  <c r="AA1966" i="8" s="1"/>
  <c r="AB1967" i="8"/>
  <c r="AA1967" i="8" s="1"/>
  <c r="AB1968" i="8"/>
  <c r="AA1968" i="8" s="1"/>
  <c r="AB1969" i="8"/>
  <c r="AA1969" i="8" s="1"/>
  <c r="AB1970" i="8"/>
  <c r="AA1970" i="8" s="1"/>
  <c r="AB1971" i="8"/>
  <c r="AA1971" i="8" s="1"/>
  <c r="AB1972" i="8"/>
  <c r="AA1972" i="8" s="1"/>
  <c r="AB1973" i="8"/>
  <c r="AA1973" i="8" s="1"/>
  <c r="AB1974" i="8"/>
  <c r="AA1974" i="8" s="1"/>
  <c r="AB1975" i="8"/>
  <c r="AA1975" i="8" s="1"/>
  <c r="AB1976" i="8"/>
  <c r="AA1976" i="8" s="1"/>
  <c r="AB1977" i="8"/>
  <c r="AA1977" i="8" s="1"/>
  <c r="AB1978" i="8"/>
  <c r="AA1978" i="8" s="1"/>
  <c r="AB1979" i="8"/>
  <c r="AA1979" i="8" s="1"/>
  <c r="AB1980" i="8"/>
  <c r="AA1980" i="8" s="1"/>
  <c r="AB1981" i="8"/>
  <c r="AA1981" i="8" s="1"/>
  <c r="AB1982" i="8"/>
  <c r="AA1982" i="8" s="1"/>
  <c r="AB1983" i="8"/>
  <c r="AA1983" i="8" s="1"/>
  <c r="AB1984" i="8"/>
  <c r="AA1984" i="8" s="1"/>
  <c r="AB1985" i="8"/>
  <c r="AA1985" i="8" s="1"/>
  <c r="AB1986" i="8"/>
  <c r="AA1986" i="8" s="1"/>
  <c r="AB1987" i="8"/>
  <c r="AA1987" i="8" s="1"/>
  <c r="AB1988" i="8"/>
  <c r="AA1988" i="8" s="1"/>
  <c r="AB1989" i="8"/>
  <c r="AA1989" i="8" s="1"/>
  <c r="AB1990" i="8"/>
  <c r="AA1990" i="8" s="1"/>
  <c r="AB1991" i="8"/>
  <c r="AA1991" i="8" s="1"/>
  <c r="AB1992" i="8"/>
  <c r="AA1992" i="8" s="1"/>
  <c r="AB1993" i="8"/>
  <c r="AA1993" i="8" s="1"/>
  <c r="AB1994" i="8"/>
  <c r="AA1994" i="8" s="1"/>
  <c r="AB1995" i="8"/>
  <c r="AA1995" i="8" s="1"/>
  <c r="AB1996" i="8"/>
  <c r="AA1996" i="8" s="1"/>
  <c r="AB1997" i="8"/>
  <c r="AA1997" i="8" s="1"/>
  <c r="AB1998" i="8"/>
  <c r="AA1998" i="8" s="1"/>
  <c r="AB1999" i="8"/>
  <c r="AA1999" i="8" s="1"/>
  <c r="AB2000" i="8"/>
  <c r="AA2000" i="8" s="1"/>
  <c r="AB2001" i="8"/>
  <c r="AA2001" i="8" s="1"/>
  <c r="AB2002" i="8"/>
  <c r="AA2002" i="8" s="1"/>
  <c r="AB2003" i="8"/>
  <c r="AA2003" i="8" s="1"/>
  <c r="AB2004" i="8"/>
  <c r="AA2004" i="8" s="1"/>
  <c r="AB2005" i="8"/>
  <c r="AA2005" i="8" s="1"/>
  <c r="AB2006" i="8"/>
  <c r="AA2006" i="8" s="1"/>
  <c r="AB2007" i="8"/>
  <c r="AA2007" i="8" s="1"/>
  <c r="AB2008" i="8"/>
  <c r="AA2008" i="8" s="1"/>
  <c r="AB2009" i="8"/>
  <c r="AA2009" i="8" s="1"/>
  <c r="AB2010" i="8"/>
  <c r="AA2010" i="8" s="1"/>
  <c r="AB2011" i="8"/>
  <c r="AA2011" i="8" s="1"/>
  <c r="AB2012" i="8"/>
  <c r="AA2012" i="8" s="1"/>
  <c r="AB2013" i="8"/>
  <c r="AA2013" i="8" s="1"/>
  <c r="AB2014" i="8"/>
  <c r="AA2014" i="8" s="1"/>
  <c r="AB2015" i="8"/>
  <c r="AA2015" i="8" s="1"/>
  <c r="AB2016" i="8"/>
  <c r="AA2016" i="8" s="1"/>
  <c r="AB2017" i="8"/>
  <c r="AA2017" i="8" s="1"/>
  <c r="AB2018" i="8"/>
  <c r="AA2018" i="8" s="1"/>
  <c r="AB2019" i="8"/>
  <c r="AA2019" i="8" s="1"/>
  <c r="AB2020" i="8"/>
  <c r="AA2020" i="8" s="1"/>
  <c r="AB2021" i="8"/>
  <c r="AA2021" i="8" s="1"/>
  <c r="AB2022" i="8"/>
  <c r="AA2022" i="8" s="1"/>
  <c r="AB2023" i="8"/>
  <c r="AA2023" i="8" s="1"/>
  <c r="AB2024" i="8"/>
  <c r="AA2024" i="8" s="1"/>
  <c r="AB2025" i="8"/>
  <c r="AA2025" i="8" s="1"/>
  <c r="AB2026" i="8"/>
  <c r="AA2026" i="8" s="1"/>
  <c r="AB2027" i="8"/>
  <c r="AA2027" i="8" s="1"/>
  <c r="AB2028" i="8"/>
  <c r="AA2028" i="8" s="1"/>
  <c r="AB2029" i="8"/>
  <c r="AA2029" i="8" s="1"/>
  <c r="AB2030" i="8"/>
  <c r="AA2030" i="8" s="1"/>
  <c r="AB2031" i="8"/>
  <c r="AA2031" i="8" s="1"/>
  <c r="AB2032" i="8"/>
  <c r="AA2032" i="8" s="1"/>
  <c r="AB2033" i="8"/>
  <c r="AA2033" i="8" s="1"/>
  <c r="AB2034" i="8"/>
  <c r="AA2034" i="8" s="1"/>
  <c r="AB2035" i="8"/>
  <c r="AA2035" i="8" s="1"/>
  <c r="AB2036" i="8"/>
  <c r="AA2036" i="8" s="1"/>
  <c r="AB2037" i="8"/>
  <c r="AA2037" i="8" s="1"/>
  <c r="AB2038" i="8"/>
  <c r="AA2038" i="8" s="1"/>
  <c r="AB2039" i="8"/>
  <c r="AA2039" i="8" s="1"/>
  <c r="AB2040" i="8"/>
  <c r="AA2040" i="8" s="1"/>
  <c r="AB2041" i="8"/>
  <c r="AA2041" i="8" s="1"/>
  <c r="AB2042" i="8"/>
  <c r="AA2042" i="8" s="1"/>
  <c r="AB2043" i="8"/>
  <c r="AA2043" i="8" s="1"/>
  <c r="AB2044" i="8"/>
  <c r="AA2044" i="8" s="1"/>
  <c r="AB2045" i="8"/>
  <c r="AA2045" i="8" s="1"/>
  <c r="AB2046" i="8"/>
  <c r="AA2046" i="8" s="1"/>
  <c r="AB2047" i="8"/>
  <c r="AA2047" i="8" s="1"/>
  <c r="AB2048" i="8"/>
  <c r="AA2048" i="8" s="1"/>
  <c r="AB2049" i="8"/>
  <c r="AA2049" i="8" s="1"/>
  <c r="AB2050" i="8"/>
  <c r="AA2050" i="8" s="1"/>
  <c r="AB2051" i="8"/>
  <c r="AA2051" i="8" s="1"/>
  <c r="AB2052" i="8"/>
  <c r="AA2052" i="8" s="1"/>
  <c r="AB2053" i="8"/>
  <c r="AA2053" i="8" s="1"/>
  <c r="AB2054" i="8"/>
  <c r="AA2054" i="8" s="1"/>
  <c r="AB2055" i="8"/>
  <c r="AA2055" i="8" s="1"/>
  <c r="AB2056" i="8"/>
  <c r="AA2056" i="8" s="1"/>
  <c r="AB2057" i="8"/>
  <c r="AA2057" i="8" s="1"/>
  <c r="AB2058" i="8"/>
  <c r="AA2058" i="8" s="1"/>
  <c r="AB2059" i="8"/>
  <c r="AA2059" i="8" s="1"/>
  <c r="AB2060" i="8"/>
  <c r="AA2060" i="8" s="1"/>
  <c r="AB2061" i="8"/>
  <c r="AA2061" i="8" s="1"/>
  <c r="AB2062" i="8"/>
  <c r="AA2062" i="8" s="1"/>
  <c r="AB2063" i="8"/>
  <c r="AA2063" i="8" s="1"/>
  <c r="AB2064" i="8"/>
  <c r="AA2064" i="8" s="1"/>
  <c r="AB2065" i="8"/>
  <c r="AA2065" i="8" s="1"/>
  <c r="AB2066" i="8"/>
  <c r="AA2066" i="8" s="1"/>
  <c r="AB2067" i="8"/>
  <c r="AA2067" i="8" s="1"/>
  <c r="AB2068" i="8"/>
  <c r="AA2068" i="8" s="1"/>
  <c r="AB2069" i="8"/>
  <c r="AA2069" i="8" s="1"/>
  <c r="AB2070" i="8"/>
  <c r="AA2070" i="8" s="1"/>
  <c r="AB2071" i="8"/>
  <c r="AA2071" i="8" s="1"/>
  <c r="AB2072" i="8"/>
  <c r="AA2072" i="8" s="1"/>
  <c r="AB2073" i="8"/>
  <c r="AA2073" i="8" s="1"/>
  <c r="AB2074" i="8"/>
  <c r="AA2074" i="8" s="1"/>
  <c r="AB2075" i="8"/>
  <c r="AA2075" i="8" s="1"/>
  <c r="AB2076" i="8"/>
  <c r="AA2076" i="8" s="1"/>
  <c r="AB2077" i="8"/>
  <c r="AA2077" i="8" s="1"/>
  <c r="AB2078" i="8"/>
  <c r="AA2078" i="8" s="1"/>
  <c r="AB2079" i="8"/>
  <c r="AA2079" i="8" s="1"/>
  <c r="AB2080" i="8"/>
  <c r="AA2080" i="8" s="1"/>
  <c r="AB2081" i="8"/>
  <c r="AA2081" i="8" s="1"/>
  <c r="AB2082" i="8"/>
  <c r="AA2082" i="8" s="1"/>
  <c r="AB2083" i="8"/>
  <c r="AA2083" i="8" s="1"/>
  <c r="AB2084" i="8"/>
  <c r="AA2084" i="8" s="1"/>
  <c r="AB2085" i="8"/>
  <c r="AA2085" i="8" s="1"/>
  <c r="AB2086" i="8"/>
  <c r="AA2086" i="8" s="1"/>
  <c r="AB2087" i="8"/>
  <c r="AA2087" i="8" s="1"/>
  <c r="AB2088" i="8"/>
  <c r="AA2088" i="8" s="1"/>
  <c r="AB2089" i="8"/>
  <c r="AA2089" i="8" s="1"/>
  <c r="AB2090" i="8"/>
  <c r="AA2090" i="8" s="1"/>
  <c r="AB2091" i="8"/>
  <c r="AA2091" i="8" s="1"/>
  <c r="AB2092" i="8"/>
  <c r="AA2092" i="8" s="1"/>
  <c r="AB2093" i="8"/>
  <c r="AA2093" i="8" s="1"/>
  <c r="AB2094" i="8"/>
  <c r="AA2094" i="8" s="1"/>
  <c r="AB2095" i="8"/>
  <c r="AA2095" i="8" s="1"/>
  <c r="AB2096" i="8"/>
  <c r="AA2096" i="8" s="1"/>
  <c r="AB2097" i="8"/>
  <c r="AA2097" i="8" s="1"/>
  <c r="AB2098" i="8"/>
  <c r="AA2098" i="8" s="1"/>
  <c r="AB2099" i="8"/>
  <c r="AA2099" i="8" s="1"/>
  <c r="AB2100" i="8"/>
  <c r="AA2100" i="8" s="1"/>
  <c r="AB2101" i="8"/>
  <c r="AA2101" i="8" s="1"/>
  <c r="AB2102" i="8"/>
  <c r="AA2102" i="8" s="1"/>
  <c r="AB2103" i="8"/>
  <c r="AA2103" i="8" s="1"/>
  <c r="AB2104" i="8"/>
  <c r="AA2104" i="8" s="1"/>
  <c r="AB2105" i="8"/>
  <c r="AA2105" i="8" s="1"/>
  <c r="AB2106" i="8"/>
  <c r="AA2106" i="8" s="1"/>
  <c r="AB2107" i="8"/>
  <c r="AA2107" i="8" s="1"/>
  <c r="AB2108" i="8"/>
  <c r="AA2108" i="8" s="1"/>
  <c r="AB2109" i="8"/>
  <c r="AA2109" i="8" s="1"/>
  <c r="AB2110" i="8"/>
  <c r="AA2110" i="8" s="1"/>
  <c r="AB2111" i="8"/>
  <c r="AA2111" i="8" s="1"/>
  <c r="AB2112" i="8"/>
  <c r="AA2112" i="8" s="1"/>
  <c r="AB2113" i="8"/>
  <c r="AA2113" i="8" s="1"/>
  <c r="AB2114" i="8"/>
  <c r="AA2114" i="8" s="1"/>
  <c r="AB2115" i="8"/>
  <c r="AA2115" i="8" s="1"/>
  <c r="AB2116" i="8"/>
  <c r="AA2116" i="8" s="1"/>
  <c r="AB2117" i="8"/>
  <c r="AA2117" i="8" s="1"/>
  <c r="AB2118" i="8"/>
  <c r="AA2118" i="8" s="1"/>
  <c r="AB2119" i="8"/>
  <c r="AA2119" i="8" s="1"/>
  <c r="AB2120" i="8"/>
  <c r="AA2120" i="8" s="1"/>
  <c r="AB2121" i="8"/>
  <c r="AA2121" i="8" s="1"/>
  <c r="AB2122" i="8"/>
  <c r="AA2122" i="8" s="1"/>
  <c r="AB2123" i="8"/>
  <c r="AA2123" i="8" s="1"/>
  <c r="AB2124" i="8"/>
  <c r="AA2124" i="8" s="1"/>
  <c r="AB2125" i="8"/>
  <c r="AA2125" i="8" s="1"/>
  <c r="AB2126" i="8"/>
  <c r="AA2126" i="8" s="1"/>
  <c r="AB2127" i="8"/>
  <c r="AA2127" i="8" s="1"/>
  <c r="AB2128" i="8"/>
  <c r="AA2128" i="8" s="1"/>
  <c r="AB2129" i="8"/>
  <c r="AA2129" i="8" s="1"/>
  <c r="AB2130" i="8"/>
  <c r="AA2130" i="8" s="1"/>
  <c r="AB2131" i="8"/>
  <c r="AA2131" i="8" s="1"/>
  <c r="AB2132" i="8"/>
  <c r="AA2132" i="8" s="1"/>
  <c r="AB2133" i="8"/>
  <c r="AA2133" i="8" s="1"/>
  <c r="AB2134" i="8"/>
  <c r="AA2134" i="8" s="1"/>
  <c r="AB2135" i="8"/>
  <c r="AA2135" i="8" s="1"/>
  <c r="AB2136" i="8"/>
  <c r="AA2136" i="8" s="1"/>
  <c r="AB2137" i="8"/>
  <c r="AA2137" i="8" s="1"/>
  <c r="AB2138" i="8"/>
  <c r="AA2138" i="8" s="1"/>
  <c r="AB2139" i="8"/>
  <c r="AA2139" i="8" s="1"/>
  <c r="AB2140" i="8"/>
  <c r="AA2140" i="8" s="1"/>
  <c r="AB2141" i="8"/>
  <c r="AA2141" i="8" s="1"/>
  <c r="AB2142" i="8"/>
  <c r="AA2142" i="8" s="1"/>
  <c r="AB2143" i="8"/>
  <c r="AA2143" i="8" s="1"/>
  <c r="AB2144" i="8"/>
  <c r="AA2144" i="8" s="1"/>
  <c r="AB2145" i="8"/>
  <c r="AA2145" i="8" s="1"/>
  <c r="AB2146" i="8"/>
  <c r="AA2146" i="8" s="1"/>
  <c r="AB2147" i="8"/>
  <c r="AA2147" i="8" s="1"/>
  <c r="AB2148" i="8"/>
  <c r="AA2148" i="8" s="1"/>
  <c r="AB2149" i="8"/>
  <c r="AA2149" i="8" s="1"/>
  <c r="AB2150" i="8"/>
  <c r="AA2150" i="8" s="1"/>
  <c r="AB2151" i="8"/>
  <c r="AA2151" i="8" s="1"/>
  <c r="AB2152" i="8"/>
  <c r="AA2152" i="8" s="1"/>
  <c r="AB2153" i="8"/>
  <c r="AA2153" i="8" s="1"/>
  <c r="AB2154" i="8"/>
  <c r="AA2154" i="8" s="1"/>
  <c r="AB2155" i="8"/>
  <c r="AA2155" i="8" s="1"/>
  <c r="AB2156" i="8"/>
  <c r="AA2156" i="8" s="1"/>
  <c r="AB2157" i="8"/>
  <c r="AA2157" i="8" s="1"/>
  <c r="AB2158" i="8"/>
  <c r="AA2158" i="8" s="1"/>
  <c r="AB2159" i="8"/>
  <c r="AA2159" i="8" s="1"/>
  <c r="AB2160" i="8"/>
  <c r="AA2160" i="8" s="1"/>
  <c r="AB2161" i="8"/>
  <c r="AA2161" i="8" s="1"/>
  <c r="AB2162" i="8"/>
  <c r="AA2162" i="8" s="1"/>
  <c r="AB2163" i="8"/>
  <c r="AA2163" i="8" s="1"/>
  <c r="AB2164" i="8"/>
  <c r="AA2164" i="8" s="1"/>
  <c r="AB2165" i="8"/>
  <c r="AA2165" i="8" s="1"/>
  <c r="AB2166" i="8"/>
  <c r="AA2166" i="8" s="1"/>
  <c r="AB2167" i="8"/>
  <c r="AA2167" i="8" s="1"/>
  <c r="AB2168" i="8"/>
  <c r="AA2168" i="8" s="1"/>
  <c r="AB2169" i="8"/>
  <c r="AA2169" i="8" s="1"/>
  <c r="AB2170" i="8"/>
  <c r="AA2170" i="8" s="1"/>
  <c r="AB2171" i="8"/>
  <c r="AA2171" i="8" s="1"/>
  <c r="AB2172" i="8"/>
  <c r="AA2172" i="8" s="1"/>
  <c r="AB2173" i="8"/>
  <c r="AA2173" i="8" s="1"/>
  <c r="AB2174" i="8"/>
  <c r="AA2174" i="8" s="1"/>
  <c r="AB2175" i="8"/>
  <c r="AA2175" i="8" s="1"/>
  <c r="AB2176" i="8"/>
  <c r="AA2176" i="8" s="1"/>
  <c r="AB2177" i="8"/>
  <c r="AA2177" i="8" s="1"/>
  <c r="AB2178" i="8"/>
  <c r="AA2178" i="8" s="1"/>
  <c r="AB2179" i="8"/>
  <c r="AA2179" i="8" s="1"/>
  <c r="AB2180" i="8"/>
  <c r="AA2180" i="8" s="1"/>
  <c r="AB2181" i="8"/>
  <c r="AA2181" i="8" s="1"/>
  <c r="AB2182" i="8"/>
  <c r="AA2182" i="8" s="1"/>
  <c r="AB2183" i="8"/>
  <c r="AA2183" i="8" s="1"/>
  <c r="AB2184" i="8"/>
  <c r="AA2184" i="8" s="1"/>
  <c r="AB2185" i="8"/>
  <c r="AA2185" i="8" s="1"/>
  <c r="AB2186" i="8"/>
  <c r="AA2186" i="8" s="1"/>
  <c r="AB2187" i="8"/>
  <c r="AA2187" i="8" s="1"/>
  <c r="AB2188" i="8"/>
  <c r="AA2188" i="8" s="1"/>
  <c r="AB2189" i="8"/>
  <c r="AA2189" i="8" s="1"/>
  <c r="AB2190" i="8"/>
  <c r="AA2190" i="8" s="1"/>
  <c r="AB2191" i="8"/>
  <c r="AA2191" i="8" s="1"/>
  <c r="AB2192" i="8"/>
  <c r="AA2192" i="8" s="1"/>
  <c r="AB2193" i="8"/>
  <c r="AA2193" i="8" s="1"/>
  <c r="AB2" i="8"/>
  <c r="C5" i="11" l="1"/>
  <c r="C177" i="11" l="1"/>
  <c r="C154" i="11"/>
  <c r="C153" i="11"/>
  <c r="C101" i="11" l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C196" i="11" l="1"/>
  <c r="C72" i="11"/>
  <c r="C229" i="11"/>
  <c r="C118" i="11" l="1"/>
  <c r="C166" i="11" l="1"/>
  <c r="C71" i="11" l="1"/>
  <c r="C113" i="11"/>
  <c r="C176" i="11"/>
  <c r="D263" i="11" l="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8" i="11"/>
  <c r="C228" i="11"/>
  <c r="D227" i="11"/>
  <c r="A227" i="11"/>
  <c r="C227" i="11" s="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C155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C119" i="11"/>
  <c r="D117" i="11"/>
  <c r="C117" i="11"/>
  <c r="D116" i="11"/>
  <c r="C116" i="11"/>
  <c r="D115" i="11"/>
  <c r="C115" i="11"/>
  <c r="D114" i="11"/>
  <c r="C114" i="11"/>
  <c r="D112" i="11"/>
  <c r="C112" i="11"/>
  <c r="D111" i="11"/>
  <c r="C111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0" i="11"/>
  <c r="C100" i="11"/>
  <c r="D99" i="11"/>
  <c r="C99" i="11"/>
  <c r="D98" i="11"/>
  <c r="C98" i="11"/>
  <c r="D97" i="11"/>
  <c r="C97" i="11"/>
  <c r="D96" i="11"/>
  <c r="C96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B63" i="11"/>
  <c r="D63" i="11" s="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D25" i="11"/>
  <c r="C25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C17" i="11"/>
  <c r="D16" i="11"/>
  <c r="C16" i="11"/>
  <c r="D15" i="11"/>
  <c r="C15" i="11"/>
  <c r="D14" i="11"/>
  <c r="C14" i="11"/>
  <c r="D13" i="11"/>
  <c r="C13" i="11"/>
  <c r="C12" i="11"/>
  <c r="C11" i="11"/>
  <c r="C10" i="11"/>
  <c r="D9" i="11"/>
  <c r="C9" i="11"/>
  <c r="D8" i="11"/>
  <c r="C8" i="11"/>
  <c r="D7" i="11"/>
  <c r="C7" i="11"/>
  <c r="C6" i="11"/>
  <c r="D4" i="11"/>
  <c r="C4" i="11"/>
  <c r="D3" i="11"/>
  <c r="C3" i="11"/>
  <c r="D2" i="11"/>
  <c r="C2" i="11"/>
  <c r="C63" i="11" l="1"/>
  <c r="F68" i="6" l="1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W441" i="8" l="1"/>
  <c r="Q760" i="8" l="1"/>
  <c r="Q761" i="8"/>
  <c r="Q762" i="8"/>
  <c r="Q763" i="8"/>
  <c r="Q764" i="8"/>
  <c r="Q765" i="8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6" i="8"/>
  <c r="Q807" i="8"/>
  <c r="Q808" i="8"/>
  <c r="Q809" i="8"/>
  <c r="Q810" i="8"/>
  <c r="Q811" i="8"/>
  <c r="Q812" i="8"/>
  <c r="Q813" i="8"/>
  <c r="Q814" i="8"/>
  <c r="Q815" i="8"/>
  <c r="Q816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859" i="8"/>
  <c r="Q860" i="8"/>
  <c r="Q861" i="8"/>
  <c r="Q862" i="8"/>
  <c r="Q863" i="8"/>
  <c r="Q864" i="8"/>
  <c r="Q865" i="8"/>
  <c r="Q866" i="8"/>
  <c r="Q867" i="8"/>
  <c r="Q868" i="8"/>
  <c r="Q869" i="8"/>
  <c r="Q870" i="8"/>
  <c r="Q881" i="8"/>
  <c r="Q882" i="8"/>
  <c r="Q883" i="8"/>
  <c r="Q884" i="8"/>
  <c r="Q88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20" i="8"/>
  <c r="Q921" i="8"/>
  <c r="Q922" i="8"/>
  <c r="Q923" i="8"/>
  <c r="Q92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819" i="8"/>
  <c r="Q820" i="8"/>
  <c r="Q821" i="8"/>
  <c r="Q822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19" i="8"/>
  <c r="Q620" i="8"/>
  <c r="Q621" i="8"/>
  <c r="Q622" i="8"/>
  <c r="Q623" i="8"/>
  <c r="Q624" i="8"/>
  <c r="Q625" i="8"/>
  <c r="Q626" i="8"/>
  <c r="Q825" i="8"/>
  <c r="Q826" i="8"/>
  <c r="Q827" i="8"/>
  <c r="Q828" i="8"/>
  <c r="Q829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900" i="8"/>
  <c r="Q901" i="8"/>
  <c r="Q902" i="8"/>
  <c r="Q903" i="8"/>
  <c r="Q710" i="8"/>
  <c r="Q711" i="8"/>
  <c r="Q712" i="8"/>
  <c r="Q713" i="8"/>
  <c r="Q714" i="8"/>
  <c r="Q715" i="8"/>
  <c r="Q716" i="8"/>
  <c r="Q873" i="8"/>
  <c r="Q874" i="8"/>
  <c r="Q875" i="8"/>
  <c r="Q876" i="8"/>
  <c r="Q877" i="8"/>
  <c r="Q878" i="8"/>
  <c r="Q879" i="8"/>
  <c r="Q942" i="8"/>
  <c r="Q943" i="8"/>
  <c r="Q944" i="8"/>
  <c r="Q945" i="8"/>
  <c r="Q946" i="8"/>
  <c r="Q947" i="8"/>
  <c r="Q948" i="8"/>
  <c r="Q949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910" i="8"/>
  <c r="Q911" i="8"/>
  <c r="Q912" i="8"/>
  <c r="Q913" i="8"/>
  <c r="Q914" i="8"/>
  <c r="Q915" i="8"/>
  <c r="Q916" i="8"/>
  <c r="Q917" i="8"/>
  <c r="Q918" i="8"/>
  <c r="Q919" i="8"/>
  <c r="Q904" i="8"/>
  <c r="Q905" i="8"/>
  <c r="Q906" i="8"/>
  <c r="Q907" i="8"/>
  <c r="Q908" i="8"/>
  <c r="Q909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1002" i="8"/>
  <c r="Q1003" i="8"/>
  <c r="Q189" i="8"/>
  <c r="Q190" i="8"/>
  <c r="Q191" i="8"/>
  <c r="Q192" i="8"/>
  <c r="Q193" i="8"/>
  <c r="Q248" i="8"/>
  <c r="Q249" i="8"/>
  <c r="Q250" i="8"/>
  <c r="Q251" i="8"/>
  <c r="Q252" i="8"/>
  <c r="Q420" i="8"/>
  <c r="Q421" i="8"/>
  <c r="Q422" i="8"/>
  <c r="Q423" i="8"/>
  <c r="Q424" i="8"/>
  <c r="Q425" i="8"/>
  <c r="Q426" i="8"/>
  <c r="Q427" i="8"/>
  <c r="Q428" i="8"/>
  <c r="Q429" i="8"/>
  <c r="Q430" i="8"/>
  <c r="Q214" i="8"/>
  <c r="Q215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23" i="8"/>
  <c r="Q24" i="8"/>
  <c r="Q25" i="8"/>
  <c r="Q502" i="8"/>
  <c r="Q503" i="8"/>
  <c r="Q504" i="8"/>
  <c r="Q505" i="8"/>
  <c r="Q186" i="8"/>
  <c r="Q187" i="8"/>
  <c r="Q1042" i="8"/>
  <c r="Q1043" i="8"/>
  <c r="Q1044" i="8"/>
  <c r="Q1045" i="8"/>
  <c r="Q1046" i="8"/>
  <c r="Q1047" i="8"/>
  <c r="Q1048" i="8"/>
  <c r="Q1049" i="8"/>
  <c r="Q1050" i="8"/>
  <c r="Q107" i="8"/>
  <c r="Q270" i="8"/>
  <c r="Q271" i="8"/>
  <c r="Q272" i="8"/>
  <c r="Q273" i="8"/>
  <c r="Q274" i="8"/>
  <c r="Q275" i="8"/>
  <c r="Q276" i="8"/>
  <c r="Q277" i="8"/>
  <c r="Q278" i="8"/>
  <c r="Q477" i="8"/>
  <c r="Q478" i="8"/>
  <c r="Q479" i="8"/>
  <c r="Q480" i="8"/>
  <c r="Q3" i="8"/>
  <c r="Q4" i="8"/>
  <c r="Q5" i="8"/>
  <c r="Q6" i="8"/>
  <c r="Q7" i="8"/>
  <c r="Q8" i="8"/>
  <c r="Q9" i="8"/>
  <c r="Q10" i="8"/>
  <c r="Q454" i="8"/>
  <c r="Q455" i="8"/>
  <c r="Q456" i="8"/>
  <c r="Q457" i="8"/>
  <c r="Q458" i="8"/>
  <c r="Q542" i="8"/>
  <c r="Q543" i="8"/>
  <c r="Q544" i="8"/>
  <c r="Q545" i="8"/>
  <c r="Q546" i="8"/>
  <c r="Q547" i="8"/>
  <c r="Q548" i="8"/>
  <c r="Q549" i="8"/>
  <c r="Q239" i="8"/>
  <c r="Q240" i="8"/>
  <c r="Q241" i="8"/>
  <c r="Q506" i="8"/>
  <c r="Q507" i="8"/>
  <c r="Q508" i="8"/>
  <c r="Q509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1017" i="8"/>
  <c r="Q1018" i="8"/>
  <c r="Q1019" i="8"/>
  <c r="Q1020" i="8"/>
  <c r="Q1021" i="8"/>
  <c r="Q1022" i="8"/>
  <c r="Q1023" i="8"/>
  <c r="Q1024" i="8"/>
  <c r="Q1025" i="8"/>
  <c r="Q1026" i="8"/>
  <c r="Q1027" i="8"/>
  <c r="Q1028" i="8"/>
  <c r="Q1029" i="8"/>
  <c r="Q1030" i="8"/>
  <c r="Q1031" i="8"/>
  <c r="Q1032" i="8"/>
  <c r="Q1033" i="8"/>
  <c r="Q1034" i="8"/>
  <c r="Q1035" i="8"/>
  <c r="Q1036" i="8"/>
  <c r="Q1037" i="8"/>
  <c r="Q103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510" i="8"/>
  <c r="Q511" i="8"/>
  <c r="Q512" i="8"/>
  <c r="Q513" i="8"/>
  <c r="Q514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994" i="8"/>
  <c r="Q995" i="8"/>
  <c r="Q996" i="8"/>
  <c r="Q997" i="8"/>
  <c r="Q998" i="8"/>
  <c r="Q999" i="8"/>
  <c r="Q1000" i="8"/>
  <c r="Q46" i="8"/>
  <c r="Q47" i="8"/>
  <c r="Q48" i="8"/>
  <c r="Q43" i="8"/>
  <c r="Q44" i="8"/>
  <c r="Q45" i="8"/>
  <c r="Q516" i="8"/>
  <c r="Q517" i="8"/>
  <c r="Q518" i="8"/>
  <c r="Q519" i="8"/>
  <c r="Q244" i="8"/>
  <c r="Q245" i="8"/>
  <c r="Q246" i="8"/>
  <c r="Q178" i="8"/>
  <c r="Q179" i="8"/>
  <c r="Q124" i="8"/>
  <c r="Q125" i="8"/>
  <c r="Q126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162" i="8"/>
  <c r="Q163" i="8"/>
  <c r="Q164" i="8"/>
  <c r="Q165" i="8"/>
  <c r="Q166" i="8"/>
  <c r="Q167" i="8"/>
  <c r="Q168" i="8"/>
  <c r="Q169" i="8"/>
  <c r="Q242" i="8"/>
  <c r="Q243" i="8"/>
  <c r="Q498" i="8"/>
  <c r="Q499" i="8"/>
  <c r="Q500" i="8"/>
  <c r="Q501" i="8"/>
  <c r="Q63" i="8"/>
  <c r="Q64" i="8"/>
  <c r="Q65" i="8"/>
  <c r="Q66" i="8"/>
  <c r="Q67" i="8"/>
  <c r="Q68" i="8"/>
  <c r="Q69" i="8"/>
  <c r="Q70" i="8"/>
  <c r="Q71" i="8"/>
  <c r="Q220" i="8"/>
  <c r="Q100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520" i="8"/>
  <c r="Q521" i="8"/>
  <c r="Q522" i="8"/>
  <c r="Q523" i="8"/>
  <c r="Q524" i="8"/>
  <c r="Q525" i="8"/>
  <c r="Q526" i="8"/>
  <c r="Q527" i="8"/>
  <c r="Q528" i="8"/>
  <c r="Q431" i="8"/>
  <c r="Q432" i="8"/>
  <c r="Q433" i="8"/>
  <c r="Q434" i="8"/>
  <c r="Q213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539" i="8"/>
  <c r="Q540" i="8"/>
  <c r="Q127" i="8"/>
  <c r="Q128" i="8"/>
  <c r="Q129" i="8"/>
  <c r="Q130" i="8"/>
  <c r="Q131" i="8"/>
  <c r="Q132" i="8"/>
  <c r="Q133" i="8"/>
  <c r="Q134" i="8"/>
  <c r="Q135" i="8"/>
  <c r="Q136" i="8"/>
  <c r="Q137" i="8"/>
  <c r="Q101" i="8"/>
  <c r="Q102" i="8"/>
  <c r="Q103" i="8"/>
  <c r="Q104" i="8"/>
  <c r="Q105" i="8"/>
  <c r="Q106" i="8"/>
  <c r="Q1052" i="8"/>
  <c r="Q1053" i="8"/>
  <c r="Q1054" i="8"/>
  <c r="Q1055" i="8"/>
  <c r="Q1056" i="8"/>
  <c r="Q1057" i="8"/>
  <c r="Q1058" i="8"/>
  <c r="Q1059" i="8"/>
  <c r="Q1060" i="8"/>
  <c r="Q1061" i="8"/>
  <c r="Q1062" i="8"/>
  <c r="Q1063" i="8"/>
  <c r="Q1064" i="8"/>
  <c r="Q1065" i="8"/>
  <c r="Q1066" i="8"/>
  <c r="Q550" i="8"/>
  <c r="Q551" i="8"/>
  <c r="Q552" i="8"/>
  <c r="Q553" i="8"/>
  <c r="Q554" i="8"/>
  <c r="Q555" i="8"/>
  <c r="Q556" i="8"/>
  <c r="Q557" i="8"/>
  <c r="Q19" i="8"/>
  <c r="Q20" i="8"/>
  <c r="Q21" i="8"/>
  <c r="Q22" i="8"/>
  <c r="Q55" i="8"/>
  <c r="Q56" i="8"/>
  <c r="Q57" i="8"/>
  <c r="Q450" i="8"/>
  <c r="Q451" i="8"/>
  <c r="Q452" i="8"/>
  <c r="Q288" i="8"/>
  <c r="Q289" i="8"/>
  <c r="Q290" i="8"/>
  <c r="Q291" i="8"/>
  <c r="Q292" i="8"/>
  <c r="Q293" i="8"/>
  <c r="Q294" i="8"/>
  <c r="Q295" i="8"/>
  <c r="Q296" i="8"/>
  <c r="Q297" i="8"/>
  <c r="Q140" i="8"/>
  <c r="Q141" i="8"/>
  <c r="Q216" i="8"/>
  <c r="Q217" i="8"/>
  <c r="Q218" i="8"/>
  <c r="Q219" i="8"/>
  <c r="Q1011" i="8"/>
  <c r="Q1012" i="8"/>
  <c r="Q1013" i="8"/>
  <c r="Q1014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2" i="8"/>
  <c r="Q58" i="8"/>
  <c r="Q59" i="8"/>
  <c r="Q60" i="8"/>
  <c r="Q61" i="8"/>
  <c r="Q62" i="8"/>
  <c r="Q11" i="8"/>
  <c r="Q12" i="8"/>
  <c r="Q992" i="8"/>
  <c r="Q993" i="8"/>
  <c r="Q279" i="8"/>
  <c r="Q280" i="8"/>
  <c r="Q281" i="8"/>
  <c r="Q282" i="8"/>
  <c r="Q283" i="8"/>
  <c r="Q284" i="8"/>
  <c r="Q285" i="8"/>
  <c r="Q286" i="8"/>
  <c r="Q287" i="8"/>
  <c r="Q410" i="8"/>
  <c r="Q411" i="8"/>
  <c r="Q412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531" i="8"/>
  <c r="Q532" i="8"/>
  <c r="Q533" i="8"/>
  <c r="Q534" i="8"/>
  <c r="Q535" i="8"/>
  <c r="Q536" i="8"/>
  <c r="Q537" i="8"/>
  <c r="Q538" i="8"/>
  <c r="Q180" i="8"/>
  <c r="Q181" i="8"/>
  <c r="Q182" i="8"/>
  <c r="Q183" i="8"/>
  <c r="Q184" i="8"/>
  <c r="Q185" i="8"/>
  <c r="Q38" i="8"/>
  <c r="Q39" i="8"/>
  <c r="Q40" i="8"/>
  <c r="Q41" i="8"/>
  <c r="Q42" i="8"/>
  <c r="Q415" i="8"/>
  <c r="Q416" i="8"/>
  <c r="Q417" i="8"/>
  <c r="Q418" i="8"/>
  <c r="Q419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952" i="8"/>
  <c r="Q953" i="8"/>
  <c r="Q954" i="8"/>
  <c r="Q955" i="8"/>
  <c r="Q956" i="8"/>
  <c r="Q957" i="8"/>
  <c r="Q958" i="8"/>
  <c r="Q959" i="8"/>
  <c r="Q960" i="8"/>
  <c r="Q961" i="8"/>
  <c r="Q962" i="8"/>
  <c r="Q963" i="8"/>
  <c r="Q964" i="8"/>
  <c r="Q965" i="8"/>
  <c r="Q966" i="8"/>
  <c r="Q967" i="8"/>
  <c r="Q968" i="8"/>
  <c r="Q969" i="8"/>
  <c r="Q970" i="8"/>
  <c r="Q971" i="8"/>
  <c r="Q972" i="8"/>
  <c r="Q973" i="8"/>
  <c r="Q974" i="8"/>
  <c r="Q975" i="8"/>
  <c r="Q976" i="8"/>
  <c r="Q977" i="8"/>
  <c r="Q978" i="8"/>
  <c r="Q979" i="8"/>
  <c r="Q980" i="8"/>
  <c r="Q981" i="8"/>
  <c r="Q982" i="8"/>
  <c r="Q983" i="8"/>
  <c r="Q984" i="8"/>
  <c r="Q985" i="8"/>
  <c r="Q986" i="8"/>
  <c r="Q171" i="8"/>
  <c r="Q172" i="8"/>
  <c r="Q173" i="8"/>
  <c r="Q174" i="8"/>
  <c r="Q175" i="8"/>
  <c r="Q176" i="8"/>
  <c r="Q177" i="8"/>
  <c r="Q496" i="8"/>
  <c r="Q497" i="8"/>
  <c r="Q13" i="8"/>
  <c r="Q14" i="8"/>
  <c r="Q15" i="8"/>
  <c r="Q16" i="8"/>
  <c r="Q17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27" i="8"/>
  <c r="Q28" i="8"/>
  <c r="Q49" i="8"/>
  <c r="Q50" i="8"/>
  <c r="Q51" i="8"/>
  <c r="Q52" i="8"/>
  <c r="Q53" i="8"/>
  <c r="Q54" i="8"/>
  <c r="Q413" i="8"/>
  <c r="Q414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29" i="8"/>
  <c r="Q30" i="8"/>
  <c r="Q31" i="8"/>
  <c r="Q32" i="8"/>
  <c r="Q33" i="8"/>
  <c r="Q34" i="8"/>
  <c r="Q223" i="8"/>
  <c r="Q224" i="8"/>
  <c r="Q225" i="8"/>
  <c r="Q1004" i="8"/>
  <c r="Q1005" i="8"/>
  <c r="Q1006" i="8"/>
  <c r="Q1007" i="8"/>
  <c r="Q1008" i="8"/>
  <c r="Q1009" i="8"/>
  <c r="Q1010" i="8"/>
  <c r="Q805" i="8"/>
  <c r="Q817" i="8"/>
  <c r="Q818" i="8"/>
  <c r="Q757" i="8"/>
  <c r="Q758" i="8"/>
  <c r="Q759" i="8"/>
  <c r="Q871" i="8"/>
  <c r="Q872" i="8"/>
  <c r="Q938" i="8"/>
  <c r="Q939" i="8"/>
  <c r="Q940" i="8"/>
  <c r="Q941" i="8"/>
  <c r="Q823" i="8"/>
  <c r="Q824" i="8"/>
  <c r="Q702" i="8"/>
  <c r="Q703" i="8"/>
  <c r="Q704" i="8"/>
  <c r="Q705" i="8"/>
  <c r="Q706" i="8"/>
  <c r="Q707" i="8"/>
  <c r="Q708" i="8"/>
  <c r="Q709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852" i="8"/>
  <c r="Q853" i="8"/>
  <c r="Q854" i="8"/>
  <c r="Q855" i="8"/>
  <c r="Q856" i="8"/>
  <c r="Q857" i="8"/>
  <c r="Q858" i="8"/>
  <c r="Q676" i="8"/>
  <c r="Q677" i="8"/>
  <c r="Q678" i="8"/>
  <c r="Q679" i="8"/>
  <c r="Q680" i="8"/>
  <c r="Q681" i="8"/>
  <c r="Q682" i="8"/>
  <c r="Q683" i="8"/>
  <c r="Q684" i="8"/>
  <c r="Q685" i="8"/>
  <c r="Q686" i="8"/>
  <c r="Q880" i="8"/>
  <c r="Q950" i="8"/>
  <c r="Q951" i="8"/>
  <c r="Q742" i="8"/>
  <c r="Q572" i="8"/>
  <c r="Q573" i="8"/>
  <c r="Q574" i="8"/>
  <c r="Q575" i="8"/>
  <c r="Q576" i="8"/>
  <c r="Q577" i="8"/>
  <c r="Q578" i="8"/>
  <c r="Q579" i="8"/>
  <c r="Q580" i="8"/>
  <c r="Q581" i="8"/>
  <c r="Q582" i="8"/>
  <c r="Q194" i="8"/>
  <c r="Q195" i="8"/>
  <c r="Q26" i="8"/>
  <c r="Q188" i="8"/>
  <c r="Q1051" i="8"/>
  <c r="Q108" i="8"/>
  <c r="Q481" i="8"/>
  <c r="Q459" i="8"/>
  <c r="Q1039" i="8"/>
  <c r="Q1040" i="8"/>
  <c r="Q1041" i="8"/>
  <c r="Q121" i="8"/>
  <c r="Q122" i="8"/>
  <c r="Q123" i="8"/>
  <c r="Q515" i="8"/>
  <c r="Q1001" i="8"/>
  <c r="Q247" i="8"/>
  <c r="Q18" i="8"/>
  <c r="Q170" i="8"/>
  <c r="Q221" i="8"/>
  <c r="Q222" i="8"/>
  <c r="Q529" i="8"/>
  <c r="Q530" i="8"/>
  <c r="Q269" i="8"/>
  <c r="Q541" i="8"/>
  <c r="Q138" i="8"/>
  <c r="Q139" i="8"/>
  <c r="Q453" i="8"/>
  <c r="Q1015" i="8"/>
  <c r="Q1016" i="8"/>
  <c r="Q161" i="8"/>
  <c r="Q360" i="8"/>
  <c r="Q987" i="8"/>
  <c r="Q988" i="8"/>
  <c r="Q989" i="8"/>
  <c r="Q990" i="8"/>
  <c r="Q991" i="8"/>
  <c r="Q96" i="8"/>
  <c r="Q97" i="8"/>
  <c r="Q98" i="8"/>
  <c r="Q99" i="8"/>
  <c r="Q334" i="8"/>
  <c r="Q335" i="8"/>
  <c r="Q336" i="8"/>
  <c r="Q337" i="8"/>
  <c r="Q338" i="8"/>
  <c r="Q339" i="8"/>
  <c r="Q340" i="8"/>
  <c r="Q341" i="8"/>
  <c r="Q342" i="8"/>
  <c r="Q343" i="8"/>
  <c r="Q35" i="8"/>
  <c r="Q36" i="8"/>
  <c r="Q37" i="8"/>
  <c r="Q1067" i="8"/>
  <c r="Q1068" i="8"/>
  <c r="Q1069" i="8"/>
  <c r="Q1070" i="8"/>
  <c r="Q1071" i="8"/>
  <c r="Q1072" i="8"/>
  <c r="Q1073" i="8"/>
  <c r="Q1074" i="8"/>
  <c r="Q1075" i="8"/>
  <c r="Q1076" i="8"/>
  <c r="Q1077" i="8"/>
  <c r="Q1078" i="8"/>
  <c r="Q1079" i="8"/>
  <c r="Q1080" i="8"/>
  <c r="Q1081" i="8"/>
  <c r="Q1082" i="8"/>
  <c r="Q1083" i="8"/>
  <c r="Q1084" i="8"/>
  <c r="Q1085" i="8"/>
  <c r="Q1086" i="8"/>
  <c r="Q1087" i="8"/>
  <c r="Q1088" i="8"/>
  <c r="Q1089" i="8"/>
  <c r="Q1090" i="8"/>
  <c r="Q1091" i="8"/>
  <c r="Q1092" i="8"/>
  <c r="Q1093" i="8"/>
  <c r="Q1094" i="8"/>
  <c r="Q1095" i="8"/>
  <c r="Q1096" i="8"/>
  <c r="Q1097" i="8"/>
  <c r="Q1098" i="8"/>
  <c r="Q1099" i="8"/>
  <c r="Q1100" i="8"/>
  <c r="Q1101" i="8"/>
  <c r="Q1102" i="8"/>
  <c r="Q1103" i="8"/>
  <c r="Q1104" i="8"/>
  <c r="Q1105" i="8"/>
  <c r="Q1106" i="8"/>
  <c r="Q1107" i="8"/>
  <c r="Q1108" i="8"/>
  <c r="Q1109" i="8"/>
  <c r="Q1110" i="8"/>
  <c r="Q1111" i="8"/>
  <c r="Q1112" i="8"/>
  <c r="Q1113" i="8"/>
  <c r="Q1114" i="8"/>
  <c r="Q1115" i="8"/>
  <c r="Q1116" i="8"/>
  <c r="Q1117" i="8"/>
  <c r="Q1118" i="8"/>
  <c r="Q1119" i="8"/>
  <c r="Q1120" i="8"/>
  <c r="Q1121" i="8"/>
  <c r="Q1122" i="8"/>
  <c r="Q1123" i="8"/>
  <c r="Q1124" i="8"/>
  <c r="Q1125" i="8"/>
  <c r="Q1126" i="8"/>
  <c r="Q1127" i="8"/>
  <c r="Q1128" i="8"/>
  <c r="Q1129" i="8"/>
  <c r="Q1130" i="8"/>
  <c r="Q1131" i="8"/>
  <c r="Q1132" i="8"/>
  <c r="Q1133" i="8"/>
  <c r="Q1134" i="8"/>
  <c r="Q1135" i="8"/>
  <c r="Q1136" i="8"/>
  <c r="Q1137" i="8"/>
  <c r="Q1138" i="8"/>
  <c r="Q1139" i="8"/>
  <c r="Q1140" i="8"/>
  <c r="Q1141" i="8"/>
  <c r="Q1142" i="8"/>
  <c r="Q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Q1419" i="8"/>
  <c r="Q1420" i="8"/>
  <c r="Q1421" i="8"/>
  <c r="Q1422" i="8"/>
  <c r="Q1423" i="8"/>
  <c r="Q1424" i="8"/>
  <c r="Q1425" i="8"/>
  <c r="Q1426" i="8"/>
  <c r="Q1427" i="8"/>
  <c r="Q1428" i="8"/>
  <c r="Q1429" i="8"/>
  <c r="Q1430" i="8"/>
  <c r="Q1431" i="8"/>
  <c r="Q1432" i="8"/>
  <c r="Q1433" i="8"/>
  <c r="Q1434" i="8"/>
  <c r="Q1435" i="8"/>
  <c r="Q1436" i="8"/>
  <c r="Q1437" i="8"/>
  <c r="Q1438" i="8"/>
  <c r="Q1439" i="8"/>
  <c r="Q1440" i="8"/>
  <c r="Q1441" i="8"/>
  <c r="Q1442" i="8"/>
  <c r="Q1443" i="8"/>
  <c r="Q1444" i="8"/>
  <c r="Q1445" i="8"/>
  <c r="Q1446" i="8"/>
  <c r="Q1447" i="8"/>
  <c r="Q1448" i="8"/>
  <c r="Q1449" i="8"/>
  <c r="Q1450" i="8"/>
  <c r="Q1451" i="8"/>
  <c r="Q1452" i="8"/>
  <c r="Q1453" i="8"/>
  <c r="Q1454" i="8"/>
  <c r="Q1455" i="8"/>
  <c r="Q1456" i="8"/>
  <c r="Q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Q1504" i="8"/>
  <c r="Q1505" i="8"/>
  <c r="Q1506" i="8"/>
  <c r="Q1507" i="8"/>
  <c r="Q1508" i="8"/>
  <c r="Q1509" i="8"/>
  <c r="Q1510" i="8"/>
  <c r="Q1511" i="8"/>
  <c r="Q1512" i="8"/>
  <c r="Q1513" i="8"/>
  <c r="Q1514" i="8"/>
  <c r="Q1515" i="8"/>
  <c r="Q1516" i="8"/>
  <c r="Q1517" i="8"/>
  <c r="Q1518" i="8"/>
  <c r="Q1519" i="8"/>
  <c r="Q1520" i="8"/>
  <c r="Q1521" i="8"/>
  <c r="Q1522" i="8"/>
  <c r="Q1523" i="8"/>
  <c r="Q1524" i="8"/>
  <c r="Q1525" i="8"/>
  <c r="Q1526" i="8"/>
  <c r="Q1527" i="8"/>
  <c r="Q1528" i="8"/>
  <c r="Q1529" i="8"/>
  <c r="Q1530" i="8"/>
  <c r="Q1531" i="8"/>
  <c r="Q1532" i="8"/>
  <c r="Q1533" i="8"/>
  <c r="Q1534" i="8"/>
  <c r="Q1535" i="8"/>
  <c r="Q1536" i="8"/>
  <c r="Q1537" i="8"/>
  <c r="Q1538" i="8"/>
  <c r="Q1539" i="8"/>
  <c r="Q1540" i="8"/>
  <c r="Q1541" i="8"/>
  <c r="Q1542" i="8"/>
  <c r="Q1543" i="8"/>
  <c r="Q1544" i="8"/>
  <c r="Q1545" i="8"/>
  <c r="Q1546" i="8"/>
  <c r="Q1547" i="8"/>
  <c r="Q1548" i="8"/>
  <c r="Q1549" i="8"/>
  <c r="Q1550" i="8"/>
  <c r="Q1551" i="8"/>
  <c r="Q1552" i="8"/>
  <c r="Q1553" i="8"/>
  <c r="Q1554" i="8"/>
  <c r="Q1555" i="8"/>
  <c r="Q1556" i="8"/>
  <c r="Q1557" i="8"/>
  <c r="Q1558" i="8"/>
  <c r="Q1559" i="8"/>
  <c r="Q1560" i="8"/>
  <c r="Q1561" i="8"/>
  <c r="Q1562" i="8"/>
  <c r="Q1563" i="8"/>
  <c r="Q1564" i="8"/>
  <c r="Q1565" i="8"/>
  <c r="Q1566" i="8"/>
  <c r="Q1567" i="8"/>
  <c r="Q1568" i="8"/>
  <c r="Q1569" i="8"/>
  <c r="Q1570" i="8"/>
  <c r="Q1571" i="8"/>
  <c r="Q1572" i="8"/>
  <c r="Q1573" i="8"/>
  <c r="Q1574" i="8"/>
  <c r="Q1575" i="8"/>
  <c r="Q1576" i="8"/>
  <c r="Q1577" i="8"/>
  <c r="Q1578" i="8"/>
  <c r="Q1579" i="8"/>
  <c r="Q1580" i="8"/>
  <c r="Q1581" i="8"/>
  <c r="Q1582" i="8"/>
  <c r="Q1583" i="8"/>
  <c r="Q1584" i="8"/>
  <c r="Q1585" i="8"/>
  <c r="Q1586" i="8"/>
  <c r="Q1587" i="8"/>
  <c r="Q1588" i="8"/>
  <c r="Q1589" i="8"/>
  <c r="Q1590" i="8"/>
  <c r="Q1591" i="8"/>
  <c r="Q1592" i="8"/>
  <c r="Q1593" i="8"/>
  <c r="Q1594" i="8"/>
  <c r="Q1595" i="8"/>
  <c r="Q1596" i="8"/>
  <c r="Q1597" i="8"/>
  <c r="Q1598" i="8"/>
  <c r="Q1599" i="8"/>
  <c r="Q1600" i="8"/>
  <c r="Q1601" i="8"/>
  <c r="Q1602" i="8"/>
  <c r="Q1603" i="8"/>
  <c r="Q1604" i="8"/>
  <c r="Q1605" i="8"/>
  <c r="Q1606" i="8"/>
  <c r="Q1607" i="8"/>
  <c r="Q1608" i="8"/>
  <c r="Q1609" i="8"/>
  <c r="Q1610" i="8"/>
  <c r="Q1611" i="8"/>
  <c r="Q1612" i="8"/>
  <c r="Q1613" i="8"/>
  <c r="Q1614" i="8"/>
  <c r="Q1615" i="8"/>
  <c r="Q1616" i="8"/>
  <c r="Q1617" i="8"/>
  <c r="Q1618" i="8"/>
  <c r="Q1619" i="8"/>
  <c r="Q1620" i="8"/>
  <c r="Q1621" i="8"/>
  <c r="Q1622" i="8"/>
  <c r="Q1623" i="8"/>
  <c r="Q1624" i="8"/>
  <c r="Q1625" i="8"/>
  <c r="Q1626" i="8"/>
  <c r="Q1627" i="8"/>
  <c r="Q1628" i="8"/>
  <c r="Q1629" i="8"/>
  <c r="Q1630" i="8"/>
  <c r="Q1631" i="8"/>
  <c r="Q1632" i="8"/>
  <c r="Q1633" i="8"/>
  <c r="Q1634" i="8"/>
  <c r="Q1635" i="8"/>
  <c r="Q1636" i="8"/>
  <c r="Q1637" i="8"/>
  <c r="Q1638" i="8"/>
  <c r="Q1639" i="8"/>
  <c r="Q1640" i="8"/>
  <c r="Q1641" i="8"/>
  <c r="Q1642" i="8"/>
  <c r="Q1643" i="8"/>
  <c r="Q1644" i="8"/>
  <c r="Q1645" i="8"/>
  <c r="Q1646" i="8"/>
  <c r="Q1647" i="8"/>
  <c r="Q1648" i="8"/>
  <c r="Q1649" i="8"/>
  <c r="Q1650" i="8"/>
  <c r="Q1651" i="8"/>
  <c r="Q1652" i="8"/>
  <c r="Q1653" i="8"/>
  <c r="Q1654" i="8"/>
  <c r="Q1655" i="8"/>
  <c r="Q1656" i="8"/>
  <c r="Q1657" i="8"/>
  <c r="Q1658" i="8"/>
  <c r="Q1659" i="8"/>
  <c r="Q1660" i="8"/>
  <c r="Q1661" i="8"/>
  <c r="Q1662" i="8"/>
  <c r="Q1663" i="8"/>
  <c r="Q1664" i="8"/>
  <c r="Q1665" i="8"/>
  <c r="Q1666" i="8"/>
  <c r="Q1667" i="8"/>
  <c r="Q1668" i="8"/>
  <c r="Q1669" i="8"/>
  <c r="Q1670" i="8"/>
  <c r="Q1671" i="8"/>
  <c r="Q1672" i="8"/>
  <c r="Q1673" i="8"/>
  <c r="Q1674" i="8"/>
  <c r="Q1675" i="8"/>
  <c r="Q1676" i="8"/>
  <c r="Q1677" i="8"/>
  <c r="Q1678" i="8"/>
  <c r="Q1679" i="8"/>
  <c r="Q1680" i="8"/>
  <c r="Q1681" i="8"/>
  <c r="Q1682" i="8"/>
  <c r="Q1683" i="8"/>
  <c r="Q1684" i="8"/>
  <c r="Q1685" i="8"/>
  <c r="Q1686" i="8"/>
  <c r="Q1687" i="8"/>
  <c r="Q1688" i="8"/>
  <c r="Q1689" i="8"/>
  <c r="Q1690" i="8"/>
  <c r="Q1691" i="8"/>
  <c r="Q1692" i="8"/>
  <c r="Q1693" i="8"/>
  <c r="Q1694" i="8"/>
  <c r="Q1695" i="8"/>
  <c r="Q1696" i="8"/>
  <c r="Q1697" i="8"/>
  <c r="Q1698" i="8"/>
  <c r="Q1699" i="8"/>
  <c r="Q1700" i="8"/>
  <c r="Q1701" i="8"/>
  <c r="Q1702" i="8"/>
  <c r="Q1703" i="8"/>
  <c r="Q1704" i="8"/>
  <c r="Q1705" i="8"/>
  <c r="Q1706" i="8"/>
  <c r="Q1707" i="8"/>
  <c r="Q1708" i="8"/>
  <c r="Q1709" i="8"/>
  <c r="Q1710" i="8"/>
  <c r="Q1711" i="8"/>
  <c r="Q1712" i="8"/>
  <c r="Q1713" i="8"/>
  <c r="Q1714" i="8"/>
  <c r="Q1715" i="8"/>
  <c r="Q1716" i="8"/>
  <c r="Q1717" i="8"/>
  <c r="Q1718" i="8"/>
  <c r="Q1719" i="8"/>
  <c r="Q1720" i="8"/>
  <c r="Q1721" i="8"/>
  <c r="Q1722" i="8"/>
  <c r="Q1723" i="8"/>
  <c r="Q1724" i="8"/>
  <c r="Q1725" i="8"/>
  <c r="Q1726" i="8"/>
  <c r="Q1727" i="8"/>
  <c r="Q1728" i="8"/>
  <c r="Q1729" i="8"/>
  <c r="Q1730" i="8"/>
  <c r="Q1731" i="8"/>
  <c r="Q1732" i="8"/>
  <c r="Q1733" i="8"/>
  <c r="Q1734" i="8"/>
  <c r="Q1735" i="8"/>
  <c r="Q1736" i="8"/>
  <c r="Q1737" i="8"/>
  <c r="Q1738" i="8"/>
  <c r="Q1739" i="8"/>
  <c r="Q1740" i="8"/>
  <c r="Q1741" i="8"/>
  <c r="Q1742" i="8"/>
  <c r="Q1743" i="8"/>
  <c r="Q1744" i="8"/>
  <c r="Q1745" i="8"/>
  <c r="Q1746" i="8"/>
  <c r="Q1747" i="8"/>
  <c r="Q1748" i="8"/>
  <c r="Q1749" i="8"/>
  <c r="Q1750" i="8"/>
  <c r="Q1751" i="8"/>
  <c r="Q1752" i="8"/>
  <c r="Q1753" i="8"/>
  <c r="Q1754" i="8"/>
  <c r="Q1755" i="8"/>
  <c r="Q1756" i="8"/>
  <c r="Q1757" i="8"/>
  <c r="Q1758" i="8"/>
  <c r="Q1759" i="8"/>
  <c r="Q1760" i="8"/>
  <c r="Q1761" i="8"/>
  <c r="Q1762" i="8"/>
  <c r="Q1763" i="8"/>
  <c r="Q1764" i="8"/>
  <c r="Q1765" i="8"/>
  <c r="Q1766" i="8"/>
  <c r="Q1767" i="8"/>
  <c r="Q1768" i="8"/>
  <c r="Q1769" i="8"/>
  <c r="Q1770" i="8"/>
  <c r="Q1771" i="8"/>
  <c r="Q1772" i="8"/>
  <c r="Q1773" i="8"/>
  <c r="Q1774" i="8"/>
  <c r="Q1775" i="8"/>
  <c r="Q1776" i="8"/>
  <c r="Q1777" i="8"/>
  <c r="Q1778" i="8"/>
  <c r="Q1779" i="8"/>
  <c r="Q1780" i="8"/>
  <c r="Q1781" i="8"/>
  <c r="Q1782" i="8"/>
  <c r="Q1783" i="8"/>
  <c r="Q1784" i="8"/>
  <c r="Q1785" i="8"/>
  <c r="Q1786" i="8"/>
  <c r="Q1787" i="8"/>
  <c r="Q1788" i="8"/>
  <c r="Q1789" i="8"/>
  <c r="Q1790" i="8"/>
  <c r="Q1791" i="8"/>
  <c r="Q1792" i="8"/>
  <c r="Q1793" i="8"/>
  <c r="Q1794" i="8"/>
  <c r="Q1795" i="8"/>
  <c r="Q1796" i="8"/>
  <c r="Q1797" i="8"/>
  <c r="Q1798" i="8"/>
  <c r="Q1799" i="8"/>
  <c r="Q1800" i="8"/>
  <c r="Q1801" i="8"/>
  <c r="Q1802" i="8"/>
  <c r="Q1803" i="8"/>
  <c r="Q1804" i="8"/>
  <c r="Q1805" i="8"/>
  <c r="Q1806" i="8"/>
  <c r="Q1807" i="8"/>
  <c r="Q1808" i="8"/>
  <c r="Q1809" i="8"/>
  <c r="Q1810" i="8"/>
  <c r="Q1811" i="8"/>
  <c r="Q1812" i="8"/>
  <c r="Q1813" i="8"/>
  <c r="Q1814" i="8"/>
  <c r="Q1815" i="8"/>
  <c r="Q1816" i="8"/>
  <c r="Q1817" i="8"/>
  <c r="Q1818" i="8"/>
  <c r="Q1819" i="8"/>
  <c r="Q1820" i="8"/>
  <c r="Q1821" i="8"/>
  <c r="Q1822" i="8"/>
  <c r="Q1823" i="8"/>
  <c r="Q1824" i="8"/>
  <c r="Q1825" i="8"/>
  <c r="Q1826" i="8"/>
  <c r="Q1827" i="8"/>
  <c r="Q1828" i="8"/>
  <c r="Q1829" i="8"/>
  <c r="Q1830" i="8"/>
  <c r="Q1831" i="8"/>
  <c r="Q1832" i="8"/>
  <c r="Q1833" i="8"/>
  <c r="Q1834" i="8"/>
  <c r="Q1835" i="8"/>
  <c r="Q1836" i="8"/>
  <c r="Q1837" i="8"/>
  <c r="Q1838" i="8"/>
  <c r="Q1839" i="8"/>
  <c r="Q1840" i="8"/>
  <c r="Q1841" i="8"/>
  <c r="Q1842" i="8"/>
  <c r="Q1843" i="8"/>
  <c r="Q1844" i="8"/>
  <c r="Q1845" i="8"/>
  <c r="Q1846" i="8"/>
  <c r="Q1847" i="8"/>
  <c r="Q1848" i="8"/>
  <c r="Q1849" i="8"/>
  <c r="Q1850" i="8"/>
  <c r="Q1851" i="8"/>
  <c r="Q1852" i="8"/>
  <c r="Q1853" i="8"/>
  <c r="Q1854" i="8"/>
  <c r="Q1855" i="8"/>
  <c r="Q1856" i="8"/>
  <c r="Q1857" i="8"/>
  <c r="Q1858" i="8"/>
  <c r="Q1859" i="8"/>
  <c r="Q1860" i="8"/>
  <c r="Q1861" i="8"/>
  <c r="Q1862" i="8"/>
  <c r="Q1863" i="8"/>
  <c r="Q1864" i="8"/>
  <c r="Q1865" i="8"/>
  <c r="Q1866" i="8"/>
  <c r="Q1867" i="8"/>
  <c r="Q1868" i="8"/>
  <c r="Q1869" i="8"/>
  <c r="Q1870" i="8"/>
  <c r="Q1871" i="8"/>
  <c r="Q1872" i="8"/>
  <c r="Q1873" i="8"/>
  <c r="Q1874" i="8"/>
  <c r="Q1875" i="8"/>
  <c r="Q1876" i="8"/>
  <c r="Q1877" i="8"/>
  <c r="Q1878" i="8"/>
  <c r="Q1879" i="8"/>
  <c r="Q1880" i="8"/>
  <c r="Q1881" i="8"/>
  <c r="Q1882" i="8"/>
  <c r="Q1883" i="8"/>
  <c r="Q1884" i="8"/>
  <c r="Q1885" i="8"/>
  <c r="Q1886" i="8"/>
  <c r="Q1887" i="8"/>
  <c r="Q1888" i="8"/>
  <c r="Q1889" i="8"/>
  <c r="Q1890" i="8"/>
  <c r="Q1891" i="8"/>
  <c r="Q1892" i="8"/>
  <c r="Q1893" i="8"/>
  <c r="Q1894" i="8"/>
  <c r="Q1895" i="8"/>
  <c r="Q1896" i="8"/>
  <c r="Q1897" i="8"/>
  <c r="Q1898" i="8"/>
  <c r="Q1899" i="8"/>
  <c r="Q1900" i="8"/>
  <c r="Q1901" i="8"/>
  <c r="Q1902" i="8"/>
  <c r="Q1903" i="8"/>
  <c r="Q1904" i="8"/>
  <c r="Q1905" i="8"/>
  <c r="Q1906" i="8"/>
  <c r="Q1907" i="8"/>
  <c r="Q1908" i="8"/>
  <c r="Q1909" i="8"/>
  <c r="Q1910" i="8"/>
  <c r="Q1911" i="8"/>
  <c r="Q1912" i="8"/>
  <c r="Q1913" i="8"/>
  <c r="Q1914" i="8"/>
  <c r="Q1915" i="8"/>
  <c r="Q1916" i="8"/>
  <c r="Q1917" i="8"/>
  <c r="Q1918" i="8"/>
  <c r="Q1919" i="8"/>
  <c r="Q1920" i="8"/>
  <c r="Q1921" i="8"/>
  <c r="Q1922" i="8"/>
  <c r="Q1923" i="8"/>
  <c r="Q1924" i="8"/>
  <c r="Q1925" i="8"/>
  <c r="Q1926" i="8"/>
  <c r="Q1927" i="8"/>
  <c r="Q1928" i="8"/>
  <c r="Q1929" i="8"/>
  <c r="Q1930" i="8"/>
  <c r="Q1931" i="8"/>
  <c r="Q1932" i="8"/>
  <c r="Q1933" i="8"/>
  <c r="Q1934" i="8"/>
  <c r="Q1935" i="8"/>
  <c r="Q1936" i="8"/>
  <c r="Q1937" i="8"/>
  <c r="Q1938" i="8"/>
  <c r="Q1939" i="8"/>
  <c r="Q1940" i="8"/>
  <c r="Q1941" i="8"/>
  <c r="Q1942" i="8"/>
  <c r="Q1943" i="8"/>
  <c r="Q1944" i="8"/>
  <c r="Q1945" i="8"/>
  <c r="Q1946" i="8"/>
  <c r="Q1947" i="8"/>
  <c r="Q1948" i="8"/>
  <c r="Q1949" i="8"/>
  <c r="Q1950" i="8"/>
  <c r="Q1951" i="8"/>
  <c r="Q1952" i="8"/>
  <c r="Q1953" i="8"/>
  <c r="Q1954" i="8"/>
  <c r="Q1955" i="8"/>
  <c r="Q1956" i="8"/>
  <c r="Q1957" i="8"/>
  <c r="Q1958" i="8"/>
  <c r="Q1959" i="8"/>
  <c r="Q1960" i="8"/>
  <c r="Q1961" i="8"/>
  <c r="Q1962" i="8"/>
  <c r="Q1963" i="8"/>
  <c r="Q1964" i="8"/>
  <c r="Q1965" i="8"/>
  <c r="Q1966" i="8"/>
  <c r="Q1967" i="8"/>
  <c r="Q1968" i="8"/>
  <c r="Q1969" i="8"/>
  <c r="Q1970" i="8"/>
  <c r="Q1971" i="8"/>
  <c r="Q1972" i="8"/>
  <c r="Q1973" i="8"/>
  <c r="Q1974" i="8"/>
  <c r="Q1975" i="8"/>
  <c r="Q1976" i="8"/>
  <c r="Q1977" i="8"/>
  <c r="Q1978" i="8"/>
  <c r="Q1979" i="8"/>
  <c r="Q1980" i="8"/>
  <c r="Q1981" i="8"/>
  <c r="Q1982" i="8"/>
  <c r="Q1983" i="8"/>
  <c r="Q1984" i="8"/>
  <c r="Q1985" i="8"/>
  <c r="Q1986" i="8"/>
  <c r="Q1987" i="8"/>
  <c r="Q1988" i="8"/>
  <c r="Q1989" i="8"/>
  <c r="Q1990" i="8"/>
  <c r="Q1991" i="8"/>
  <c r="Q1992" i="8"/>
  <c r="Q1993" i="8"/>
  <c r="Q1994" i="8"/>
  <c r="Q1995" i="8"/>
  <c r="Q1996" i="8"/>
  <c r="Q1997" i="8"/>
  <c r="Q1998" i="8"/>
  <c r="Q1999" i="8"/>
  <c r="Q2000" i="8"/>
  <c r="Q2001" i="8"/>
  <c r="Q2002" i="8"/>
  <c r="Q2003" i="8"/>
  <c r="Q2004" i="8"/>
  <c r="Q2005" i="8"/>
  <c r="Q2006" i="8"/>
  <c r="Q2007" i="8"/>
  <c r="Q2008" i="8"/>
  <c r="Q2009" i="8"/>
  <c r="Q2010" i="8"/>
  <c r="Q2011" i="8"/>
  <c r="Q2012" i="8"/>
  <c r="Q2013" i="8"/>
  <c r="Q2014" i="8"/>
  <c r="Q2015" i="8"/>
  <c r="Q2016" i="8"/>
  <c r="Q2017" i="8"/>
  <c r="Q2018" i="8"/>
  <c r="Q2019" i="8"/>
  <c r="Q2020" i="8"/>
  <c r="Q2021" i="8"/>
  <c r="Q2022" i="8"/>
  <c r="Q2023" i="8"/>
  <c r="Q2024" i="8"/>
  <c r="Q2025" i="8"/>
  <c r="Q2026" i="8"/>
  <c r="Q2027" i="8"/>
  <c r="Q2028" i="8"/>
  <c r="Q2029" i="8"/>
  <c r="Q2030" i="8"/>
  <c r="Q2031" i="8"/>
  <c r="Q2032" i="8"/>
  <c r="Q2033" i="8"/>
  <c r="Q2034" i="8"/>
  <c r="Q2035" i="8"/>
  <c r="Q2036" i="8"/>
  <c r="Q2037" i="8"/>
  <c r="Q2038" i="8"/>
  <c r="Q2039" i="8"/>
  <c r="Q2040" i="8"/>
  <c r="Q2041" i="8"/>
  <c r="Q2042" i="8"/>
  <c r="Q2043" i="8"/>
  <c r="Q2044" i="8"/>
  <c r="Q2045" i="8"/>
  <c r="Q2046" i="8"/>
  <c r="Q2047" i="8"/>
  <c r="Q2048" i="8"/>
  <c r="Q2049" i="8"/>
  <c r="Q2050" i="8"/>
  <c r="Q2051" i="8"/>
  <c r="Q2052" i="8"/>
  <c r="Q2053" i="8"/>
  <c r="Q2054" i="8"/>
  <c r="Q2055" i="8"/>
  <c r="Q2056" i="8"/>
  <c r="Q2057" i="8"/>
  <c r="Q2058" i="8"/>
  <c r="Q2059" i="8"/>
  <c r="Q2060" i="8"/>
  <c r="Q2061" i="8"/>
  <c r="Q2062" i="8"/>
  <c r="Q2063" i="8"/>
  <c r="Q2064" i="8"/>
  <c r="Q2065" i="8"/>
  <c r="Q2066" i="8"/>
  <c r="Q2067" i="8"/>
  <c r="Q2068" i="8"/>
  <c r="Q2069" i="8"/>
  <c r="Q2070" i="8"/>
  <c r="Q2071" i="8"/>
  <c r="Q2072" i="8"/>
  <c r="Q2073" i="8"/>
  <c r="Q2074" i="8"/>
  <c r="Q2075" i="8"/>
  <c r="Q2076" i="8"/>
  <c r="Q2077" i="8"/>
  <c r="Q2078" i="8"/>
  <c r="Q2079" i="8"/>
  <c r="Q2080" i="8"/>
  <c r="Q2081" i="8"/>
  <c r="Q2082" i="8"/>
  <c r="Q2083" i="8"/>
  <c r="Q2084" i="8"/>
  <c r="Q2085" i="8"/>
  <c r="Q2086" i="8"/>
  <c r="Q2087" i="8"/>
  <c r="Q2088" i="8"/>
  <c r="Q2089" i="8"/>
  <c r="Q2090" i="8"/>
  <c r="Q2091" i="8"/>
  <c r="Q2092" i="8"/>
  <c r="Q2093" i="8"/>
  <c r="Q2094" i="8"/>
  <c r="Q2095" i="8"/>
  <c r="Q2096" i="8"/>
  <c r="Q2097" i="8"/>
  <c r="Q2098" i="8"/>
  <c r="Q2099" i="8"/>
  <c r="Q2100" i="8"/>
  <c r="Q2101" i="8"/>
  <c r="Q2102" i="8"/>
  <c r="Q2103" i="8"/>
  <c r="Q2104" i="8"/>
  <c r="Q2105" i="8"/>
  <c r="Q2106" i="8"/>
  <c r="Q2107" i="8"/>
  <c r="Q2108" i="8"/>
  <c r="Q2109" i="8"/>
  <c r="Q2110" i="8"/>
  <c r="Q2111" i="8"/>
  <c r="Q2112" i="8"/>
  <c r="Q2113" i="8"/>
  <c r="Q2114" i="8"/>
  <c r="Q2115" i="8"/>
  <c r="Q2116" i="8"/>
  <c r="Q2117" i="8"/>
  <c r="Q2118" i="8"/>
  <c r="Q2119" i="8"/>
  <c r="Q2120" i="8"/>
  <c r="Q2121" i="8"/>
  <c r="Q2122" i="8"/>
  <c r="Q2123" i="8"/>
  <c r="Q2124" i="8"/>
  <c r="Q2125" i="8"/>
  <c r="Q2126" i="8"/>
  <c r="Q2127" i="8"/>
  <c r="Q2128" i="8"/>
  <c r="Q2129" i="8"/>
  <c r="Q2130" i="8"/>
  <c r="Q2131" i="8"/>
  <c r="Q2132" i="8"/>
  <c r="Q2133" i="8"/>
  <c r="Q2134" i="8"/>
  <c r="Q2135" i="8"/>
  <c r="Q2136" i="8"/>
  <c r="Q2137" i="8"/>
  <c r="Q2138" i="8"/>
  <c r="Q2139" i="8"/>
  <c r="Q2140" i="8"/>
  <c r="Q2141" i="8"/>
  <c r="Q2142" i="8"/>
  <c r="Q2143" i="8"/>
  <c r="Q2144" i="8"/>
  <c r="Q2145" i="8"/>
  <c r="Q2146" i="8"/>
  <c r="Q2147" i="8"/>
  <c r="Q2148" i="8"/>
  <c r="Q2149" i="8"/>
  <c r="Q2150" i="8"/>
  <c r="Q2151" i="8"/>
  <c r="Q2152" i="8"/>
  <c r="Q2153" i="8"/>
  <c r="Q2154" i="8"/>
  <c r="Q2155" i="8"/>
  <c r="Q2156" i="8"/>
  <c r="Q2157" i="8"/>
  <c r="Q2158" i="8"/>
  <c r="Q2159" i="8"/>
  <c r="Q2160" i="8"/>
  <c r="Q2161" i="8"/>
  <c r="Q2162" i="8"/>
  <c r="Q2163" i="8"/>
  <c r="Q2164" i="8"/>
  <c r="Q2165" i="8"/>
  <c r="Q2166" i="8"/>
  <c r="Q2167" i="8"/>
  <c r="Q2168" i="8"/>
  <c r="Q2169" i="8"/>
  <c r="Q2170" i="8"/>
  <c r="Q2171" i="8"/>
  <c r="Q2172" i="8"/>
  <c r="Q2173" i="8"/>
  <c r="Q2174" i="8"/>
  <c r="Q2175" i="8"/>
  <c r="Q2176" i="8"/>
  <c r="Q2177" i="8"/>
  <c r="Q2178" i="8"/>
  <c r="Q2179" i="8"/>
  <c r="Q2180" i="8"/>
  <c r="Q2181" i="8"/>
  <c r="Q2182" i="8"/>
  <c r="Q2183" i="8"/>
  <c r="Q2184" i="8"/>
  <c r="Q2185" i="8"/>
  <c r="Q2186" i="8"/>
  <c r="Q2187" i="8"/>
  <c r="Q2188" i="8"/>
  <c r="Q2189" i="8"/>
  <c r="Q2190" i="8"/>
  <c r="Q2191" i="8"/>
  <c r="Q2192" i="8"/>
  <c r="Q2193" i="8"/>
  <c r="T159" i="30" l="1"/>
  <c r="T158" i="30"/>
  <c r="T157" i="30"/>
  <c r="T156" i="30"/>
  <c r="T155" i="30"/>
  <c r="T154" i="30"/>
  <c r="T153" i="30"/>
  <c r="T152" i="30"/>
  <c r="T151" i="30"/>
  <c r="T150" i="30"/>
  <c r="T149" i="30"/>
  <c r="T148" i="30"/>
  <c r="T147" i="30"/>
  <c r="T146" i="30"/>
  <c r="T145" i="30"/>
  <c r="T144" i="30"/>
  <c r="T143" i="30"/>
  <c r="T142" i="30"/>
  <c r="T141" i="30"/>
  <c r="T140" i="30"/>
  <c r="T139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5" i="30"/>
  <c r="T124" i="30"/>
  <c r="T123" i="30"/>
  <c r="T122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106" i="30"/>
  <c r="T105" i="30"/>
  <c r="T104" i="30"/>
  <c r="T103" i="30"/>
  <c r="T102" i="30"/>
  <c r="T101" i="30"/>
  <c r="T100" i="30"/>
  <c r="T99" i="30"/>
  <c r="T98" i="30"/>
  <c r="T97" i="30"/>
  <c r="T96" i="30"/>
  <c r="T95" i="30"/>
  <c r="T94" i="30"/>
  <c r="T93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8" i="30"/>
  <c r="T77" i="30"/>
  <c r="T76" i="30"/>
  <c r="T75" i="30"/>
  <c r="T74" i="30"/>
  <c r="T73" i="30"/>
  <c r="T72" i="30"/>
  <c r="T71" i="30"/>
  <c r="T70" i="30"/>
  <c r="T69" i="30"/>
  <c r="T68" i="30"/>
  <c r="T67" i="30"/>
  <c r="T66" i="30"/>
  <c r="T65" i="30"/>
  <c r="T64" i="30"/>
  <c r="T63" i="30"/>
  <c r="T62" i="30"/>
  <c r="T61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T48" i="30"/>
  <c r="T47" i="30"/>
  <c r="T46" i="30"/>
  <c r="T45" i="30"/>
  <c r="T44" i="30"/>
  <c r="T43" i="30"/>
  <c r="T42" i="30"/>
  <c r="T41" i="30"/>
  <c r="T40" i="30"/>
  <c r="T39" i="30"/>
  <c r="T38" i="30"/>
  <c r="T37" i="30"/>
  <c r="T36" i="30"/>
  <c r="T35" i="30"/>
  <c r="T34" i="30"/>
  <c r="T33" i="30"/>
  <c r="T31" i="30"/>
  <c r="T30" i="30"/>
  <c r="T29" i="30"/>
  <c r="T28" i="30"/>
  <c r="T27" i="30"/>
  <c r="T26" i="30"/>
  <c r="T25" i="30"/>
  <c r="T24" i="30"/>
  <c r="T23" i="30"/>
  <c r="T22" i="30"/>
  <c r="T21" i="30"/>
  <c r="T20" i="30"/>
  <c r="T19" i="30"/>
  <c r="T18" i="30"/>
  <c r="T17" i="30"/>
  <c r="T16" i="30"/>
  <c r="T15" i="30"/>
  <c r="T14" i="30"/>
  <c r="T13" i="30"/>
  <c r="T12" i="30"/>
  <c r="T11" i="30"/>
  <c r="T10" i="30"/>
  <c r="T9" i="30"/>
  <c r="T8" i="30"/>
  <c r="T7" i="30"/>
  <c r="T6" i="30"/>
  <c r="T5" i="30"/>
  <c r="T4" i="30"/>
  <c r="T3" i="30"/>
  <c r="T2" i="30"/>
  <c r="F67" i="6" l="1"/>
  <c r="AA2" i="8" l="1"/>
  <c r="G4" i="29" l="1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3" i="29"/>
  <c r="E70" i="6" l="1"/>
  <c r="D74" i="6"/>
  <c r="E74" i="6" s="1"/>
  <c r="D75" i="6"/>
  <c r="E75" i="6" s="1"/>
  <c r="D72" i="6"/>
  <c r="E72" i="6" s="1"/>
  <c r="D80" i="6"/>
  <c r="E80" i="6" s="1"/>
  <c r="D73" i="6"/>
  <c r="E73" i="6" s="1"/>
  <c r="D77" i="6"/>
  <c r="E77" i="6" s="1"/>
  <c r="D81" i="6"/>
  <c r="E81" i="6" s="1"/>
  <c r="D78" i="6"/>
  <c r="E78" i="6" s="1"/>
  <c r="D71" i="6"/>
  <c r="E71" i="6" s="1"/>
  <c r="D79" i="6"/>
  <c r="E79" i="6" s="1"/>
  <c r="D76" i="6"/>
  <c r="E76" i="6" s="1"/>
  <c r="E69" i="6"/>
  <c r="E68" i="6"/>
  <c r="E64" i="6"/>
  <c r="E3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5" i="6"/>
  <c r="E9" i="6"/>
  <c r="E17" i="6"/>
  <c r="E25" i="6"/>
  <c r="E33" i="6"/>
  <c r="E41" i="6"/>
  <c r="E49" i="6"/>
  <c r="E57" i="6"/>
  <c r="E67" i="6"/>
  <c r="E14" i="6"/>
  <c r="E22" i="6"/>
  <c r="E30" i="6"/>
  <c r="E42" i="6"/>
  <c r="E46" i="6"/>
  <c r="E54" i="6"/>
  <c r="E62" i="6"/>
  <c r="E65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2" i="6"/>
  <c r="E66" i="6"/>
  <c r="E13" i="6"/>
  <c r="E21" i="6"/>
  <c r="E29" i="6"/>
  <c r="E37" i="6"/>
  <c r="E45" i="6"/>
  <c r="E53" i="6"/>
  <c r="E61" i="6"/>
  <c r="E6" i="6"/>
  <c r="E10" i="6"/>
  <c r="E18" i="6"/>
  <c r="E26" i="6"/>
  <c r="E34" i="6"/>
  <c r="E38" i="6"/>
  <c r="E50" i="6"/>
  <c r="E58" i="6"/>
  <c r="C40" i="24" l="1"/>
  <c r="E37" i="24"/>
  <c r="H37" i="24"/>
  <c r="E38" i="24"/>
  <c r="H38" i="24"/>
  <c r="E39" i="24"/>
  <c r="H39" i="24"/>
  <c r="E26" i="24"/>
  <c r="H26" i="24"/>
  <c r="E27" i="24"/>
  <c r="H27" i="24"/>
  <c r="E28" i="24"/>
  <c r="H28" i="24"/>
  <c r="E29" i="24"/>
  <c r="H29" i="24"/>
  <c r="E30" i="24"/>
  <c r="H30" i="24"/>
  <c r="E31" i="24"/>
  <c r="H31" i="24"/>
  <c r="E32" i="24"/>
  <c r="H32" i="24"/>
  <c r="E33" i="24"/>
  <c r="H33" i="24"/>
  <c r="E34" i="24"/>
  <c r="H34" i="24"/>
  <c r="E35" i="24"/>
  <c r="H35" i="24"/>
  <c r="E36" i="24"/>
  <c r="H36" i="24"/>
  <c r="F31" i="6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F17" i="6"/>
  <c r="I4" i="26" l="1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3" i="26"/>
  <c r="F2" i="6"/>
  <c r="E25" i="24"/>
  <c r="F26" i="24"/>
  <c r="G26" i="24"/>
  <c r="E50" i="24"/>
  <c r="F27" i="24"/>
  <c r="G27" i="24"/>
  <c r="E51" i="24"/>
  <c r="F28" i="24"/>
  <c r="G28" i="24"/>
  <c r="E52" i="24"/>
  <c r="F29" i="24"/>
  <c r="G29" i="24"/>
  <c r="E53" i="24"/>
  <c r="F30" i="24"/>
  <c r="G30" i="24"/>
  <c r="E54" i="24"/>
  <c r="F31" i="24"/>
  <c r="G31" i="24"/>
  <c r="E55" i="24"/>
  <c r="F32" i="24"/>
  <c r="G32" i="24"/>
  <c r="E56" i="24"/>
  <c r="F33" i="24"/>
  <c r="G33" i="24"/>
  <c r="E57" i="24"/>
  <c r="F34" i="24"/>
  <c r="G34" i="24"/>
  <c r="E58" i="24"/>
  <c r="F35" i="24"/>
  <c r="G35" i="24"/>
  <c r="E59" i="24"/>
  <c r="F36" i="24"/>
  <c r="G36" i="24"/>
  <c r="E60" i="24"/>
  <c r="F37" i="24"/>
  <c r="G37" i="24"/>
  <c r="E61" i="24"/>
  <c r="F38" i="24"/>
  <c r="G38" i="24"/>
  <c r="E62" i="24"/>
  <c r="F39" i="24"/>
  <c r="G39" i="24"/>
  <c r="E63" i="24"/>
  <c r="C64" i="24"/>
  <c r="E64" i="24"/>
  <c r="C65" i="24"/>
  <c r="D65" i="24"/>
  <c r="E65" i="24"/>
  <c r="C66" i="24"/>
  <c r="D66" i="24"/>
  <c r="E66" i="24"/>
  <c r="F25" i="24"/>
  <c r="I25" i="24" l="1"/>
  <c r="H25" i="24"/>
  <c r="E49" i="24"/>
  <c r="G25" i="24"/>
  <c r="W937" i="8" l="1"/>
  <c r="Z937" i="8"/>
  <c r="W1073" i="8"/>
  <c r="F15" i="6" l="1"/>
  <c r="F3" i="6"/>
  <c r="F4" i="6"/>
  <c r="F5" i="6"/>
  <c r="F6" i="6"/>
  <c r="F7" i="6"/>
  <c r="F8" i="6"/>
  <c r="F9" i="6"/>
  <c r="F10" i="6"/>
  <c r="F11" i="6"/>
  <c r="F12" i="6"/>
  <c r="F13" i="6"/>
  <c r="F14" i="6"/>
  <c r="F16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U12" i="8" l="1"/>
  <c r="U31" i="8"/>
  <c r="U40" i="8"/>
  <c r="U49" i="8"/>
  <c r="U61" i="8"/>
  <c r="U81" i="8"/>
  <c r="U106" i="8"/>
  <c r="U124" i="8"/>
  <c r="U150" i="8"/>
  <c r="U170" i="8"/>
  <c r="U191" i="8"/>
  <c r="U219" i="8"/>
  <c r="U233" i="8"/>
  <c r="U254" i="8"/>
  <c r="U273" i="8"/>
  <c r="U285" i="8"/>
  <c r="U314" i="8"/>
  <c r="U360" i="8"/>
  <c r="U382" i="8"/>
  <c r="U404" i="8"/>
  <c r="U452" i="8"/>
  <c r="U478" i="8"/>
  <c r="U525" i="8"/>
  <c r="U562" i="8"/>
  <c r="U592" i="8"/>
  <c r="U611" i="8"/>
  <c r="U635" i="8"/>
  <c r="U657" i="8"/>
  <c r="U695" i="8"/>
  <c r="U716" i="8"/>
  <c r="U751" i="8"/>
  <c r="U768" i="8"/>
  <c r="U777" i="8"/>
  <c r="U793" i="8"/>
  <c r="U902" i="8"/>
  <c r="U949" i="8"/>
  <c r="U960" i="8"/>
  <c r="U992" i="8"/>
  <c r="U1017" i="8"/>
  <c r="U1042" i="8"/>
  <c r="U1058" i="8"/>
  <c r="U1074" i="8"/>
  <c r="U19" i="8"/>
  <c r="U43" i="8"/>
  <c r="U67" i="8"/>
  <c r="U109" i="8"/>
  <c r="U154" i="8"/>
  <c r="U200" i="8"/>
  <c r="U243" i="8"/>
  <c r="U276" i="8"/>
  <c r="U315" i="8"/>
  <c r="U388" i="8"/>
  <c r="U456" i="8"/>
  <c r="U551" i="8"/>
  <c r="U600" i="8"/>
  <c r="U636" i="8"/>
  <c r="U701" i="8"/>
  <c r="U759" i="8"/>
  <c r="U778" i="8"/>
  <c r="U914" i="8"/>
  <c r="U961" i="8"/>
  <c r="U1020" i="8"/>
  <c r="U1059" i="8"/>
  <c r="U1082" i="8"/>
  <c r="U1105" i="8"/>
  <c r="U1135" i="8"/>
  <c r="U1153" i="8"/>
  <c r="U1177" i="8"/>
  <c r="U1190" i="8"/>
  <c r="U1202" i="8"/>
  <c r="U1212" i="8"/>
  <c r="U1228" i="8"/>
  <c r="U1240" i="8"/>
  <c r="U1263" i="8"/>
  <c r="U1276" i="8"/>
  <c r="U1289" i="8"/>
  <c r="U1318" i="8"/>
  <c r="U1343" i="8"/>
  <c r="U1358" i="8"/>
  <c r="U1370" i="8"/>
  <c r="U1382" i="8"/>
  <c r="U1407" i="8"/>
  <c r="U1437" i="8"/>
  <c r="U1478" i="8"/>
  <c r="U1509" i="8"/>
  <c r="U38" i="8"/>
  <c r="U91" i="8"/>
  <c r="U184" i="8"/>
  <c r="U269" i="8"/>
  <c r="U366" i="8"/>
  <c r="U508" i="8"/>
  <c r="U629" i="8"/>
  <c r="U726" i="8"/>
  <c r="U877" i="8"/>
  <c r="U1013" i="8"/>
  <c r="U1079" i="8"/>
  <c r="U1114" i="8"/>
  <c r="U1165" i="8"/>
  <c r="U1197" i="8"/>
  <c r="U1225" i="8"/>
  <c r="U1246" i="8"/>
  <c r="U1288" i="8"/>
  <c r="U1340" i="8"/>
  <c r="U1365" i="8"/>
  <c r="U1404" i="8"/>
  <c r="U1472" i="8"/>
  <c r="U1525" i="8"/>
  <c r="U1538" i="8"/>
  <c r="U1552" i="8"/>
  <c r="U1581" i="8"/>
  <c r="U1599" i="8"/>
  <c r="U1613" i="8"/>
  <c r="U1634" i="8"/>
  <c r="U1643" i="8"/>
  <c r="U1663" i="8"/>
  <c r="U1692" i="8"/>
  <c r="U1710" i="8"/>
  <c r="U1747" i="8"/>
  <c r="U1779" i="8"/>
  <c r="U1802" i="8"/>
  <c r="U1817" i="8"/>
  <c r="U25" i="8"/>
  <c r="U76" i="8"/>
  <c r="U166" i="8"/>
  <c r="U250" i="8"/>
  <c r="U328" i="8"/>
  <c r="U471" i="8"/>
  <c r="U606" i="8"/>
  <c r="U705" i="8"/>
  <c r="U789" i="8"/>
  <c r="U980" i="8"/>
  <c r="U1070" i="8"/>
  <c r="U1109" i="8"/>
  <c r="U1154" i="8"/>
  <c r="U1192" i="8"/>
  <c r="U1217" i="8"/>
  <c r="U1241" i="8"/>
  <c r="U1282" i="8"/>
  <c r="U1322" i="8"/>
  <c r="U1360" i="8"/>
  <c r="U1394" i="8"/>
  <c r="U1442" i="8"/>
  <c r="U1522" i="8"/>
  <c r="U1537" i="8"/>
  <c r="U1551" i="8"/>
  <c r="U1577" i="8"/>
  <c r="U1595" i="8"/>
  <c r="U1612" i="8"/>
  <c r="U1626" i="8"/>
  <c r="U1639" i="8"/>
  <c r="U1658" i="8"/>
  <c r="U1684" i="8"/>
  <c r="U1708" i="8"/>
  <c r="U1746" i="8"/>
  <c r="U1777" i="8"/>
  <c r="U1789" i="8"/>
  <c r="U1810" i="8"/>
  <c r="U6" i="8"/>
  <c r="U24" i="8"/>
  <c r="U37" i="8"/>
  <c r="U44" i="8"/>
  <c r="U58" i="8"/>
  <c r="U68" i="8"/>
  <c r="U85" i="8"/>
  <c r="U110" i="8"/>
  <c r="U142" i="8"/>
  <c r="U160" i="8"/>
  <c r="U181" i="8"/>
  <c r="U206" i="8"/>
  <c r="U228" i="8"/>
  <c r="U247" i="8"/>
  <c r="U279" i="8"/>
  <c r="U323" i="8"/>
  <c r="U392" i="8"/>
  <c r="U462" i="8"/>
  <c r="U556" i="8"/>
  <c r="U604" i="8"/>
  <c r="U642" i="8"/>
  <c r="U704" i="8"/>
  <c r="U762" i="8"/>
  <c r="U779" i="8"/>
  <c r="U939" i="8"/>
  <c r="U971" i="8"/>
  <c r="U1023" i="8"/>
  <c r="U1067" i="8"/>
  <c r="U35" i="8"/>
  <c r="U84" i="8"/>
  <c r="U174" i="8"/>
  <c r="U259" i="8"/>
  <c r="U361" i="8"/>
  <c r="U484" i="8"/>
  <c r="U613" i="8"/>
  <c r="U717" i="8"/>
  <c r="U811" i="8"/>
  <c r="U1007" i="8"/>
  <c r="U1076" i="8"/>
  <c r="U1111" i="8"/>
  <c r="U1159" i="8"/>
  <c r="U1196" i="8"/>
  <c r="U1218" i="8"/>
  <c r="U1242" i="8"/>
  <c r="U1284" i="8"/>
  <c r="U1333" i="8"/>
  <c r="U1361" i="8"/>
  <c r="U1403" i="8"/>
  <c r="U1469" i="8"/>
  <c r="U11" i="8"/>
  <c r="U143" i="8"/>
  <c r="U309" i="8"/>
  <c r="U591" i="8"/>
  <c r="U771" i="8"/>
  <c r="U1057" i="8"/>
  <c r="U1149" i="8"/>
  <c r="U1210" i="8"/>
  <c r="U1275" i="8"/>
  <c r="U1357" i="8"/>
  <c r="U1428" i="8"/>
  <c r="U1535" i="8"/>
  <c r="U1565" i="8"/>
  <c r="U1606" i="8"/>
  <c r="U1638" i="8"/>
  <c r="U1681" i="8"/>
  <c r="U1731" i="8"/>
  <c r="U1786" i="8"/>
  <c r="U1822" i="8"/>
  <c r="U121" i="8"/>
  <c r="U282" i="8"/>
  <c r="U557" i="8"/>
  <c r="U763" i="8"/>
  <c r="U1025" i="8"/>
  <c r="U1140" i="8"/>
  <c r="U1203" i="8"/>
  <c r="U1269" i="8"/>
  <c r="U1344" i="8"/>
  <c r="U1412" i="8"/>
  <c r="U1526" i="8"/>
  <c r="U1561" i="8"/>
  <c r="U1600" i="8"/>
  <c r="U1635" i="8"/>
  <c r="U1666" i="8"/>
  <c r="U1726" i="8"/>
  <c r="U1785" i="8"/>
  <c r="U1820" i="8"/>
  <c r="U268" i="8"/>
  <c r="U293" i="8"/>
  <c r="U365" i="8"/>
  <c r="U427" i="8"/>
  <c r="U495" i="8"/>
  <c r="U568" i="8"/>
  <c r="U623" i="8"/>
  <c r="U689" i="8"/>
  <c r="U725" i="8"/>
  <c r="U770" i="8"/>
  <c r="U865" i="8"/>
  <c r="U957" i="8"/>
  <c r="U1008" i="8"/>
  <c r="U1048" i="8"/>
  <c r="U1077" i="8"/>
  <c r="U54" i="8"/>
  <c r="U141" i="8"/>
  <c r="U223" i="8"/>
  <c r="U292" i="8"/>
  <c r="U411" i="8"/>
  <c r="U567" i="8"/>
  <c r="U658" i="8"/>
  <c r="U769" i="8"/>
  <c r="U956" i="8"/>
  <c r="U1047" i="8"/>
  <c r="U1091" i="8"/>
  <c r="U1141" i="8"/>
  <c r="U1183" i="8"/>
  <c r="U1207" i="8"/>
  <c r="U1235" i="8"/>
  <c r="U1271" i="8"/>
  <c r="U1299" i="8"/>
  <c r="U1351" i="8"/>
  <c r="U1376" i="8"/>
  <c r="U1413" i="8"/>
  <c r="U1499" i="8"/>
  <c r="U60" i="8"/>
  <c r="U231" i="8"/>
  <c r="U444" i="8"/>
  <c r="U690" i="8"/>
  <c r="U959" i="8"/>
  <c r="U1093" i="8"/>
  <c r="U1184" i="8"/>
  <c r="U1238" i="8"/>
  <c r="U1302" i="8"/>
  <c r="U1381" i="8"/>
  <c r="U1503" i="8"/>
  <c r="U1548" i="8"/>
  <c r="U1591" i="8"/>
  <c r="U1624" i="8"/>
  <c r="U1649" i="8"/>
  <c r="U1699" i="8"/>
  <c r="U1770" i="8"/>
  <c r="U1808" i="8"/>
  <c r="U48" i="8"/>
  <c r="U211" i="8"/>
  <c r="U399" i="8"/>
  <c r="U648" i="8"/>
  <c r="U948" i="8"/>
  <c r="U1083" i="8"/>
  <c r="U1178" i="8"/>
  <c r="U1229" i="8"/>
  <c r="U1294" i="8"/>
  <c r="U1371" i="8"/>
  <c r="U1485" i="8"/>
  <c r="U1545" i="8"/>
  <c r="U1590" i="8"/>
  <c r="U1616" i="8"/>
  <c r="U1648" i="8"/>
  <c r="U1694" i="8"/>
  <c r="U1757" i="8"/>
  <c r="U1805" i="8"/>
  <c r="R937" i="8"/>
  <c r="S937" i="8" s="1"/>
  <c r="Z761" i="8" l="1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6" i="8"/>
  <c r="Z807" i="8"/>
  <c r="Z808" i="8"/>
  <c r="Z809" i="8"/>
  <c r="Z810" i="8"/>
  <c r="Z811" i="8"/>
  <c r="Z812" i="8"/>
  <c r="Z813" i="8"/>
  <c r="Z814" i="8"/>
  <c r="Z815" i="8"/>
  <c r="Z816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819" i="8"/>
  <c r="Z820" i="8"/>
  <c r="Z821" i="8"/>
  <c r="Z822" i="8"/>
  <c r="Z687" i="8"/>
  <c r="Z688" i="8"/>
  <c r="Z689" i="8"/>
  <c r="Z690" i="8"/>
  <c r="Z691" i="8"/>
  <c r="Z692" i="8"/>
  <c r="Z693" i="8"/>
  <c r="Z694" i="8"/>
  <c r="Z695" i="8"/>
  <c r="Z696" i="8"/>
  <c r="Z697" i="8"/>
  <c r="Z698" i="8"/>
  <c r="Z699" i="8"/>
  <c r="Z700" i="8"/>
  <c r="Z701" i="8"/>
  <c r="Z583" i="8"/>
  <c r="Z584" i="8"/>
  <c r="Z585" i="8"/>
  <c r="Z586" i="8"/>
  <c r="Z587" i="8"/>
  <c r="Z588" i="8"/>
  <c r="Z589" i="8"/>
  <c r="Z590" i="8"/>
  <c r="Z591" i="8"/>
  <c r="Z592" i="8"/>
  <c r="Z593" i="8"/>
  <c r="Z594" i="8"/>
  <c r="Z595" i="8"/>
  <c r="Z596" i="8"/>
  <c r="Z597" i="8"/>
  <c r="Z598" i="8"/>
  <c r="Z599" i="8"/>
  <c r="Z600" i="8"/>
  <c r="Z601" i="8"/>
  <c r="Z602" i="8"/>
  <c r="Z603" i="8"/>
  <c r="Z604" i="8"/>
  <c r="Z605" i="8"/>
  <c r="Z619" i="8"/>
  <c r="Z620" i="8"/>
  <c r="Z621" i="8"/>
  <c r="Z622" i="8"/>
  <c r="Z623" i="8"/>
  <c r="Z624" i="8"/>
  <c r="Z625" i="8"/>
  <c r="Z626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627" i="8"/>
  <c r="Z628" i="8"/>
  <c r="Z629" i="8"/>
  <c r="Z630" i="8"/>
  <c r="Z631" i="8"/>
  <c r="Z632" i="8"/>
  <c r="Z633" i="8"/>
  <c r="Z634" i="8"/>
  <c r="Z635" i="8"/>
  <c r="Z636" i="8"/>
  <c r="Z637" i="8"/>
  <c r="Z638" i="8"/>
  <c r="Z639" i="8"/>
  <c r="Z640" i="8"/>
  <c r="Z641" i="8"/>
  <c r="Z642" i="8"/>
  <c r="Z643" i="8"/>
  <c r="Z644" i="8"/>
  <c r="Z645" i="8"/>
  <c r="Z646" i="8"/>
  <c r="Z647" i="8"/>
  <c r="Z648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900" i="8"/>
  <c r="Z901" i="8"/>
  <c r="Z902" i="8"/>
  <c r="Z903" i="8"/>
  <c r="Z710" i="8"/>
  <c r="Z711" i="8"/>
  <c r="Z712" i="8"/>
  <c r="Z713" i="8"/>
  <c r="Z714" i="8"/>
  <c r="Z715" i="8"/>
  <c r="Z716" i="8"/>
  <c r="Z873" i="8"/>
  <c r="Z874" i="8"/>
  <c r="Z875" i="8"/>
  <c r="Z876" i="8"/>
  <c r="Z877" i="8"/>
  <c r="Z878" i="8"/>
  <c r="Z879" i="8"/>
  <c r="Z942" i="8"/>
  <c r="Z943" i="8"/>
  <c r="Z944" i="8"/>
  <c r="Z945" i="8"/>
  <c r="Z946" i="8"/>
  <c r="Z947" i="8"/>
  <c r="Z948" i="8"/>
  <c r="Z949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910" i="8"/>
  <c r="Z911" i="8"/>
  <c r="Z912" i="8"/>
  <c r="Z913" i="8"/>
  <c r="Z914" i="8"/>
  <c r="Z915" i="8"/>
  <c r="Z916" i="8"/>
  <c r="Z917" i="8"/>
  <c r="Z918" i="8"/>
  <c r="Z919" i="8"/>
  <c r="Z904" i="8"/>
  <c r="Z905" i="8"/>
  <c r="Z906" i="8"/>
  <c r="Z907" i="8"/>
  <c r="Z908" i="8"/>
  <c r="Z909" i="8"/>
  <c r="Z558" i="8"/>
  <c r="Z559" i="8"/>
  <c r="Z560" i="8"/>
  <c r="Z561" i="8"/>
  <c r="Z562" i="8"/>
  <c r="Z563" i="8"/>
  <c r="Z564" i="8"/>
  <c r="Z565" i="8"/>
  <c r="Z566" i="8"/>
  <c r="Z567" i="8"/>
  <c r="Z568" i="8"/>
  <c r="Z569" i="8"/>
  <c r="Z570" i="8"/>
  <c r="Z571" i="8"/>
  <c r="Z1002" i="8"/>
  <c r="Z1003" i="8"/>
  <c r="Z189" i="8"/>
  <c r="Z190" i="8"/>
  <c r="Z191" i="8"/>
  <c r="Z192" i="8"/>
  <c r="Z193" i="8"/>
  <c r="Z248" i="8"/>
  <c r="Z249" i="8"/>
  <c r="Z250" i="8"/>
  <c r="Z251" i="8"/>
  <c r="Z252" i="8"/>
  <c r="Z420" i="8"/>
  <c r="Z421" i="8"/>
  <c r="Z422" i="8"/>
  <c r="Z423" i="8"/>
  <c r="Z424" i="8"/>
  <c r="Z425" i="8"/>
  <c r="Z426" i="8"/>
  <c r="Z427" i="8"/>
  <c r="Z428" i="8"/>
  <c r="Z429" i="8"/>
  <c r="Z430" i="8"/>
  <c r="Z214" i="8"/>
  <c r="Z215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23" i="8"/>
  <c r="Z24" i="8"/>
  <c r="Z25" i="8"/>
  <c r="Z502" i="8"/>
  <c r="Z503" i="8"/>
  <c r="Z504" i="8"/>
  <c r="Z505" i="8"/>
  <c r="Z186" i="8"/>
  <c r="Z187" i="8"/>
  <c r="Z1042" i="8"/>
  <c r="Z1043" i="8"/>
  <c r="Z1044" i="8"/>
  <c r="Z1045" i="8"/>
  <c r="Z1046" i="8"/>
  <c r="Z1047" i="8"/>
  <c r="Z1048" i="8"/>
  <c r="Z1049" i="8"/>
  <c r="Z1050" i="8"/>
  <c r="Z107" i="8"/>
  <c r="Z270" i="8"/>
  <c r="Z271" i="8"/>
  <c r="Z272" i="8"/>
  <c r="Z273" i="8"/>
  <c r="Z274" i="8"/>
  <c r="Z275" i="8"/>
  <c r="Z276" i="8"/>
  <c r="Z277" i="8"/>
  <c r="Z278" i="8"/>
  <c r="Z477" i="8"/>
  <c r="Z478" i="8"/>
  <c r="Z479" i="8"/>
  <c r="Z480" i="8"/>
  <c r="Z3" i="8"/>
  <c r="Z4" i="8"/>
  <c r="Z5" i="8"/>
  <c r="Z6" i="8"/>
  <c r="Z7" i="8"/>
  <c r="Z8" i="8"/>
  <c r="Z9" i="8"/>
  <c r="Z10" i="8"/>
  <c r="Z454" i="8"/>
  <c r="Z455" i="8"/>
  <c r="Z456" i="8"/>
  <c r="Z457" i="8"/>
  <c r="Z458" i="8"/>
  <c r="Z542" i="8"/>
  <c r="Z543" i="8"/>
  <c r="Z544" i="8"/>
  <c r="Z545" i="8"/>
  <c r="Z546" i="8"/>
  <c r="Z547" i="8"/>
  <c r="Z548" i="8"/>
  <c r="Z549" i="8"/>
  <c r="Z239" i="8"/>
  <c r="Z240" i="8"/>
  <c r="Z241" i="8"/>
  <c r="Z506" i="8"/>
  <c r="Z507" i="8"/>
  <c r="Z508" i="8"/>
  <c r="Z509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510" i="8"/>
  <c r="Z511" i="8"/>
  <c r="Z512" i="8"/>
  <c r="Z513" i="8"/>
  <c r="Z514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994" i="8"/>
  <c r="Z995" i="8"/>
  <c r="Z996" i="8"/>
  <c r="Z997" i="8"/>
  <c r="Z998" i="8"/>
  <c r="Z999" i="8"/>
  <c r="Z1000" i="8"/>
  <c r="Z46" i="8"/>
  <c r="Z47" i="8"/>
  <c r="Z48" i="8"/>
  <c r="Z43" i="8"/>
  <c r="Z44" i="8"/>
  <c r="Z45" i="8"/>
  <c r="Z516" i="8"/>
  <c r="Z517" i="8"/>
  <c r="Z518" i="8"/>
  <c r="Z519" i="8"/>
  <c r="Z244" i="8"/>
  <c r="Z245" i="8"/>
  <c r="Z246" i="8"/>
  <c r="Z178" i="8"/>
  <c r="Z179" i="8"/>
  <c r="Z124" i="8"/>
  <c r="Z125" i="8"/>
  <c r="Z126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162" i="8"/>
  <c r="Z163" i="8"/>
  <c r="Z164" i="8"/>
  <c r="Z165" i="8"/>
  <c r="Z166" i="8"/>
  <c r="Z167" i="8"/>
  <c r="Z168" i="8"/>
  <c r="Z169" i="8"/>
  <c r="Z242" i="8"/>
  <c r="Z243" i="8"/>
  <c r="Z498" i="8"/>
  <c r="Z499" i="8"/>
  <c r="Z500" i="8"/>
  <c r="Z501" i="8"/>
  <c r="Z63" i="8"/>
  <c r="Z64" i="8"/>
  <c r="Z65" i="8"/>
  <c r="Z66" i="8"/>
  <c r="Z67" i="8"/>
  <c r="Z68" i="8"/>
  <c r="Z69" i="8"/>
  <c r="Z70" i="8"/>
  <c r="Z71" i="8"/>
  <c r="Z220" i="8"/>
  <c r="Z100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520" i="8"/>
  <c r="Z521" i="8"/>
  <c r="Z522" i="8"/>
  <c r="Z523" i="8"/>
  <c r="Z524" i="8"/>
  <c r="Z525" i="8"/>
  <c r="Z526" i="8"/>
  <c r="Z527" i="8"/>
  <c r="Z528" i="8"/>
  <c r="Z431" i="8"/>
  <c r="Z432" i="8"/>
  <c r="Z433" i="8"/>
  <c r="Z434" i="8"/>
  <c r="Z213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539" i="8"/>
  <c r="Z540" i="8"/>
  <c r="Z127" i="8"/>
  <c r="Z128" i="8"/>
  <c r="Z129" i="8"/>
  <c r="Z130" i="8"/>
  <c r="Z131" i="8"/>
  <c r="Z132" i="8"/>
  <c r="Z133" i="8"/>
  <c r="Z134" i="8"/>
  <c r="Z135" i="8"/>
  <c r="Z136" i="8"/>
  <c r="Z137" i="8"/>
  <c r="Z101" i="8"/>
  <c r="Z102" i="8"/>
  <c r="Z103" i="8"/>
  <c r="Z104" i="8"/>
  <c r="Z105" i="8"/>
  <c r="Z106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550" i="8"/>
  <c r="Z551" i="8"/>
  <c r="Z552" i="8"/>
  <c r="Z553" i="8"/>
  <c r="Z554" i="8"/>
  <c r="Z555" i="8"/>
  <c r="Z556" i="8"/>
  <c r="Z557" i="8"/>
  <c r="Z19" i="8"/>
  <c r="Z20" i="8"/>
  <c r="Z21" i="8"/>
  <c r="Z22" i="8"/>
  <c r="Z55" i="8"/>
  <c r="Z56" i="8"/>
  <c r="Z57" i="8"/>
  <c r="Z450" i="8"/>
  <c r="Z451" i="8"/>
  <c r="Z452" i="8"/>
  <c r="Z288" i="8"/>
  <c r="Z289" i="8"/>
  <c r="Z290" i="8"/>
  <c r="Z291" i="8"/>
  <c r="Z292" i="8"/>
  <c r="Z293" i="8"/>
  <c r="Z294" i="8"/>
  <c r="Z295" i="8"/>
  <c r="Z296" i="8"/>
  <c r="Z297" i="8"/>
  <c r="Z140" i="8"/>
  <c r="Z141" i="8"/>
  <c r="Z216" i="8"/>
  <c r="Z217" i="8"/>
  <c r="Z218" i="8"/>
  <c r="Z219" i="8"/>
  <c r="Z1011" i="8"/>
  <c r="Z1012" i="8"/>
  <c r="Z1013" i="8"/>
  <c r="Z1014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2" i="8"/>
  <c r="Z58" i="8"/>
  <c r="Z59" i="8"/>
  <c r="Z60" i="8"/>
  <c r="Z61" i="8"/>
  <c r="Z62" i="8"/>
  <c r="Z11" i="8"/>
  <c r="Z12" i="8"/>
  <c r="Z992" i="8"/>
  <c r="Z993" i="8"/>
  <c r="Z279" i="8"/>
  <c r="Z280" i="8"/>
  <c r="Z281" i="8"/>
  <c r="Z282" i="8"/>
  <c r="Z283" i="8"/>
  <c r="Z284" i="8"/>
  <c r="Z285" i="8"/>
  <c r="Z286" i="8"/>
  <c r="Z287" i="8"/>
  <c r="Z410" i="8"/>
  <c r="Z411" i="8"/>
  <c r="Z412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531" i="8"/>
  <c r="Z532" i="8"/>
  <c r="Z533" i="8"/>
  <c r="Z534" i="8"/>
  <c r="Z535" i="8"/>
  <c r="Z536" i="8"/>
  <c r="Z537" i="8"/>
  <c r="Z538" i="8"/>
  <c r="Z180" i="8"/>
  <c r="Z181" i="8"/>
  <c r="Z182" i="8"/>
  <c r="Z183" i="8"/>
  <c r="Z184" i="8"/>
  <c r="Z185" i="8"/>
  <c r="Z38" i="8"/>
  <c r="Z39" i="8"/>
  <c r="Z40" i="8"/>
  <c r="Z41" i="8"/>
  <c r="Z42" i="8"/>
  <c r="Z415" i="8"/>
  <c r="Z416" i="8"/>
  <c r="Z417" i="8"/>
  <c r="Z418" i="8"/>
  <c r="Z419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171" i="8"/>
  <c r="Z172" i="8"/>
  <c r="Z173" i="8"/>
  <c r="Z174" i="8"/>
  <c r="Z175" i="8"/>
  <c r="Z176" i="8"/>
  <c r="Z177" i="8"/>
  <c r="Z496" i="8"/>
  <c r="Z497" i="8"/>
  <c r="Z13" i="8"/>
  <c r="Z14" i="8"/>
  <c r="Z15" i="8"/>
  <c r="Z16" i="8"/>
  <c r="Z17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27" i="8"/>
  <c r="Z28" i="8"/>
  <c r="Z49" i="8"/>
  <c r="Z50" i="8"/>
  <c r="Z51" i="8"/>
  <c r="Z52" i="8"/>
  <c r="Z53" i="8"/>
  <c r="Z54" i="8"/>
  <c r="Z413" i="8"/>
  <c r="Z414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29" i="8"/>
  <c r="Z30" i="8"/>
  <c r="Z31" i="8"/>
  <c r="Z32" i="8"/>
  <c r="Z33" i="8"/>
  <c r="Z34" i="8"/>
  <c r="Z223" i="8"/>
  <c r="Z224" i="8"/>
  <c r="Z225" i="8"/>
  <c r="Z1004" i="8"/>
  <c r="Z1005" i="8"/>
  <c r="Z1006" i="8"/>
  <c r="Z1007" i="8"/>
  <c r="Z1008" i="8"/>
  <c r="Z1009" i="8"/>
  <c r="Z1010" i="8"/>
  <c r="Z805" i="8"/>
  <c r="Z817" i="8"/>
  <c r="Z818" i="8"/>
  <c r="Z757" i="8"/>
  <c r="Z758" i="8"/>
  <c r="Z759" i="8"/>
  <c r="Z871" i="8"/>
  <c r="Z872" i="8"/>
  <c r="Z938" i="8"/>
  <c r="Z939" i="8"/>
  <c r="Z940" i="8"/>
  <c r="Z941" i="8"/>
  <c r="Z823" i="8"/>
  <c r="Z824" i="8"/>
  <c r="Z702" i="8"/>
  <c r="Z703" i="8"/>
  <c r="Z704" i="8"/>
  <c r="Z705" i="8"/>
  <c r="Z706" i="8"/>
  <c r="Z707" i="8"/>
  <c r="Z708" i="8"/>
  <c r="Z709" i="8"/>
  <c r="Z606" i="8"/>
  <c r="Z607" i="8"/>
  <c r="Z608" i="8"/>
  <c r="Z609" i="8"/>
  <c r="Z610" i="8"/>
  <c r="Z611" i="8"/>
  <c r="Z612" i="8"/>
  <c r="Z613" i="8"/>
  <c r="Z614" i="8"/>
  <c r="Z615" i="8"/>
  <c r="Z616" i="8"/>
  <c r="Z617" i="8"/>
  <c r="Z618" i="8"/>
  <c r="Z852" i="8"/>
  <c r="Z853" i="8"/>
  <c r="Z854" i="8"/>
  <c r="Z855" i="8"/>
  <c r="Z856" i="8"/>
  <c r="Z857" i="8"/>
  <c r="Z858" i="8"/>
  <c r="Z676" i="8"/>
  <c r="Z677" i="8"/>
  <c r="Z678" i="8"/>
  <c r="Z679" i="8"/>
  <c r="Z680" i="8"/>
  <c r="Z681" i="8"/>
  <c r="Z682" i="8"/>
  <c r="Z683" i="8"/>
  <c r="Z684" i="8"/>
  <c r="Z685" i="8"/>
  <c r="Z686" i="8"/>
  <c r="Z880" i="8"/>
  <c r="Z950" i="8"/>
  <c r="Z951" i="8"/>
  <c r="Z742" i="8"/>
  <c r="Z572" i="8"/>
  <c r="Z573" i="8"/>
  <c r="Z574" i="8"/>
  <c r="Z575" i="8"/>
  <c r="Z576" i="8"/>
  <c r="Z577" i="8"/>
  <c r="Z578" i="8"/>
  <c r="Z579" i="8"/>
  <c r="Z580" i="8"/>
  <c r="Z581" i="8"/>
  <c r="Z582" i="8"/>
  <c r="Z194" i="8"/>
  <c r="Z195" i="8"/>
  <c r="Z26" i="8"/>
  <c r="Z188" i="8"/>
  <c r="Z1051" i="8"/>
  <c r="Z108" i="8"/>
  <c r="Z481" i="8"/>
  <c r="Z459" i="8"/>
  <c r="Z1039" i="8"/>
  <c r="Z1040" i="8"/>
  <c r="Z1041" i="8"/>
  <c r="Z121" i="8"/>
  <c r="Z122" i="8"/>
  <c r="Z123" i="8"/>
  <c r="Z515" i="8"/>
  <c r="Z1001" i="8"/>
  <c r="Z247" i="8"/>
  <c r="Z18" i="8"/>
  <c r="Z170" i="8"/>
  <c r="Z221" i="8"/>
  <c r="Z222" i="8"/>
  <c r="Z529" i="8"/>
  <c r="Z530" i="8"/>
  <c r="Z269" i="8"/>
  <c r="Z541" i="8"/>
  <c r="Z138" i="8"/>
  <c r="Z139" i="8"/>
  <c r="Z453" i="8"/>
  <c r="Z1015" i="8"/>
  <c r="Z1016" i="8"/>
  <c r="Z161" i="8"/>
  <c r="Z360" i="8"/>
  <c r="Z987" i="8"/>
  <c r="Z988" i="8"/>
  <c r="Z989" i="8"/>
  <c r="Z990" i="8"/>
  <c r="Z991" i="8"/>
  <c r="Z96" i="8"/>
  <c r="Z97" i="8"/>
  <c r="Z98" i="8"/>
  <c r="Z99" i="8"/>
  <c r="Z334" i="8"/>
  <c r="Z335" i="8"/>
  <c r="Z336" i="8"/>
  <c r="Z337" i="8"/>
  <c r="Z338" i="8"/>
  <c r="Z339" i="8"/>
  <c r="Z340" i="8"/>
  <c r="Z341" i="8"/>
  <c r="Z342" i="8"/>
  <c r="Z343" i="8"/>
  <c r="Z35" i="8"/>
  <c r="Z36" i="8"/>
  <c r="Z37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Z1803" i="8"/>
  <c r="Z1804" i="8"/>
  <c r="Z1805" i="8"/>
  <c r="Z1806" i="8"/>
  <c r="Z1807" i="8"/>
  <c r="Z1808" i="8"/>
  <c r="Z1809" i="8"/>
  <c r="Z1810" i="8"/>
  <c r="Z1811" i="8"/>
  <c r="Z1812" i="8"/>
  <c r="Z1813" i="8"/>
  <c r="Z1814" i="8"/>
  <c r="Z1815" i="8"/>
  <c r="Z1816" i="8"/>
  <c r="Z1817" i="8"/>
  <c r="Z1818" i="8"/>
  <c r="Z1819" i="8"/>
  <c r="Z1820" i="8"/>
  <c r="Z1821" i="8"/>
  <c r="Z1822" i="8"/>
  <c r="Z1823" i="8"/>
  <c r="Z1824" i="8"/>
  <c r="Z1825" i="8"/>
  <c r="Z1826" i="8"/>
  <c r="Z1827" i="8"/>
  <c r="Z1828" i="8"/>
  <c r="Z1829" i="8"/>
  <c r="Z1830" i="8"/>
  <c r="Z1831" i="8"/>
  <c r="Z1832" i="8"/>
  <c r="Z1833" i="8"/>
  <c r="Z1834" i="8"/>
  <c r="Z1835" i="8"/>
  <c r="Z1836" i="8"/>
  <c r="Z1837" i="8"/>
  <c r="Z1838" i="8"/>
  <c r="Z1839" i="8"/>
  <c r="Z1840" i="8"/>
  <c r="Z1841" i="8"/>
  <c r="Z1842" i="8"/>
  <c r="Z1843" i="8"/>
  <c r="Z1844" i="8"/>
  <c r="Z1845" i="8"/>
  <c r="Z1846" i="8"/>
  <c r="Z1847" i="8"/>
  <c r="Z1848" i="8"/>
  <c r="Z1849" i="8"/>
  <c r="Z1850" i="8"/>
  <c r="Z1851" i="8"/>
  <c r="Z1852" i="8"/>
  <c r="Z1853" i="8"/>
  <c r="Z1854" i="8"/>
  <c r="Z1855" i="8"/>
  <c r="Z1856" i="8"/>
  <c r="Z1857" i="8"/>
  <c r="Z1858" i="8"/>
  <c r="Z1859" i="8"/>
  <c r="Z1860" i="8"/>
  <c r="Z1861" i="8"/>
  <c r="Z1862" i="8"/>
  <c r="Z1863" i="8"/>
  <c r="Z1864" i="8"/>
  <c r="Z1865" i="8"/>
  <c r="Z1866" i="8"/>
  <c r="Z1867" i="8"/>
  <c r="Z1868" i="8"/>
  <c r="Z1869" i="8"/>
  <c r="Z1870" i="8"/>
  <c r="Z1871" i="8"/>
  <c r="Z1872" i="8"/>
  <c r="Z1873" i="8"/>
  <c r="Z1874" i="8"/>
  <c r="Z1875" i="8"/>
  <c r="Z1876" i="8"/>
  <c r="Z1877" i="8"/>
  <c r="Z1878" i="8"/>
  <c r="Z1879" i="8"/>
  <c r="Z1880" i="8"/>
  <c r="Z1881" i="8"/>
  <c r="Z1882" i="8"/>
  <c r="Z1883" i="8"/>
  <c r="Z1884" i="8"/>
  <c r="Z1885" i="8"/>
  <c r="Z1886" i="8"/>
  <c r="Z1887" i="8"/>
  <c r="Z1888" i="8"/>
  <c r="Z1889" i="8"/>
  <c r="Z1890" i="8"/>
  <c r="Z1891" i="8"/>
  <c r="Z1892" i="8"/>
  <c r="Z1893" i="8"/>
  <c r="Z1894" i="8"/>
  <c r="Z1895" i="8"/>
  <c r="Z1896" i="8"/>
  <c r="Z1897" i="8"/>
  <c r="Z1898" i="8"/>
  <c r="Z1899" i="8"/>
  <c r="Z1900" i="8"/>
  <c r="Z1901" i="8"/>
  <c r="Z1902" i="8"/>
  <c r="Z1903" i="8"/>
  <c r="Z1904" i="8"/>
  <c r="Z1905" i="8"/>
  <c r="Z1906" i="8"/>
  <c r="Z1907" i="8"/>
  <c r="Z1908" i="8"/>
  <c r="Z1909" i="8"/>
  <c r="Z1910" i="8"/>
  <c r="Z1911" i="8"/>
  <c r="Z1912" i="8"/>
  <c r="Z1913" i="8"/>
  <c r="Z1914" i="8"/>
  <c r="Z1915" i="8"/>
  <c r="Z1916" i="8"/>
  <c r="Z1917" i="8"/>
  <c r="Z1918" i="8"/>
  <c r="Z1919" i="8"/>
  <c r="Z1920" i="8"/>
  <c r="Z1921" i="8"/>
  <c r="Z1922" i="8"/>
  <c r="Z1923" i="8"/>
  <c r="Z1924" i="8"/>
  <c r="Z1925" i="8"/>
  <c r="Z1926" i="8"/>
  <c r="Z1927" i="8"/>
  <c r="Z1928" i="8"/>
  <c r="Z1929" i="8"/>
  <c r="Z1930" i="8"/>
  <c r="Z1931" i="8"/>
  <c r="Z1932" i="8"/>
  <c r="Z1933" i="8"/>
  <c r="Z1934" i="8"/>
  <c r="Z1935" i="8"/>
  <c r="Z1936" i="8"/>
  <c r="Z1937" i="8"/>
  <c r="Z1938" i="8"/>
  <c r="Z1939" i="8"/>
  <c r="Z1940" i="8"/>
  <c r="Z1941" i="8"/>
  <c r="Z1942" i="8"/>
  <c r="Z1943" i="8"/>
  <c r="Z1944" i="8"/>
  <c r="Z1945" i="8"/>
  <c r="Z1946" i="8"/>
  <c r="Z1947" i="8"/>
  <c r="Z1948" i="8"/>
  <c r="Z1949" i="8"/>
  <c r="Z1950" i="8"/>
  <c r="Z1951" i="8"/>
  <c r="Z1952" i="8"/>
  <c r="Z1953" i="8"/>
  <c r="Z1954" i="8"/>
  <c r="Z1955" i="8"/>
  <c r="Z1956" i="8"/>
  <c r="Z1957" i="8"/>
  <c r="Z1958" i="8"/>
  <c r="Z1959" i="8"/>
  <c r="Z1960" i="8"/>
  <c r="Z1961" i="8"/>
  <c r="Z1962" i="8"/>
  <c r="Z1963" i="8"/>
  <c r="Z1964" i="8"/>
  <c r="Z1965" i="8"/>
  <c r="Z1966" i="8"/>
  <c r="Z1967" i="8"/>
  <c r="Z1968" i="8"/>
  <c r="Z1969" i="8"/>
  <c r="Z1970" i="8"/>
  <c r="Z1971" i="8"/>
  <c r="Z1972" i="8"/>
  <c r="Z1973" i="8"/>
  <c r="Z1974" i="8"/>
  <c r="Z1975" i="8"/>
  <c r="Z1976" i="8"/>
  <c r="Z1977" i="8"/>
  <c r="Z1978" i="8"/>
  <c r="Z1979" i="8"/>
  <c r="Z1980" i="8"/>
  <c r="Z1981" i="8"/>
  <c r="Z1982" i="8"/>
  <c r="Z1983" i="8"/>
  <c r="Z1984" i="8"/>
  <c r="Z1985" i="8"/>
  <c r="Z1986" i="8"/>
  <c r="Z1987" i="8"/>
  <c r="Z1988" i="8"/>
  <c r="Z1989" i="8"/>
  <c r="Z1990" i="8"/>
  <c r="Z1991" i="8"/>
  <c r="Z1992" i="8"/>
  <c r="Z1993" i="8"/>
  <c r="Z1994" i="8"/>
  <c r="Z1995" i="8"/>
  <c r="Z1996" i="8"/>
  <c r="Z1997" i="8"/>
  <c r="Z1998" i="8"/>
  <c r="Z1999" i="8"/>
  <c r="Z2000" i="8"/>
  <c r="Z2001" i="8"/>
  <c r="Z2002" i="8"/>
  <c r="Z2003" i="8"/>
  <c r="Z2004" i="8"/>
  <c r="Z2005" i="8"/>
  <c r="Z2006" i="8"/>
  <c r="Z2007" i="8"/>
  <c r="Z2008" i="8"/>
  <c r="Z2009" i="8"/>
  <c r="Z2010" i="8"/>
  <c r="Z2011" i="8"/>
  <c r="Z2012" i="8"/>
  <c r="Z2013" i="8"/>
  <c r="Z2014" i="8"/>
  <c r="Z2015" i="8"/>
  <c r="Z2016" i="8"/>
  <c r="Z2017" i="8"/>
  <c r="Z2018" i="8"/>
  <c r="Z2019" i="8"/>
  <c r="Z2020" i="8"/>
  <c r="Z2021" i="8"/>
  <c r="Z2022" i="8"/>
  <c r="Z2023" i="8"/>
  <c r="Z2024" i="8"/>
  <c r="Z2025" i="8"/>
  <c r="Z2026" i="8"/>
  <c r="Z2027" i="8"/>
  <c r="Z2028" i="8"/>
  <c r="Z2029" i="8"/>
  <c r="Z2030" i="8"/>
  <c r="Z2031" i="8"/>
  <c r="Z2032" i="8"/>
  <c r="Z2033" i="8"/>
  <c r="Z2034" i="8"/>
  <c r="Z2035" i="8"/>
  <c r="Z2036" i="8"/>
  <c r="Z2037" i="8"/>
  <c r="Z2038" i="8"/>
  <c r="Z2039" i="8"/>
  <c r="Z2040" i="8"/>
  <c r="Z2041" i="8"/>
  <c r="Z2042" i="8"/>
  <c r="Z2043" i="8"/>
  <c r="Z2044" i="8"/>
  <c r="Z2045" i="8"/>
  <c r="Z2046" i="8"/>
  <c r="Z2047" i="8"/>
  <c r="Z2048" i="8"/>
  <c r="Z2049" i="8"/>
  <c r="Z2050" i="8"/>
  <c r="Z2051" i="8"/>
  <c r="Z2052" i="8"/>
  <c r="Z2053" i="8"/>
  <c r="Z2054" i="8"/>
  <c r="Z2055" i="8"/>
  <c r="Z2056" i="8"/>
  <c r="Z2057" i="8"/>
  <c r="Z2058" i="8"/>
  <c r="Z2059" i="8"/>
  <c r="Z2060" i="8"/>
  <c r="Z2061" i="8"/>
  <c r="Z2062" i="8"/>
  <c r="Z2063" i="8"/>
  <c r="Z2064" i="8"/>
  <c r="Z2065" i="8"/>
  <c r="Z2066" i="8"/>
  <c r="Z2067" i="8"/>
  <c r="Z2068" i="8"/>
  <c r="Z2069" i="8"/>
  <c r="Z2070" i="8"/>
  <c r="Z2071" i="8"/>
  <c r="Z2072" i="8"/>
  <c r="Z2073" i="8"/>
  <c r="Z2074" i="8"/>
  <c r="Z2075" i="8"/>
  <c r="Z2076" i="8"/>
  <c r="Z2077" i="8"/>
  <c r="Z2078" i="8"/>
  <c r="Z2079" i="8"/>
  <c r="Z2080" i="8"/>
  <c r="Z2081" i="8"/>
  <c r="Z2082" i="8"/>
  <c r="Z2083" i="8"/>
  <c r="Z2084" i="8"/>
  <c r="Z2085" i="8"/>
  <c r="Z2086" i="8"/>
  <c r="Z2087" i="8"/>
  <c r="Z2088" i="8"/>
  <c r="Z2089" i="8"/>
  <c r="Z2090" i="8"/>
  <c r="Z2091" i="8"/>
  <c r="Z2092" i="8"/>
  <c r="Z2093" i="8"/>
  <c r="Z2094" i="8"/>
  <c r="Z2095" i="8"/>
  <c r="Z2096" i="8"/>
  <c r="Z2097" i="8"/>
  <c r="Z2098" i="8"/>
  <c r="Z2099" i="8"/>
  <c r="Z2100" i="8"/>
  <c r="Z2101" i="8"/>
  <c r="Z2102" i="8"/>
  <c r="Z2103" i="8"/>
  <c r="Z2104" i="8"/>
  <c r="Z2105" i="8"/>
  <c r="Z2106" i="8"/>
  <c r="Z2107" i="8"/>
  <c r="Z2108" i="8"/>
  <c r="Z2109" i="8"/>
  <c r="Z2110" i="8"/>
  <c r="Z2111" i="8"/>
  <c r="Z2112" i="8"/>
  <c r="Z2113" i="8"/>
  <c r="Z2114" i="8"/>
  <c r="Z2115" i="8"/>
  <c r="Z2116" i="8"/>
  <c r="Z2117" i="8"/>
  <c r="Z2118" i="8"/>
  <c r="Z2119" i="8"/>
  <c r="Z2120" i="8"/>
  <c r="Z2121" i="8"/>
  <c r="Z2122" i="8"/>
  <c r="Z2123" i="8"/>
  <c r="Z2124" i="8"/>
  <c r="Z2125" i="8"/>
  <c r="Z2126" i="8"/>
  <c r="Z2127" i="8"/>
  <c r="Z2128" i="8"/>
  <c r="Z2129" i="8"/>
  <c r="Z2130" i="8"/>
  <c r="Z2131" i="8"/>
  <c r="Z2132" i="8"/>
  <c r="Z2133" i="8"/>
  <c r="Z2134" i="8"/>
  <c r="Z2135" i="8"/>
  <c r="Z2136" i="8"/>
  <c r="Z2137" i="8"/>
  <c r="Z2138" i="8"/>
  <c r="Z2139" i="8"/>
  <c r="Z2140" i="8"/>
  <c r="Z2141" i="8"/>
  <c r="Z2142" i="8"/>
  <c r="Z2143" i="8"/>
  <c r="Z2144" i="8"/>
  <c r="Z2145" i="8"/>
  <c r="Z2146" i="8"/>
  <c r="Z2147" i="8"/>
  <c r="Z2148" i="8"/>
  <c r="Z2149" i="8"/>
  <c r="Z2150" i="8"/>
  <c r="Z2151" i="8"/>
  <c r="Z2152" i="8"/>
  <c r="Z2153" i="8"/>
  <c r="Z2154" i="8"/>
  <c r="Z2155" i="8"/>
  <c r="Z2156" i="8"/>
  <c r="Z2157" i="8"/>
  <c r="Z2158" i="8"/>
  <c r="Z2159" i="8"/>
  <c r="Z2160" i="8"/>
  <c r="Z2161" i="8"/>
  <c r="Z2162" i="8"/>
  <c r="Z2163" i="8"/>
  <c r="Z2164" i="8"/>
  <c r="Z2165" i="8"/>
  <c r="Z2166" i="8"/>
  <c r="Z2167" i="8"/>
  <c r="Z2168" i="8"/>
  <c r="Z2169" i="8"/>
  <c r="Z2170" i="8"/>
  <c r="Z2171" i="8"/>
  <c r="Z2172" i="8"/>
  <c r="Z2173" i="8"/>
  <c r="Z2174" i="8"/>
  <c r="Z2175" i="8"/>
  <c r="Z2176" i="8"/>
  <c r="Z2177" i="8"/>
  <c r="Z2178" i="8"/>
  <c r="Z2179" i="8"/>
  <c r="Z2180" i="8"/>
  <c r="Z2181" i="8"/>
  <c r="Z2182" i="8"/>
  <c r="Z2183" i="8"/>
  <c r="Z2184" i="8"/>
  <c r="Z2185" i="8"/>
  <c r="Z2186" i="8"/>
  <c r="Z2187" i="8"/>
  <c r="Z2188" i="8"/>
  <c r="Z2189" i="8"/>
  <c r="Z2190" i="8"/>
  <c r="Z2191" i="8"/>
  <c r="Z2192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6" i="8"/>
  <c r="W807" i="8"/>
  <c r="W808" i="8"/>
  <c r="W809" i="8"/>
  <c r="W810" i="8"/>
  <c r="W811" i="8"/>
  <c r="W812" i="8"/>
  <c r="W813" i="8"/>
  <c r="W814" i="8"/>
  <c r="W815" i="8"/>
  <c r="W816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859" i="8"/>
  <c r="W860" i="8"/>
  <c r="W861" i="8"/>
  <c r="W862" i="8"/>
  <c r="W863" i="8"/>
  <c r="W864" i="8"/>
  <c r="W865" i="8"/>
  <c r="W866" i="8"/>
  <c r="W867" i="8"/>
  <c r="W868" i="8"/>
  <c r="W869" i="8"/>
  <c r="W870" i="8"/>
  <c r="W881" i="8"/>
  <c r="W882" i="8"/>
  <c r="W883" i="8"/>
  <c r="W884" i="8"/>
  <c r="W885" i="8"/>
  <c r="W886" i="8"/>
  <c r="W887" i="8"/>
  <c r="W888" i="8"/>
  <c r="W889" i="8"/>
  <c r="W890" i="8"/>
  <c r="W891" i="8"/>
  <c r="W892" i="8"/>
  <c r="W893" i="8"/>
  <c r="W894" i="8"/>
  <c r="W895" i="8"/>
  <c r="W896" i="8"/>
  <c r="W897" i="8"/>
  <c r="W898" i="8"/>
  <c r="W899" i="8"/>
  <c r="W920" i="8"/>
  <c r="W921" i="8"/>
  <c r="W922" i="8"/>
  <c r="W923" i="8"/>
  <c r="W924" i="8"/>
  <c r="W925" i="8"/>
  <c r="W926" i="8"/>
  <c r="W927" i="8"/>
  <c r="W928" i="8"/>
  <c r="W929" i="8"/>
  <c r="W930" i="8"/>
  <c r="W931" i="8"/>
  <c r="W932" i="8"/>
  <c r="W933" i="8"/>
  <c r="W934" i="8"/>
  <c r="W935" i="8"/>
  <c r="W936" i="8"/>
  <c r="W819" i="8"/>
  <c r="W820" i="8"/>
  <c r="W821" i="8"/>
  <c r="W822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19" i="8"/>
  <c r="W620" i="8"/>
  <c r="W621" i="8"/>
  <c r="W622" i="8"/>
  <c r="W623" i="8"/>
  <c r="W624" i="8"/>
  <c r="W625" i="8"/>
  <c r="W626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900" i="8"/>
  <c r="W901" i="8"/>
  <c r="W902" i="8"/>
  <c r="W903" i="8"/>
  <c r="W710" i="8"/>
  <c r="W711" i="8"/>
  <c r="W712" i="8"/>
  <c r="W713" i="8"/>
  <c r="W714" i="8"/>
  <c r="W715" i="8"/>
  <c r="W716" i="8"/>
  <c r="W873" i="8"/>
  <c r="W874" i="8"/>
  <c r="W875" i="8"/>
  <c r="W876" i="8"/>
  <c r="W877" i="8"/>
  <c r="W878" i="8"/>
  <c r="W879" i="8"/>
  <c r="W942" i="8"/>
  <c r="W943" i="8"/>
  <c r="W944" i="8"/>
  <c r="W945" i="8"/>
  <c r="W946" i="8"/>
  <c r="W947" i="8"/>
  <c r="W948" i="8"/>
  <c r="W949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910" i="8"/>
  <c r="W911" i="8"/>
  <c r="W912" i="8"/>
  <c r="W913" i="8"/>
  <c r="W914" i="8"/>
  <c r="W915" i="8"/>
  <c r="W916" i="8"/>
  <c r="W917" i="8"/>
  <c r="W918" i="8"/>
  <c r="W919" i="8"/>
  <c r="W904" i="8"/>
  <c r="W905" i="8"/>
  <c r="W906" i="8"/>
  <c r="W907" i="8"/>
  <c r="W908" i="8"/>
  <c r="W909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1002" i="8"/>
  <c r="W1003" i="8"/>
  <c r="W189" i="8"/>
  <c r="W190" i="8"/>
  <c r="W191" i="8"/>
  <c r="W192" i="8"/>
  <c r="W193" i="8"/>
  <c r="W248" i="8"/>
  <c r="W249" i="8"/>
  <c r="W250" i="8"/>
  <c r="W251" i="8"/>
  <c r="W252" i="8"/>
  <c r="W420" i="8"/>
  <c r="W421" i="8"/>
  <c r="W422" i="8"/>
  <c r="W423" i="8"/>
  <c r="W424" i="8"/>
  <c r="W425" i="8"/>
  <c r="W426" i="8"/>
  <c r="W427" i="8"/>
  <c r="W428" i="8"/>
  <c r="W429" i="8"/>
  <c r="W430" i="8"/>
  <c r="W214" i="8"/>
  <c r="W215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23" i="8"/>
  <c r="W24" i="8"/>
  <c r="W25" i="8"/>
  <c r="W502" i="8"/>
  <c r="W503" i="8"/>
  <c r="W504" i="8"/>
  <c r="W505" i="8"/>
  <c r="W186" i="8"/>
  <c r="W187" i="8"/>
  <c r="W1042" i="8"/>
  <c r="W1043" i="8"/>
  <c r="W1044" i="8"/>
  <c r="W1045" i="8"/>
  <c r="W1046" i="8"/>
  <c r="W1047" i="8"/>
  <c r="W1048" i="8"/>
  <c r="W1049" i="8"/>
  <c r="W1050" i="8"/>
  <c r="W107" i="8"/>
  <c r="W270" i="8"/>
  <c r="W271" i="8"/>
  <c r="W272" i="8"/>
  <c r="W273" i="8"/>
  <c r="W274" i="8"/>
  <c r="W275" i="8"/>
  <c r="W276" i="8"/>
  <c r="W277" i="8"/>
  <c r="W278" i="8"/>
  <c r="W477" i="8"/>
  <c r="W478" i="8"/>
  <c r="W479" i="8"/>
  <c r="W480" i="8"/>
  <c r="W3" i="8"/>
  <c r="W4" i="8"/>
  <c r="W5" i="8"/>
  <c r="W6" i="8"/>
  <c r="W7" i="8"/>
  <c r="W8" i="8"/>
  <c r="W9" i="8"/>
  <c r="W10" i="8"/>
  <c r="W454" i="8"/>
  <c r="W455" i="8"/>
  <c r="W456" i="8"/>
  <c r="W457" i="8"/>
  <c r="W458" i="8"/>
  <c r="W542" i="8"/>
  <c r="W543" i="8"/>
  <c r="W544" i="8"/>
  <c r="W545" i="8"/>
  <c r="W546" i="8"/>
  <c r="W547" i="8"/>
  <c r="W548" i="8"/>
  <c r="W549" i="8"/>
  <c r="W239" i="8"/>
  <c r="W240" i="8"/>
  <c r="W241" i="8"/>
  <c r="W506" i="8"/>
  <c r="W507" i="8"/>
  <c r="W508" i="8"/>
  <c r="W509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1017" i="8"/>
  <c r="W1018" i="8"/>
  <c r="W1019" i="8"/>
  <c r="W1020" i="8"/>
  <c r="W1021" i="8"/>
  <c r="W1022" i="8"/>
  <c r="W1023" i="8"/>
  <c r="W1024" i="8"/>
  <c r="W1025" i="8"/>
  <c r="W1026" i="8"/>
  <c r="W1027" i="8"/>
  <c r="W1028" i="8"/>
  <c r="W1029" i="8"/>
  <c r="W1030" i="8"/>
  <c r="W1031" i="8"/>
  <c r="W1032" i="8"/>
  <c r="W1033" i="8"/>
  <c r="W1034" i="8"/>
  <c r="W1035" i="8"/>
  <c r="W1036" i="8"/>
  <c r="W1037" i="8"/>
  <c r="W103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510" i="8"/>
  <c r="W511" i="8"/>
  <c r="W512" i="8"/>
  <c r="W513" i="8"/>
  <c r="W514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994" i="8"/>
  <c r="W995" i="8"/>
  <c r="W996" i="8"/>
  <c r="W997" i="8"/>
  <c r="W998" i="8"/>
  <c r="W999" i="8"/>
  <c r="W1000" i="8"/>
  <c r="W46" i="8"/>
  <c r="W47" i="8"/>
  <c r="W48" i="8"/>
  <c r="W43" i="8"/>
  <c r="W44" i="8"/>
  <c r="W45" i="8"/>
  <c r="W516" i="8"/>
  <c r="W517" i="8"/>
  <c r="W518" i="8"/>
  <c r="W519" i="8"/>
  <c r="W244" i="8"/>
  <c r="W245" i="8"/>
  <c r="W246" i="8"/>
  <c r="W178" i="8"/>
  <c r="W179" i="8"/>
  <c r="W124" i="8"/>
  <c r="W125" i="8"/>
  <c r="W126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162" i="8"/>
  <c r="W163" i="8"/>
  <c r="W164" i="8"/>
  <c r="W165" i="8"/>
  <c r="W166" i="8"/>
  <c r="W167" i="8"/>
  <c r="W168" i="8"/>
  <c r="W169" i="8"/>
  <c r="W242" i="8"/>
  <c r="W243" i="8"/>
  <c r="W498" i="8"/>
  <c r="W499" i="8"/>
  <c r="W500" i="8"/>
  <c r="W501" i="8"/>
  <c r="W63" i="8"/>
  <c r="W64" i="8"/>
  <c r="W65" i="8"/>
  <c r="W66" i="8"/>
  <c r="W67" i="8"/>
  <c r="W68" i="8"/>
  <c r="W69" i="8"/>
  <c r="W70" i="8"/>
  <c r="W71" i="8"/>
  <c r="W220" i="8"/>
  <c r="W100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520" i="8"/>
  <c r="W521" i="8"/>
  <c r="W522" i="8"/>
  <c r="W523" i="8"/>
  <c r="W524" i="8"/>
  <c r="W525" i="8"/>
  <c r="W526" i="8"/>
  <c r="W527" i="8"/>
  <c r="W528" i="8"/>
  <c r="W431" i="8"/>
  <c r="W432" i="8"/>
  <c r="W433" i="8"/>
  <c r="W434" i="8"/>
  <c r="W213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539" i="8"/>
  <c r="W540" i="8"/>
  <c r="W127" i="8"/>
  <c r="W128" i="8"/>
  <c r="W129" i="8"/>
  <c r="W130" i="8"/>
  <c r="W131" i="8"/>
  <c r="W132" i="8"/>
  <c r="W133" i="8"/>
  <c r="W134" i="8"/>
  <c r="W135" i="8"/>
  <c r="W136" i="8"/>
  <c r="W137" i="8"/>
  <c r="W101" i="8"/>
  <c r="W104" i="8"/>
  <c r="W105" i="8"/>
  <c r="W106" i="8"/>
  <c r="W1052" i="8"/>
  <c r="W1053" i="8"/>
  <c r="W1054" i="8"/>
  <c r="W1055" i="8"/>
  <c r="W1056" i="8"/>
  <c r="W1057" i="8"/>
  <c r="W1058" i="8"/>
  <c r="W1059" i="8"/>
  <c r="W1060" i="8"/>
  <c r="W1061" i="8"/>
  <c r="W1062" i="8"/>
  <c r="W1063" i="8"/>
  <c r="W1064" i="8"/>
  <c r="W1065" i="8"/>
  <c r="W1066" i="8"/>
  <c r="W550" i="8"/>
  <c r="W551" i="8"/>
  <c r="W552" i="8"/>
  <c r="W553" i="8"/>
  <c r="W554" i="8"/>
  <c r="W555" i="8"/>
  <c r="W556" i="8"/>
  <c r="W557" i="8"/>
  <c r="W19" i="8"/>
  <c r="W20" i="8"/>
  <c r="W21" i="8"/>
  <c r="W22" i="8"/>
  <c r="W55" i="8"/>
  <c r="W56" i="8"/>
  <c r="W57" i="8"/>
  <c r="W450" i="8"/>
  <c r="W451" i="8"/>
  <c r="W452" i="8"/>
  <c r="W288" i="8"/>
  <c r="W289" i="8"/>
  <c r="W290" i="8"/>
  <c r="W291" i="8"/>
  <c r="W292" i="8"/>
  <c r="W293" i="8"/>
  <c r="W294" i="8"/>
  <c r="W295" i="8"/>
  <c r="W296" i="8"/>
  <c r="W297" i="8"/>
  <c r="W140" i="8"/>
  <c r="W141" i="8"/>
  <c r="W216" i="8"/>
  <c r="W217" i="8"/>
  <c r="W218" i="8"/>
  <c r="W219" i="8"/>
  <c r="W1011" i="8"/>
  <c r="W1012" i="8"/>
  <c r="W1013" i="8"/>
  <c r="W1014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2" i="8"/>
  <c r="W58" i="8"/>
  <c r="W59" i="8"/>
  <c r="W60" i="8"/>
  <c r="W61" i="8"/>
  <c r="W62" i="8"/>
  <c r="W11" i="8"/>
  <c r="W12" i="8"/>
  <c r="W992" i="8"/>
  <c r="W993" i="8"/>
  <c r="W279" i="8"/>
  <c r="W280" i="8"/>
  <c r="W281" i="8"/>
  <c r="W282" i="8"/>
  <c r="W283" i="8"/>
  <c r="W284" i="8"/>
  <c r="W285" i="8"/>
  <c r="W286" i="8"/>
  <c r="W287" i="8"/>
  <c r="W410" i="8"/>
  <c r="W411" i="8"/>
  <c r="W412" i="8"/>
  <c r="W435" i="8"/>
  <c r="W436" i="8"/>
  <c r="W437" i="8"/>
  <c r="W438" i="8"/>
  <c r="W439" i="8"/>
  <c r="W440" i="8"/>
  <c r="W442" i="8"/>
  <c r="W443" i="8"/>
  <c r="W444" i="8"/>
  <c r="W445" i="8"/>
  <c r="W446" i="8"/>
  <c r="W447" i="8"/>
  <c r="W448" i="8"/>
  <c r="W449" i="8"/>
  <c r="W531" i="8"/>
  <c r="W532" i="8"/>
  <c r="W533" i="8"/>
  <c r="W534" i="8"/>
  <c r="W535" i="8"/>
  <c r="W536" i="8"/>
  <c r="W537" i="8"/>
  <c r="W538" i="8"/>
  <c r="W180" i="8"/>
  <c r="W181" i="8"/>
  <c r="W182" i="8"/>
  <c r="W183" i="8"/>
  <c r="W184" i="8"/>
  <c r="W185" i="8"/>
  <c r="W38" i="8"/>
  <c r="W39" i="8"/>
  <c r="W40" i="8"/>
  <c r="W41" i="8"/>
  <c r="W42" i="8"/>
  <c r="W415" i="8"/>
  <c r="W416" i="8"/>
  <c r="W417" i="8"/>
  <c r="W418" i="8"/>
  <c r="W419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952" i="8"/>
  <c r="W953" i="8"/>
  <c r="W954" i="8"/>
  <c r="W955" i="8"/>
  <c r="W956" i="8"/>
  <c r="W957" i="8"/>
  <c r="W958" i="8"/>
  <c r="W959" i="8"/>
  <c r="W960" i="8"/>
  <c r="W961" i="8"/>
  <c r="W962" i="8"/>
  <c r="W963" i="8"/>
  <c r="W964" i="8"/>
  <c r="W965" i="8"/>
  <c r="W966" i="8"/>
  <c r="W967" i="8"/>
  <c r="W968" i="8"/>
  <c r="W969" i="8"/>
  <c r="W970" i="8"/>
  <c r="W971" i="8"/>
  <c r="W972" i="8"/>
  <c r="W973" i="8"/>
  <c r="W974" i="8"/>
  <c r="W975" i="8"/>
  <c r="W976" i="8"/>
  <c r="W977" i="8"/>
  <c r="W978" i="8"/>
  <c r="W979" i="8"/>
  <c r="W980" i="8"/>
  <c r="W981" i="8"/>
  <c r="W982" i="8"/>
  <c r="W983" i="8"/>
  <c r="W984" i="8"/>
  <c r="W985" i="8"/>
  <c r="W986" i="8"/>
  <c r="W171" i="8"/>
  <c r="W172" i="8"/>
  <c r="W173" i="8"/>
  <c r="W174" i="8"/>
  <c r="W175" i="8"/>
  <c r="W176" i="8"/>
  <c r="W177" i="8"/>
  <c r="W496" i="8"/>
  <c r="W497" i="8"/>
  <c r="W13" i="8"/>
  <c r="W14" i="8"/>
  <c r="W15" i="8"/>
  <c r="W16" i="8"/>
  <c r="W17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27" i="8"/>
  <c r="W28" i="8"/>
  <c r="W49" i="8"/>
  <c r="W50" i="8"/>
  <c r="W51" i="8"/>
  <c r="W52" i="8"/>
  <c r="W53" i="8"/>
  <c r="W54" i="8"/>
  <c r="W413" i="8"/>
  <c r="W414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29" i="8"/>
  <c r="W30" i="8"/>
  <c r="W31" i="8"/>
  <c r="W32" i="8"/>
  <c r="W33" i="8"/>
  <c r="W34" i="8"/>
  <c r="W223" i="8"/>
  <c r="W224" i="8"/>
  <c r="W225" i="8"/>
  <c r="W1004" i="8"/>
  <c r="W1005" i="8"/>
  <c r="W1006" i="8"/>
  <c r="W1007" i="8"/>
  <c r="W1008" i="8"/>
  <c r="W1009" i="8"/>
  <c r="W1010" i="8"/>
  <c r="W805" i="8"/>
  <c r="W817" i="8"/>
  <c r="W818" i="8"/>
  <c r="W757" i="8"/>
  <c r="W758" i="8"/>
  <c r="W759" i="8"/>
  <c r="W871" i="8"/>
  <c r="W872" i="8"/>
  <c r="W938" i="8"/>
  <c r="W939" i="8"/>
  <c r="W940" i="8"/>
  <c r="W941" i="8"/>
  <c r="W823" i="8"/>
  <c r="W824" i="8"/>
  <c r="W702" i="8"/>
  <c r="W703" i="8"/>
  <c r="W704" i="8"/>
  <c r="W705" i="8"/>
  <c r="W706" i="8"/>
  <c r="W707" i="8"/>
  <c r="W708" i="8"/>
  <c r="W709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852" i="8"/>
  <c r="W853" i="8"/>
  <c r="W854" i="8"/>
  <c r="W855" i="8"/>
  <c r="W856" i="8"/>
  <c r="W857" i="8"/>
  <c r="W858" i="8"/>
  <c r="W676" i="8"/>
  <c r="W677" i="8"/>
  <c r="W678" i="8"/>
  <c r="W679" i="8"/>
  <c r="W680" i="8"/>
  <c r="W681" i="8"/>
  <c r="W682" i="8"/>
  <c r="W683" i="8"/>
  <c r="W684" i="8"/>
  <c r="W685" i="8"/>
  <c r="W686" i="8"/>
  <c r="W880" i="8"/>
  <c r="W950" i="8"/>
  <c r="W951" i="8"/>
  <c r="W742" i="8"/>
  <c r="W572" i="8"/>
  <c r="W573" i="8"/>
  <c r="W574" i="8"/>
  <c r="W575" i="8"/>
  <c r="W576" i="8"/>
  <c r="W577" i="8"/>
  <c r="W578" i="8"/>
  <c r="W579" i="8"/>
  <c r="W580" i="8"/>
  <c r="W581" i="8"/>
  <c r="W582" i="8"/>
  <c r="W194" i="8"/>
  <c r="W195" i="8"/>
  <c r="W26" i="8"/>
  <c r="W188" i="8"/>
  <c r="W1051" i="8"/>
  <c r="W108" i="8"/>
  <c r="W481" i="8"/>
  <c r="W459" i="8"/>
  <c r="W1039" i="8"/>
  <c r="W1040" i="8"/>
  <c r="W1041" i="8"/>
  <c r="W121" i="8"/>
  <c r="W122" i="8"/>
  <c r="W123" i="8"/>
  <c r="W515" i="8"/>
  <c r="W1001" i="8"/>
  <c r="W247" i="8"/>
  <c r="W18" i="8"/>
  <c r="W170" i="8"/>
  <c r="W221" i="8"/>
  <c r="W222" i="8"/>
  <c r="W529" i="8"/>
  <c r="W530" i="8"/>
  <c r="W269" i="8"/>
  <c r="W541" i="8"/>
  <c r="W138" i="8"/>
  <c r="W139" i="8"/>
  <c r="W453" i="8"/>
  <c r="W1015" i="8"/>
  <c r="W1016" i="8"/>
  <c r="W161" i="8"/>
  <c r="W360" i="8"/>
  <c r="W987" i="8"/>
  <c r="W988" i="8"/>
  <c r="W989" i="8"/>
  <c r="W990" i="8"/>
  <c r="W991" i="8"/>
  <c r="W96" i="8"/>
  <c r="W97" i="8"/>
  <c r="W98" i="8"/>
  <c r="W99" i="8"/>
  <c r="W334" i="8"/>
  <c r="W335" i="8"/>
  <c r="W336" i="8"/>
  <c r="W337" i="8"/>
  <c r="W338" i="8"/>
  <c r="W339" i="8"/>
  <c r="W340" i="8"/>
  <c r="W341" i="8"/>
  <c r="W342" i="8"/>
  <c r="W343" i="8"/>
  <c r="W35" i="8"/>
  <c r="W36" i="8"/>
  <c r="W37" i="8"/>
  <c r="W1067" i="8"/>
  <c r="W1068" i="8"/>
  <c r="W1069" i="8"/>
  <c r="W1070" i="8"/>
  <c r="W1071" i="8"/>
  <c r="W1072" i="8"/>
  <c r="W1074" i="8"/>
  <c r="W1075" i="8"/>
  <c r="W1076" i="8"/>
  <c r="W1077" i="8"/>
  <c r="W1078" i="8"/>
  <c r="W1079" i="8"/>
  <c r="W1080" i="8"/>
  <c r="W1081" i="8"/>
  <c r="W1082" i="8"/>
  <c r="W1083" i="8"/>
  <c r="W1084" i="8"/>
  <c r="W1085" i="8"/>
  <c r="W1086" i="8"/>
  <c r="W1087" i="8"/>
  <c r="W1088" i="8"/>
  <c r="W1089" i="8"/>
  <c r="W1090" i="8"/>
  <c r="W1091" i="8"/>
  <c r="W1092" i="8"/>
  <c r="W1093" i="8"/>
  <c r="W1094" i="8"/>
  <c r="W1095" i="8"/>
  <c r="W1096" i="8"/>
  <c r="W1097" i="8"/>
  <c r="W1098" i="8"/>
  <c r="W1099" i="8"/>
  <c r="W1100" i="8"/>
  <c r="W1101" i="8"/>
  <c r="W1102" i="8"/>
  <c r="W1103" i="8"/>
  <c r="W1104" i="8"/>
  <c r="W1105" i="8"/>
  <c r="W1106" i="8"/>
  <c r="W1107" i="8"/>
  <c r="W1108" i="8"/>
  <c r="W1109" i="8"/>
  <c r="W1110" i="8"/>
  <c r="W1111" i="8"/>
  <c r="W1112" i="8"/>
  <c r="W1113" i="8"/>
  <c r="W1114" i="8"/>
  <c r="W1115" i="8"/>
  <c r="W1116" i="8"/>
  <c r="W1117" i="8"/>
  <c r="W1118" i="8"/>
  <c r="W1119" i="8"/>
  <c r="W1120" i="8"/>
  <c r="W1121" i="8"/>
  <c r="W1122" i="8"/>
  <c r="W1123" i="8"/>
  <c r="W1124" i="8"/>
  <c r="W1125" i="8"/>
  <c r="W1126" i="8"/>
  <c r="W1127" i="8"/>
  <c r="W1128" i="8"/>
  <c r="W1129" i="8"/>
  <c r="W1130" i="8"/>
  <c r="W1131" i="8"/>
  <c r="W1132" i="8"/>
  <c r="W1133" i="8"/>
  <c r="W1134" i="8"/>
  <c r="W1135" i="8"/>
  <c r="W1136" i="8"/>
  <c r="W1137" i="8"/>
  <c r="W1138" i="8"/>
  <c r="W1139" i="8"/>
  <c r="W1140" i="8"/>
  <c r="W1141" i="8"/>
  <c r="W1142" i="8"/>
  <c r="W1143" i="8"/>
  <c r="W1144" i="8"/>
  <c r="W1145" i="8"/>
  <c r="W1146" i="8"/>
  <c r="W1147" i="8"/>
  <c r="W1148" i="8"/>
  <c r="W1149" i="8"/>
  <c r="W1150" i="8"/>
  <c r="W1151" i="8"/>
  <c r="W1152" i="8"/>
  <c r="W1153" i="8"/>
  <c r="W1154" i="8"/>
  <c r="W1155" i="8"/>
  <c r="W1156" i="8"/>
  <c r="W1157" i="8"/>
  <c r="W1158" i="8"/>
  <c r="W1159" i="8"/>
  <c r="W1160" i="8"/>
  <c r="W1161" i="8"/>
  <c r="W1162" i="8"/>
  <c r="W1163" i="8"/>
  <c r="W1164" i="8"/>
  <c r="W1165" i="8"/>
  <c r="W1166" i="8"/>
  <c r="W1167" i="8"/>
  <c r="W1168" i="8"/>
  <c r="W1169" i="8"/>
  <c r="W1170" i="8"/>
  <c r="W1171" i="8"/>
  <c r="W1172" i="8"/>
  <c r="W1173" i="8"/>
  <c r="W1174" i="8"/>
  <c r="W1175" i="8"/>
  <c r="W1176" i="8"/>
  <c r="W1177" i="8"/>
  <c r="W1178" i="8"/>
  <c r="W1179" i="8"/>
  <c r="W1180" i="8"/>
  <c r="W1181" i="8"/>
  <c r="W1182" i="8"/>
  <c r="W1183" i="8"/>
  <c r="W1184" i="8"/>
  <c r="W1185" i="8"/>
  <c r="W1186" i="8"/>
  <c r="W1187" i="8"/>
  <c r="W1188" i="8"/>
  <c r="W1189" i="8"/>
  <c r="W1190" i="8"/>
  <c r="W1191" i="8"/>
  <c r="W1192" i="8"/>
  <c r="W1193" i="8"/>
  <c r="W1194" i="8"/>
  <c r="W1195" i="8"/>
  <c r="W1196" i="8"/>
  <c r="W1197" i="8"/>
  <c r="W1198" i="8"/>
  <c r="W1199" i="8"/>
  <c r="W1200" i="8"/>
  <c r="W1201" i="8"/>
  <c r="W1202" i="8"/>
  <c r="W1203" i="8"/>
  <c r="W1204" i="8"/>
  <c r="W1205" i="8"/>
  <c r="W1206" i="8"/>
  <c r="W1207" i="8"/>
  <c r="W1208" i="8"/>
  <c r="W1209" i="8"/>
  <c r="W1210" i="8"/>
  <c r="W1211" i="8"/>
  <c r="W1212" i="8"/>
  <c r="W1213" i="8"/>
  <c r="W1214" i="8"/>
  <c r="W1215" i="8"/>
  <c r="W1216" i="8"/>
  <c r="W1217" i="8"/>
  <c r="W1218" i="8"/>
  <c r="W1219" i="8"/>
  <c r="W1220" i="8"/>
  <c r="W1221" i="8"/>
  <c r="W1222" i="8"/>
  <c r="W1223" i="8"/>
  <c r="W1224" i="8"/>
  <c r="W1225" i="8"/>
  <c r="W1226" i="8"/>
  <c r="W1227" i="8"/>
  <c r="W1228" i="8"/>
  <c r="W1229" i="8"/>
  <c r="W1230" i="8"/>
  <c r="W1231" i="8"/>
  <c r="W1232" i="8"/>
  <c r="W1233" i="8"/>
  <c r="W1234" i="8"/>
  <c r="W1235" i="8"/>
  <c r="W1236" i="8"/>
  <c r="W1237" i="8"/>
  <c r="W1238" i="8"/>
  <c r="W1239" i="8"/>
  <c r="W1240" i="8"/>
  <c r="W1241" i="8"/>
  <c r="W1242" i="8"/>
  <c r="W1243" i="8"/>
  <c r="W1244" i="8"/>
  <c r="W1245" i="8"/>
  <c r="W1246" i="8"/>
  <c r="W1247" i="8"/>
  <c r="W1248" i="8"/>
  <c r="W1249" i="8"/>
  <c r="W1250" i="8"/>
  <c r="W1251" i="8"/>
  <c r="W1252" i="8"/>
  <c r="W1253" i="8"/>
  <c r="W1254" i="8"/>
  <c r="W1255" i="8"/>
  <c r="W1256" i="8"/>
  <c r="W1257" i="8"/>
  <c r="W1258" i="8"/>
  <c r="W1259" i="8"/>
  <c r="W1260" i="8"/>
  <c r="W1261" i="8"/>
  <c r="W1262" i="8"/>
  <c r="W1263" i="8"/>
  <c r="W1264" i="8"/>
  <c r="W1265" i="8"/>
  <c r="W1266" i="8"/>
  <c r="W1267" i="8"/>
  <c r="W1268" i="8"/>
  <c r="W1269" i="8"/>
  <c r="W1270" i="8"/>
  <c r="W1271" i="8"/>
  <c r="W1272" i="8"/>
  <c r="W1273" i="8"/>
  <c r="W1274" i="8"/>
  <c r="W1275" i="8"/>
  <c r="W1276" i="8"/>
  <c r="W1277" i="8"/>
  <c r="W1278" i="8"/>
  <c r="W1279" i="8"/>
  <c r="W1280" i="8"/>
  <c r="W1281" i="8"/>
  <c r="W1282" i="8"/>
  <c r="W1283" i="8"/>
  <c r="W1284" i="8"/>
  <c r="W1285" i="8"/>
  <c r="W1286" i="8"/>
  <c r="W1287" i="8"/>
  <c r="W1288" i="8"/>
  <c r="W1289" i="8"/>
  <c r="W1290" i="8"/>
  <c r="W1291" i="8"/>
  <c r="W1292" i="8"/>
  <c r="W1293" i="8"/>
  <c r="W1294" i="8"/>
  <c r="W1295" i="8"/>
  <c r="W1296" i="8"/>
  <c r="W1297" i="8"/>
  <c r="W1298" i="8"/>
  <c r="W1299" i="8"/>
  <c r="W1300" i="8"/>
  <c r="W1301" i="8"/>
  <c r="W1302" i="8"/>
  <c r="W1303" i="8"/>
  <c r="W1304" i="8"/>
  <c r="W1305" i="8"/>
  <c r="W1306" i="8"/>
  <c r="W1307" i="8"/>
  <c r="W1308" i="8"/>
  <c r="W1309" i="8"/>
  <c r="W1310" i="8"/>
  <c r="W1311" i="8"/>
  <c r="W1312" i="8"/>
  <c r="W1313" i="8"/>
  <c r="W1314" i="8"/>
  <c r="W1315" i="8"/>
  <c r="W1316" i="8"/>
  <c r="W1317" i="8"/>
  <c r="W1318" i="8"/>
  <c r="W1319" i="8"/>
  <c r="W1320" i="8"/>
  <c r="W1321" i="8"/>
  <c r="W1322" i="8"/>
  <c r="W1323" i="8"/>
  <c r="W1324" i="8"/>
  <c r="W1325" i="8"/>
  <c r="W1326" i="8"/>
  <c r="W1327" i="8"/>
  <c r="W1328" i="8"/>
  <c r="W1329" i="8"/>
  <c r="W1330" i="8"/>
  <c r="W1331" i="8"/>
  <c r="W1332" i="8"/>
  <c r="W1333" i="8"/>
  <c r="W1334" i="8"/>
  <c r="W1335" i="8"/>
  <c r="W1336" i="8"/>
  <c r="W1337" i="8"/>
  <c r="W1338" i="8"/>
  <c r="W1339" i="8"/>
  <c r="W1340" i="8"/>
  <c r="W1341" i="8"/>
  <c r="W1342" i="8"/>
  <c r="W1343" i="8"/>
  <c r="W1344" i="8"/>
  <c r="W1345" i="8"/>
  <c r="W1346" i="8"/>
  <c r="W1347" i="8"/>
  <c r="W1348" i="8"/>
  <c r="W1349" i="8"/>
  <c r="W1350" i="8"/>
  <c r="W1351" i="8"/>
  <c r="W1352" i="8"/>
  <c r="W1353" i="8"/>
  <c r="W1354" i="8"/>
  <c r="W1355" i="8"/>
  <c r="W1356" i="8"/>
  <c r="W1357" i="8"/>
  <c r="W1358" i="8"/>
  <c r="W1359" i="8"/>
  <c r="W1360" i="8"/>
  <c r="W1361" i="8"/>
  <c r="W1362" i="8"/>
  <c r="W1363" i="8"/>
  <c r="W1364" i="8"/>
  <c r="W1365" i="8"/>
  <c r="W1366" i="8"/>
  <c r="W1367" i="8"/>
  <c r="W1368" i="8"/>
  <c r="W1369" i="8"/>
  <c r="W1370" i="8"/>
  <c r="W1371" i="8"/>
  <c r="W1372" i="8"/>
  <c r="W1373" i="8"/>
  <c r="W1374" i="8"/>
  <c r="W1375" i="8"/>
  <c r="W1376" i="8"/>
  <c r="W1377" i="8"/>
  <c r="W1378" i="8"/>
  <c r="W1379" i="8"/>
  <c r="W1380" i="8"/>
  <c r="W1381" i="8"/>
  <c r="W1382" i="8"/>
  <c r="W1383" i="8"/>
  <c r="W1384" i="8"/>
  <c r="W1385" i="8"/>
  <c r="W1386" i="8"/>
  <c r="W1387" i="8"/>
  <c r="W1388" i="8"/>
  <c r="W1389" i="8"/>
  <c r="W1390" i="8"/>
  <c r="W1391" i="8"/>
  <c r="W1392" i="8"/>
  <c r="W1393" i="8"/>
  <c r="W1394" i="8"/>
  <c r="W1395" i="8"/>
  <c r="W1396" i="8"/>
  <c r="W1397" i="8"/>
  <c r="W1398" i="8"/>
  <c r="W1399" i="8"/>
  <c r="W1400" i="8"/>
  <c r="W1401" i="8"/>
  <c r="W1402" i="8"/>
  <c r="W1403" i="8"/>
  <c r="W1404" i="8"/>
  <c r="W1405" i="8"/>
  <c r="W1406" i="8"/>
  <c r="W1407" i="8"/>
  <c r="W1408" i="8"/>
  <c r="W1409" i="8"/>
  <c r="W1410" i="8"/>
  <c r="W1411" i="8"/>
  <c r="W1412" i="8"/>
  <c r="W1413" i="8"/>
  <c r="W1414" i="8"/>
  <c r="W1415" i="8"/>
  <c r="W1416" i="8"/>
  <c r="W1417" i="8"/>
  <c r="W1418" i="8"/>
  <c r="W1419" i="8"/>
  <c r="W1420" i="8"/>
  <c r="W1421" i="8"/>
  <c r="W1422" i="8"/>
  <c r="W1423" i="8"/>
  <c r="W1424" i="8"/>
  <c r="W1425" i="8"/>
  <c r="W1426" i="8"/>
  <c r="W1427" i="8"/>
  <c r="W1428" i="8"/>
  <c r="W1429" i="8"/>
  <c r="W1430" i="8"/>
  <c r="W1431" i="8"/>
  <c r="W1432" i="8"/>
  <c r="W1433" i="8"/>
  <c r="W1434" i="8"/>
  <c r="W1435" i="8"/>
  <c r="W1436" i="8"/>
  <c r="W1437" i="8"/>
  <c r="W1438" i="8"/>
  <c r="W1439" i="8"/>
  <c r="W1440" i="8"/>
  <c r="W1441" i="8"/>
  <c r="W1442" i="8"/>
  <c r="W1443" i="8"/>
  <c r="W1444" i="8"/>
  <c r="W1445" i="8"/>
  <c r="W1446" i="8"/>
  <c r="W1447" i="8"/>
  <c r="W1448" i="8"/>
  <c r="W1449" i="8"/>
  <c r="W1450" i="8"/>
  <c r="W1451" i="8"/>
  <c r="W1452" i="8"/>
  <c r="W1453" i="8"/>
  <c r="W1454" i="8"/>
  <c r="W1455" i="8"/>
  <c r="W1456" i="8"/>
  <c r="W1457" i="8"/>
  <c r="W1458" i="8"/>
  <c r="W1459" i="8"/>
  <c r="W1460" i="8"/>
  <c r="W1461" i="8"/>
  <c r="W1462" i="8"/>
  <c r="W1463" i="8"/>
  <c r="W1464" i="8"/>
  <c r="W1465" i="8"/>
  <c r="W1466" i="8"/>
  <c r="W1467" i="8"/>
  <c r="W1468" i="8"/>
  <c r="W1469" i="8"/>
  <c r="W1470" i="8"/>
  <c r="W1471" i="8"/>
  <c r="W1472" i="8"/>
  <c r="W1473" i="8"/>
  <c r="W1474" i="8"/>
  <c r="W1475" i="8"/>
  <c r="W1476" i="8"/>
  <c r="W1477" i="8"/>
  <c r="W1478" i="8"/>
  <c r="W1479" i="8"/>
  <c r="W1480" i="8"/>
  <c r="W1481" i="8"/>
  <c r="W1482" i="8"/>
  <c r="W1483" i="8"/>
  <c r="W1484" i="8"/>
  <c r="W1485" i="8"/>
  <c r="W1486" i="8"/>
  <c r="W1487" i="8"/>
  <c r="W1488" i="8"/>
  <c r="W1489" i="8"/>
  <c r="W1490" i="8"/>
  <c r="W1491" i="8"/>
  <c r="W1492" i="8"/>
  <c r="W1493" i="8"/>
  <c r="W1494" i="8"/>
  <c r="W1495" i="8"/>
  <c r="W1496" i="8"/>
  <c r="W1497" i="8"/>
  <c r="W1498" i="8"/>
  <c r="W1499" i="8"/>
  <c r="W1500" i="8"/>
  <c r="W1501" i="8"/>
  <c r="W1502" i="8"/>
  <c r="W1503" i="8"/>
  <c r="W1504" i="8"/>
  <c r="W1505" i="8"/>
  <c r="W1506" i="8"/>
  <c r="W1507" i="8"/>
  <c r="W1508" i="8"/>
  <c r="W1509" i="8"/>
  <c r="W1510" i="8"/>
  <c r="W1511" i="8"/>
  <c r="W1512" i="8"/>
  <c r="W1513" i="8"/>
  <c r="W1514" i="8"/>
  <c r="W1515" i="8"/>
  <c r="W1516" i="8"/>
  <c r="W1517" i="8"/>
  <c r="W1518" i="8"/>
  <c r="W1519" i="8"/>
  <c r="W1520" i="8"/>
  <c r="W1521" i="8"/>
  <c r="W1522" i="8"/>
  <c r="W1523" i="8"/>
  <c r="W1524" i="8"/>
  <c r="W1525" i="8"/>
  <c r="W1526" i="8"/>
  <c r="W1527" i="8"/>
  <c r="W1528" i="8"/>
  <c r="W1529" i="8"/>
  <c r="W1530" i="8"/>
  <c r="W1531" i="8"/>
  <c r="W1532" i="8"/>
  <c r="W1533" i="8"/>
  <c r="W1534" i="8"/>
  <c r="W1535" i="8"/>
  <c r="W1536" i="8"/>
  <c r="W1537" i="8"/>
  <c r="W1538" i="8"/>
  <c r="W1539" i="8"/>
  <c r="W1540" i="8"/>
  <c r="W1541" i="8"/>
  <c r="W1542" i="8"/>
  <c r="W1543" i="8"/>
  <c r="W1544" i="8"/>
  <c r="W1545" i="8"/>
  <c r="W1546" i="8"/>
  <c r="W1547" i="8"/>
  <c r="W1548" i="8"/>
  <c r="W1549" i="8"/>
  <c r="W1550" i="8"/>
  <c r="W1551" i="8"/>
  <c r="W1552" i="8"/>
  <c r="W1553" i="8"/>
  <c r="W1554" i="8"/>
  <c r="W1555" i="8"/>
  <c r="W1556" i="8"/>
  <c r="W1557" i="8"/>
  <c r="W1558" i="8"/>
  <c r="W1559" i="8"/>
  <c r="W1560" i="8"/>
  <c r="W1561" i="8"/>
  <c r="W1562" i="8"/>
  <c r="W1563" i="8"/>
  <c r="W1564" i="8"/>
  <c r="W1565" i="8"/>
  <c r="W1566" i="8"/>
  <c r="W1567" i="8"/>
  <c r="W1568" i="8"/>
  <c r="W1569" i="8"/>
  <c r="W1570" i="8"/>
  <c r="W1571" i="8"/>
  <c r="W1572" i="8"/>
  <c r="W1573" i="8"/>
  <c r="W1574" i="8"/>
  <c r="W1575" i="8"/>
  <c r="W1576" i="8"/>
  <c r="W1577" i="8"/>
  <c r="W1578" i="8"/>
  <c r="W1579" i="8"/>
  <c r="W1580" i="8"/>
  <c r="W1581" i="8"/>
  <c r="W1582" i="8"/>
  <c r="W1583" i="8"/>
  <c r="W1584" i="8"/>
  <c r="W1585" i="8"/>
  <c r="W1586" i="8"/>
  <c r="W1587" i="8"/>
  <c r="W1588" i="8"/>
  <c r="W1589" i="8"/>
  <c r="W1590" i="8"/>
  <c r="W1591" i="8"/>
  <c r="W1592" i="8"/>
  <c r="W1593" i="8"/>
  <c r="W1594" i="8"/>
  <c r="W1595" i="8"/>
  <c r="W1596" i="8"/>
  <c r="W1597" i="8"/>
  <c r="W1598" i="8"/>
  <c r="W1599" i="8"/>
  <c r="W1600" i="8"/>
  <c r="W1601" i="8"/>
  <c r="W1602" i="8"/>
  <c r="W1603" i="8"/>
  <c r="W1604" i="8"/>
  <c r="W1605" i="8"/>
  <c r="W1606" i="8"/>
  <c r="W1607" i="8"/>
  <c r="W1608" i="8"/>
  <c r="W1609" i="8"/>
  <c r="W1610" i="8"/>
  <c r="W1611" i="8"/>
  <c r="W1612" i="8"/>
  <c r="W1613" i="8"/>
  <c r="W1614" i="8"/>
  <c r="W1615" i="8"/>
  <c r="W1616" i="8"/>
  <c r="W1617" i="8"/>
  <c r="W1618" i="8"/>
  <c r="W1619" i="8"/>
  <c r="W1620" i="8"/>
  <c r="W1621" i="8"/>
  <c r="W1622" i="8"/>
  <c r="W1623" i="8"/>
  <c r="W1624" i="8"/>
  <c r="W1625" i="8"/>
  <c r="W1626" i="8"/>
  <c r="W1627" i="8"/>
  <c r="W1628" i="8"/>
  <c r="W1629" i="8"/>
  <c r="W1630" i="8"/>
  <c r="W1631" i="8"/>
  <c r="W1632" i="8"/>
  <c r="W1633" i="8"/>
  <c r="W1634" i="8"/>
  <c r="W1635" i="8"/>
  <c r="W1636" i="8"/>
  <c r="W1637" i="8"/>
  <c r="W1638" i="8"/>
  <c r="W1639" i="8"/>
  <c r="W1640" i="8"/>
  <c r="W1641" i="8"/>
  <c r="W1642" i="8"/>
  <c r="W1643" i="8"/>
  <c r="W1644" i="8"/>
  <c r="W1645" i="8"/>
  <c r="W1646" i="8"/>
  <c r="W1647" i="8"/>
  <c r="W1648" i="8"/>
  <c r="W1649" i="8"/>
  <c r="W1650" i="8"/>
  <c r="W1651" i="8"/>
  <c r="W1652" i="8"/>
  <c r="W1653" i="8"/>
  <c r="W1654" i="8"/>
  <c r="W1655" i="8"/>
  <c r="W1656" i="8"/>
  <c r="W1657" i="8"/>
  <c r="W1658" i="8"/>
  <c r="W1659" i="8"/>
  <c r="W1660" i="8"/>
  <c r="W1661" i="8"/>
  <c r="W1662" i="8"/>
  <c r="W1663" i="8"/>
  <c r="W1664" i="8"/>
  <c r="W1665" i="8"/>
  <c r="W1666" i="8"/>
  <c r="W1667" i="8"/>
  <c r="W1668" i="8"/>
  <c r="W1669" i="8"/>
  <c r="W1670" i="8"/>
  <c r="W1671" i="8"/>
  <c r="W1672" i="8"/>
  <c r="W1673" i="8"/>
  <c r="W1674" i="8"/>
  <c r="W1675" i="8"/>
  <c r="W1676" i="8"/>
  <c r="W1677" i="8"/>
  <c r="W1678" i="8"/>
  <c r="W1679" i="8"/>
  <c r="W1680" i="8"/>
  <c r="W1681" i="8"/>
  <c r="W1682" i="8"/>
  <c r="W1683" i="8"/>
  <c r="W1684" i="8"/>
  <c r="W1685" i="8"/>
  <c r="W1686" i="8"/>
  <c r="W1687" i="8"/>
  <c r="W1688" i="8"/>
  <c r="W1689" i="8"/>
  <c r="W1690" i="8"/>
  <c r="W1691" i="8"/>
  <c r="W1692" i="8"/>
  <c r="W1693" i="8"/>
  <c r="W1694" i="8"/>
  <c r="W1695" i="8"/>
  <c r="W1696" i="8"/>
  <c r="W1697" i="8"/>
  <c r="W1698" i="8"/>
  <c r="W1699" i="8"/>
  <c r="W1700" i="8"/>
  <c r="W1701" i="8"/>
  <c r="W1702" i="8"/>
  <c r="W1703" i="8"/>
  <c r="W1704" i="8"/>
  <c r="W1705" i="8"/>
  <c r="W1706" i="8"/>
  <c r="W1707" i="8"/>
  <c r="W1708" i="8"/>
  <c r="W1709" i="8"/>
  <c r="W1710" i="8"/>
  <c r="W1711" i="8"/>
  <c r="W1712" i="8"/>
  <c r="W1713" i="8"/>
  <c r="W1714" i="8"/>
  <c r="W1715" i="8"/>
  <c r="W1716" i="8"/>
  <c r="W1717" i="8"/>
  <c r="W1718" i="8"/>
  <c r="W1719" i="8"/>
  <c r="W1720" i="8"/>
  <c r="W1721" i="8"/>
  <c r="W1722" i="8"/>
  <c r="W1723" i="8"/>
  <c r="W1724" i="8"/>
  <c r="W1725" i="8"/>
  <c r="W1726" i="8"/>
  <c r="W1727" i="8"/>
  <c r="W1728" i="8"/>
  <c r="W1729" i="8"/>
  <c r="W1730" i="8"/>
  <c r="W1731" i="8"/>
  <c r="W1732" i="8"/>
  <c r="W1733" i="8"/>
  <c r="W1734" i="8"/>
  <c r="W1735" i="8"/>
  <c r="W1736" i="8"/>
  <c r="W1737" i="8"/>
  <c r="W1738" i="8"/>
  <c r="W1739" i="8"/>
  <c r="W1740" i="8"/>
  <c r="W1741" i="8"/>
  <c r="W1742" i="8"/>
  <c r="W1743" i="8"/>
  <c r="W1744" i="8"/>
  <c r="W1745" i="8"/>
  <c r="W1746" i="8"/>
  <c r="W1747" i="8"/>
  <c r="W1748" i="8"/>
  <c r="W1749" i="8"/>
  <c r="W1750" i="8"/>
  <c r="W1751" i="8"/>
  <c r="W1752" i="8"/>
  <c r="W1753" i="8"/>
  <c r="W1754" i="8"/>
  <c r="W1755" i="8"/>
  <c r="W1756" i="8"/>
  <c r="W1757" i="8"/>
  <c r="W1758" i="8"/>
  <c r="W1759" i="8"/>
  <c r="W1760" i="8"/>
  <c r="W1761" i="8"/>
  <c r="W1762" i="8"/>
  <c r="W1763" i="8"/>
  <c r="W1764" i="8"/>
  <c r="W1765" i="8"/>
  <c r="W1766" i="8"/>
  <c r="W1767" i="8"/>
  <c r="W1768" i="8"/>
  <c r="W1769" i="8"/>
  <c r="W1770" i="8"/>
  <c r="W1771" i="8"/>
  <c r="W1772" i="8"/>
  <c r="W1773" i="8"/>
  <c r="W1774" i="8"/>
  <c r="W1775" i="8"/>
  <c r="W1776" i="8"/>
  <c r="W1777" i="8"/>
  <c r="W1778" i="8"/>
  <c r="W1779" i="8"/>
  <c r="W1780" i="8"/>
  <c r="W1781" i="8"/>
  <c r="W1782" i="8"/>
  <c r="W1783" i="8"/>
  <c r="W1784" i="8"/>
  <c r="W1785" i="8"/>
  <c r="W1786" i="8"/>
  <c r="W1787" i="8"/>
  <c r="W1788" i="8"/>
  <c r="W1789" i="8"/>
  <c r="W1790" i="8"/>
  <c r="W1791" i="8"/>
  <c r="W1792" i="8"/>
  <c r="W1793" i="8"/>
  <c r="W1794" i="8"/>
  <c r="W1795" i="8"/>
  <c r="W1796" i="8"/>
  <c r="W1797" i="8"/>
  <c r="W1798" i="8"/>
  <c r="W1799" i="8"/>
  <c r="W1800" i="8"/>
  <c r="W1801" i="8"/>
  <c r="W1802" i="8"/>
  <c r="W1803" i="8"/>
  <c r="W1804" i="8"/>
  <c r="W1805" i="8"/>
  <c r="W1806" i="8"/>
  <c r="W1807" i="8"/>
  <c r="W1808" i="8"/>
  <c r="W1809" i="8"/>
  <c r="W1810" i="8"/>
  <c r="W1811" i="8"/>
  <c r="W1812" i="8"/>
  <c r="W1813" i="8"/>
  <c r="W1814" i="8"/>
  <c r="W1815" i="8"/>
  <c r="W1816" i="8"/>
  <c r="W1817" i="8"/>
  <c r="W1818" i="8"/>
  <c r="W1819" i="8"/>
  <c r="W1820" i="8"/>
  <c r="W1821" i="8"/>
  <c r="W1822" i="8"/>
  <c r="W1823" i="8"/>
  <c r="W1824" i="8"/>
  <c r="W1825" i="8"/>
  <c r="W1826" i="8"/>
  <c r="W1827" i="8"/>
  <c r="W1828" i="8"/>
  <c r="W1829" i="8"/>
  <c r="W1830" i="8"/>
  <c r="W1831" i="8"/>
  <c r="W1832" i="8"/>
  <c r="W1833" i="8"/>
  <c r="W1834" i="8"/>
  <c r="W1835" i="8"/>
  <c r="W1836" i="8"/>
  <c r="W1837" i="8"/>
  <c r="W1838" i="8"/>
  <c r="W1839" i="8"/>
  <c r="W1840" i="8"/>
  <c r="W1841" i="8"/>
  <c r="W1842" i="8"/>
  <c r="W1843" i="8"/>
  <c r="W1844" i="8"/>
  <c r="W1845" i="8"/>
  <c r="W1846" i="8"/>
  <c r="W1847" i="8"/>
  <c r="W1848" i="8"/>
  <c r="W1849" i="8"/>
  <c r="W1850" i="8"/>
  <c r="W1851" i="8"/>
  <c r="W1852" i="8"/>
  <c r="W1853" i="8"/>
  <c r="W1854" i="8"/>
  <c r="W1855" i="8"/>
  <c r="W1856" i="8"/>
  <c r="W1857" i="8"/>
  <c r="W1858" i="8"/>
  <c r="W1859" i="8"/>
  <c r="W1860" i="8"/>
  <c r="W1861" i="8"/>
  <c r="W1862" i="8"/>
  <c r="W1863" i="8"/>
  <c r="W1864" i="8"/>
  <c r="W1865" i="8"/>
  <c r="W1866" i="8"/>
  <c r="W1867" i="8"/>
  <c r="W1868" i="8"/>
  <c r="W1869" i="8"/>
  <c r="W1870" i="8"/>
  <c r="W1871" i="8"/>
  <c r="W1872" i="8"/>
  <c r="W1873" i="8"/>
  <c r="W1874" i="8"/>
  <c r="W1875" i="8"/>
  <c r="W1876" i="8"/>
  <c r="W1877" i="8"/>
  <c r="W1878" i="8"/>
  <c r="W1879" i="8"/>
  <c r="W1880" i="8"/>
  <c r="W1881" i="8"/>
  <c r="W1882" i="8"/>
  <c r="W1883" i="8"/>
  <c r="W1884" i="8"/>
  <c r="W1885" i="8"/>
  <c r="W1886" i="8"/>
  <c r="W1887" i="8"/>
  <c r="W1888" i="8"/>
  <c r="W1889" i="8"/>
  <c r="W1890" i="8"/>
  <c r="W1891" i="8"/>
  <c r="W1892" i="8"/>
  <c r="W1893" i="8"/>
  <c r="W1894" i="8"/>
  <c r="W1895" i="8"/>
  <c r="W1896" i="8"/>
  <c r="W1897" i="8"/>
  <c r="W1898" i="8"/>
  <c r="W1899" i="8"/>
  <c r="W1900" i="8"/>
  <c r="W1901" i="8"/>
  <c r="W1902" i="8"/>
  <c r="W1903" i="8"/>
  <c r="W1904" i="8"/>
  <c r="W1905" i="8"/>
  <c r="W1906" i="8"/>
  <c r="W1907" i="8"/>
  <c r="W1908" i="8"/>
  <c r="W1909" i="8"/>
  <c r="W1910" i="8"/>
  <c r="W1911" i="8"/>
  <c r="W1912" i="8"/>
  <c r="W1913" i="8"/>
  <c r="W1914" i="8"/>
  <c r="W1915" i="8"/>
  <c r="W1916" i="8"/>
  <c r="W1917" i="8"/>
  <c r="W1918" i="8"/>
  <c r="W1919" i="8"/>
  <c r="W1920" i="8"/>
  <c r="W1921" i="8"/>
  <c r="W1922" i="8"/>
  <c r="W1923" i="8"/>
  <c r="W1924" i="8"/>
  <c r="W1925" i="8"/>
  <c r="W1926" i="8"/>
  <c r="W1927" i="8"/>
  <c r="W1928" i="8"/>
  <c r="W1929" i="8"/>
  <c r="W1930" i="8"/>
  <c r="W1931" i="8"/>
  <c r="W1932" i="8"/>
  <c r="W1933" i="8"/>
  <c r="W1934" i="8"/>
  <c r="W1935" i="8"/>
  <c r="W1936" i="8"/>
  <c r="W1937" i="8"/>
  <c r="W1938" i="8"/>
  <c r="W1939" i="8"/>
  <c r="W1940" i="8"/>
  <c r="W1941" i="8"/>
  <c r="W1942" i="8"/>
  <c r="W1943" i="8"/>
  <c r="W1944" i="8"/>
  <c r="W1945" i="8"/>
  <c r="W1946" i="8"/>
  <c r="W1947" i="8"/>
  <c r="W1948" i="8"/>
  <c r="W1949" i="8"/>
  <c r="W1950" i="8"/>
  <c r="W1951" i="8"/>
  <c r="W1952" i="8"/>
  <c r="W1953" i="8"/>
  <c r="W1954" i="8"/>
  <c r="W1955" i="8"/>
  <c r="W1956" i="8"/>
  <c r="W1957" i="8"/>
  <c r="W1958" i="8"/>
  <c r="W1959" i="8"/>
  <c r="W1960" i="8"/>
  <c r="W1961" i="8"/>
  <c r="W1962" i="8"/>
  <c r="W1963" i="8"/>
  <c r="W1964" i="8"/>
  <c r="W1965" i="8"/>
  <c r="W1966" i="8"/>
  <c r="W1967" i="8"/>
  <c r="W1968" i="8"/>
  <c r="W1969" i="8"/>
  <c r="W1970" i="8"/>
  <c r="W1971" i="8"/>
  <c r="W1972" i="8"/>
  <c r="W1973" i="8"/>
  <c r="W1974" i="8"/>
  <c r="W1975" i="8"/>
  <c r="W1976" i="8"/>
  <c r="W1977" i="8"/>
  <c r="W1978" i="8"/>
  <c r="W1979" i="8"/>
  <c r="W1980" i="8"/>
  <c r="W1981" i="8"/>
  <c r="W1982" i="8"/>
  <c r="W1983" i="8"/>
  <c r="W1984" i="8"/>
  <c r="W1985" i="8"/>
  <c r="W1986" i="8"/>
  <c r="W1987" i="8"/>
  <c r="W1988" i="8"/>
  <c r="W1989" i="8"/>
  <c r="W1990" i="8"/>
  <c r="W1991" i="8"/>
  <c r="W1992" i="8"/>
  <c r="W1993" i="8"/>
  <c r="W1994" i="8"/>
  <c r="W1995" i="8"/>
  <c r="W1996" i="8"/>
  <c r="W1997" i="8"/>
  <c r="W1998" i="8"/>
  <c r="W1999" i="8"/>
  <c r="W2000" i="8"/>
  <c r="W2001" i="8"/>
  <c r="W2002" i="8"/>
  <c r="W2003" i="8"/>
  <c r="W2004" i="8"/>
  <c r="W2005" i="8"/>
  <c r="W2006" i="8"/>
  <c r="W2007" i="8"/>
  <c r="W2008" i="8"/>
  <c r="W2009" i="8"/>
  <c r="W2010" i="8"/>
  <c r="W2011" i="8"/>
  <c r="W2012" i="8"/>
  <c r="W2013" i="8"/>
  <c r="W2014" i="8"/>
  <c r="W2015" i="8"/>
  <c r="W2016" i="8"/>
  <c r="W2017" i="8"/>
  <c r="W2018" i="8"/>
  <c r="W2019" i="8"/>
  <c r="W2020" i="8"/>
  <c r="W2021" i="8"/>
  <c r="W2022" i="8"/>
  <c r="W2023" i="8"/>
  <c r="W2024" i="8"/>
  <c r="W2025" i="8"/>
  <c r="W2026" i="8"/>
  <c r="W2027" i="8"/>
  <c r="W2028" i="8"/>
  <c r="W2029" i="8"/>
  <c r="W2030" i="8"/>
  <c r="W2031" i="8"/>
  <c r="W2032" i="8"/>
  <c r="W2033" i="8"/>
  <c r="W2034" i="8"/>
  <c r="W2035" i="8"/>
  <c r="W2036" i="8"/>
  <c r="W2037" i="8"/>
  <c r="W2038" i="8"/>
  <c r="W2039" i="8"/>
  <c r="W2040" i="8"/>
  <c r="W2041" i="8"/>
  <c r="W2042" i="8"/>
  <c r="W2043" i="8"/>
  <c r="W2044" i="8"/>
  <c r="W2045" i="8"/>
  <c r="W2046" i="8"/>
  <c r="W2047" i="8"/>
  <c r="W2048" i="8"/>
  <c r="W2049" i="8"/>
  <c r="W2050" i="8"/>
  <c r="W2051" i="8"/>
  <c r="W2052" i="8"/>
  <c r="W2053" i="8"/>
  <c r="W2054" i="8"/>
  <c r="W2055" i="8"/>
  <c r="W2056" i="8"/>
  <c r="W2057" i="8"/>
  <c r="W2058" i="8"/>
  <c r="W2059" i="8"/>
  <c r="W2060" i="8"/>
  <c r="W2061" i="8"/>
  <c r="W2062" i="8"/>
  <c r="W2063" i="8"/>
  <c r="W2064" i="8"/>
  <c r="W2065" i="8"/>
  <c r="W2066" i="8"/>
  <c r="W2067" i="8"/>
  <c r="W2068" i="8"/>
  <c r="W2069" i="8"/>
  <c r="W2070" i="8"/>
  <c r="W2071" i="8"/>
  <c r="W2072" i="8"/>
  <c r="W2073" i="8"/>
  <c r="W2074" i="8"/>
  <c r="W2075" i="8"/>
  <c r="W2076" i="8"/>
  <c r="W2077" i="8"/>
  <c r="W2078" i="8"/>
  <c r="W2079" i="8"/>
  <c r="W2080" i="8"/>
  <c r="W2081" i="8"/>
  <c r="W2082" i="8"/>
  <c r="W2083" i="8"/>
  <c r="W2084" i="8"/>
  <c r="W2085" i="8"/>
  <c r="W2086" i="8"/>
  <c r="W2087" i="8"/>
  <c r="W2088" i="8"/>
  <c r="W2089" i="8"/>
  <c r="W2090" i="8"/>
  <c r="W2091" i="8"/>
  <c r="W2092" i="8"/>
  <c r="W2093" i="8"/>
  <c r="W2094" i="8"/>
  <c r="W2095" i="8"/>
  <c r="W2096" i="8"/>
  <c r="W2097" i="8"/>
  <c r="W2098" i="8"/>
  <c r="W2099" i="8"/>
  <c r="W2100" i="8"/>
  <c r="W2101" i="8"/>
  <c r="W2102" i="8"/>
  <c r="W2103" i="8"/>
  <c r="W2104" i="8"/>
  <c r="W2105" i="8"/>
  <c r="W2106" i="8"/>
  <c r="W2107" i="8"/>
  <c r="W2108" i="8"/>
  <c r="W2109" i="8"/>
  <c r="W2110" i="8"/>
  <c r="W2111" i="8"/>
  <c r="W2112" i="8"/>
  <c r="W2113" i="8"/>
  <c r="W2114" i="8"/>
  <c r="W2115" i="8"/>
  <c r="W2116" i="8"/>
  <c r="W2117" i="8"/>
  <c r="W2118" i="8"/>
  <c r="W2119" i="8"/>
  <c r="W2120" i="8"/>
  <c r="W2121" i="8"/>
  <c r="W2122" i="8"/>
  <c r="W760" i="8"/>
  <c r="R1687" i="8" l="1"/>
  <c r="R1688" i="8"/>
  <c r="R1689" i="8"/>
  <c r="R1690" i="8"/>
  <c r="R1691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1714" i="8"/>
  <c r="R1612" i="8"/>
  <c r="R1705" i="8"/>
  <c r="R1734" i="8"/>
  <c r="R1722" i="8"/>
  <c r="R1762" i="8"/>
  <c r="R1682" i="8"/>
  <c r="R1618" i="8"/>
  <c r="R1726" i="8"/>
  <c r="R1670" i="8"/>
  <c r="R1694" i="8"/>
  <c r="R1626" i="8"/>
  <c r="R1562" i="8"/>
  <c r="R1030" i="8" l="1"/>
  <c r="S1030" i="8" s="1"/>
  <c r="R987" i="8"/>
  <c r="S987" i="8" s="1"/>
  <c r="R297" i="8"/>
  <c r="S297" i="8" s="1"/>
  <c r="R1361" i="8"/>
  <c r="S1361" i="8" s="1"/>
  <c r="R198" i="8"/>
  <c r="S198" i="8" s="1"/>
  <c r="R126" i="8"/>
  <c r="S126" i="8" s="1"/>
  <c r="R1441" i="8"/>
  <c r="S1441" i="8" s="1"/>
  <c r="R1425" i="8"/>
  <c r="S1425" i="8" s="1"/>
  <c r="R612" i="8"/>
  <c r="S612" i="8" s="1"/>
  <c r="R541" i="8"/>
  <c r="S541" i="8" s="1"/>
  <c r="R482" i="8"/>
  <c r="S482" i="8" s="1"/>
  <c r="R314" i="8"/>
  <c r="S314" i="8" s="1"/>
  <c r="R118" i="8"/>
  <c r="S118" i="8" s="1"/>
  <c r="R196" i="8"/>
  <c r="S196" i="8" s="1"/>
  <c r="R856" i="8"/>
  <c r="S856" i="8" s="1"/>
  <c r="R703" i="8"/>
  <c r="S703" i="8" s="1"/>
  <c r="R1370" i="8"/>
  <c r="S1370" i="8" s="1"/>
  <c r="R1382" i="8"/>
  <c r="S1382" i="8" s="1"/>
  <c r="R1301" i="8"/>
  <c r="S1301" i="8" s="1"/>
  <c r="R1502" i="8"/>
  <c r="S1502" i="8" s="1"/>
  <c r="R1594" i="8"/>
  <c r="S1594" i="8" s="1"/>
  <c r="R1546" i="8"/>
  <c r="S1546" i="8" s="1"/>
  <c r="R1630" i="8"/>
  <c r="S1630" i="8" s="1"/>
  <c r="R569" i="8"/>
  <c r="S569" i="8" s="1"/>
  <c r="R1289" i="8"/>
  <c r="S1289" i="8" s="1"/>
  <c r="R292" i="8"/>
  <c r="S292" i="8" s="1"/>
  <c r="R133" i="8"/>
  <c r="S133" i="8" s="1"/>
  <c r="R986" i="8"/>
  <c r="S986" i="8" s="1"/>
  <c r="R975" i="8"/>
  <c r="S975" i="8" s="1"/>
  <c r="R850" i="8"/>
  <c r="S850" i="8" s="1"/>
  <c r="R794" i="8"/>
  <c r="S794" i="8" s="1"/>
  <c r="R1598" i="8"/>
  <c r="S1598" i="8" s="1"/>
  <c r="R236" i="8"/>
  <c r="S236" i="8" s="1"/>
  <c r="R206" i="8"/>
  <c r="S206" i="8" s="1"/>
  <c r="R1293" i="8"/>
  <c r="S1293" i="8" s="1"/>
  <c r="R1165" i="8"/>
  <c r="S1165" i="8" s="1"/>
  <c r="R325" i="8"/>
  <c r="S325" i="8" s="1"/>
  <c r="R1285" i="8"/>
  <c r="S1285" i="8" s="1"/>
  <c r="R1474" i="8"/>
  <c r="S1474" i="8" s="1"/>
  <c r="R1578" i="8"/>
  <c r="S1578" i="8" s="1"/>
  <c r="R202" i="8"/>
  <c r="S202" i="8" s="1"/>
  <c r="R1529" i="8"/>
  <c r="S1529" i="8" s="1"/>
  <c r="R1221" i="8"/>
  <c r="S1221" i="8" s="1"/>
  <c r="R1069" i="8"/>
  <c r="S1069" i="8" s="1"/>
  <c r="R47" i="8"/>
  <c r="S47" i="8" s="1"/>
  <c r="R1466" i="8"/>
  <c r="S1466" i="8" s="1"/>
  <c r="R1333" i="8"/>
  <c r="S1333" i="8" s="1"/>
  <c r="R1622" i="8"/>
  <c r="S1622" i="8" s="1"/>
  <c r="R1470" i="8"/>
  <c r="S1470" i="8" s="1"/>
  <c r="R204" i="8"/>
  <c r="S204" i="8" s="1"/>
  <c r="R200" i="8"/>
  <c r="S200" i="8" s="1"/>
  <c r="R1501" i="8"/>
  <c r="S1501" i="8" s="1"/>
  <c r="R1490" i="8"/>
  <c r="S1490" i="8" s="1"/>
  <c r="R224" i="8"/>
  <c r="S224" i="8" s="1"/>
  <c r="R897" i="8"/>
  <c r="S897" i="8" s="1"/>
  <c r="R63" i="8"/>
  <c r="S63" i="8" s="1"/>
  <c r="R970" i="8"/>
  <c r="S970" i="8" s="1"/>
  <c r="R1650" i="8"/>
  <c r="S1650" i="8" s="1"/>
  <c r="R1253" i="8"/>
  <c r="S1253" i="8" s="1"/>
  <c r="R203" i="8"/>
  <c r="S203" i="8" s="1"/>
  <c r="R199" i="8"/>
  <c r="S199" i="8" s="1"/>
  <c r="R607" i="8"/>
  <c r="S607" i="8" s="1"/>
  <c r="R1233" i="8"/>
  <c r="S1233" i="8" s="1"/>
  <c r="R1051" i="8"/>
  <c r="S1051" i="8" s="1"/>
  <c r="R1329" i="8"/>
  <c r="S1329" i="8" s="1"/>
  <c r="R695" i="8"/>
  <c r="S695" i="8" s="1"/>
  <c r="R762" i="8"/>
  <c r="S762" i="8" s="1"/>
  <c r="R1414" i="8"/>
  <c r="S1414" i="8" s="1"/>
  <c r="R216" i="8"/>
  <c r="S216" i="8" s="1"/>
  <c r="R1655" i="8"/>
  <c r="S1655" i="8" s="1"/>
  <c r="R1312" i="8"/>
  <c r="S1312" i="8" s="1"/>
  <c r="R121" i="8"/>
  <c r="S121" i="8" s="1"/>
  <c r="R578" i="8"/>
  <c r="S578" i="8" s="1"/>
  <c r="R1606" i="8"/>
  <c r="S1606" i="8" s="1"/>
  <c r="R1657" i="8"/>
  <c r="S1657" i="8" s="1"/>
  <c r="R205" i="8"/>
  <c r="S205" i="8" s="1"/>
  <c r="R201" i="8"/>
  <c r="S201" i="8" s="1"/>
  <c r="R197" i="8"/>
  <c r="S197" i="8" s="1"/>
  <c r="S2066" i="8"/>
  <c r="S1722" i="8"/>
  <c r="S1714" i="8"/>
  <c r="S1682" i="8"/>
  <c r="S1626" i="8"/>
  <c r="S2174" i="8"/>
  <c r="S2170" i="8"/>
  <c r="S2166" i="8"/>
  <c r="S2162" i="8"/>
  <c r="S2158" i="8"/>
  <c r="S2154" i="8"/>
  <c r="S2150" i="8"/>
  <c r="S2146" i="8"/>
  <c r="S2142" i="8"/>
  <c r="S2138" i="8"/>
  <c r="S2134" i="8"/>
  <c r="S2130" i="8"/>
  <c r="S2126" i="8"/>
  <c r="S2122" i="8"/>
  <c r="S2118" i="8"/>
  <c r="S2114" i="8"/>
  <c r="S2110" i="8"/>
  <c r="S2106" i="8"/>
  <c r="S2102" i="8"/>
  <c r="S2098" i="8"/>
  <c r="S2094" i="8"/>
  <c r="S2090" i="8"/>
  <c r="S2086" i="8"/>
  <c r="S2082" i="8"/>
  <c r="S2078" i="8"/>
  <c r="S2074" i="8"/>
  <c r="S2070" i="8"/>
  <c r="S2062" i="8"/>
  <c r="S2058" i="8"/>
  <c r="S2054" i="8"/>
  <c r="S2050" i="8"/>
  <c r="S2046" i="8"/>
  <c r="S2042" i="8"/>
  <c r="S2038" i="8"/>
  <c r="S2034" i="8"/>
  <c r="S2030" i="8"/>
  <c r="S2026" i="8"/>
  <c r="S2022" i="8"/>
  <c r="S2018" i="8"/>
  <c r="S2014" i="8"/>
  <c r="S2010" i="8"/>
  <c r="S2006" i="8"/>
  <c r="S2002" i="8"/>
  <c r="S1998" i="8"/>
  <c r="S1994" i="8"/>
  <c r="S1990" i="8"/>
  <c r="S1986" i="8"/>
  <c r="S1982" i="8"/>
  <c r="S1978" i="8"/>
  <c r="S1974" i="8"/>
  <c r="S1970" i="8"/>
  <c r="S1966" i="8"/>
  <c r="S1962" i="8"/>
  <c r="S1958" i="8"/>
  <c r="S1954" i="8"/>
  <c r="S1950" i="8"/>
  <c r="S1946" i="8"/>
  <c r="S1942" i="8"/>
  <c r="S1938" i="8"/>
  <c r="S1934" i="8"/>
  <c r="S1930" i="8"/>
  <c r="S1926" i="8"/>
  <c r="S1922" i="8"/>
  <c r="S1918" i="8"/>
  <c r="S1914" i="8"/>
  <c r="S1910" i="8"/>
  <c r="S1906" i="8"/>
  <c r="S1902" i="8"/>
  <c r="S1898" i="8"/>
  <c r="S1894" i="8"/>
  <c r="S1890" i="8"/>
  <c r="S1886" i="8"/>
  <c r="S1882" i="8"/>
  <c r="S1878" i="8"/>
  <c r="S1874" i="8"/>
  <c r="S1870" i="8"/>
  <c r="S1866" i="8"/>
  <c r="S1862" i="8"/>
  <c r="S1858" i="8"/>
  <c r="S1854" i="8"/>
  <c r="S1850" i="8"/>
  <c r="S1846" i="8"/>
  <c r="S1842" i="8"/>
  <c r="S1838" i="8"/>
  <c r="S1834" i="8"/>
  <c r="S1830" i="8"/>
  <c r="S1826" i="8"/>
  <c r="S1822" i="8"/>
  <c r="S1818" i="8"/>
  <c r="S1814" i="8"/>
  <c r="S1810" i="8"/>
  <c r="S1806" i="8"/>
  <c r="S1802" i="8"/>
  <c r="S1798" i="8"/>
  <c r="S1794" i="8"/>
  <c r="S1790" i="8"/>
  <c r="S1786" i="8"/>
  <c r="S1782" i="8"/>
  <c r="S1778" i="8"/>
  <c r="S1774" i="8"/>
  <c r="S1770" i="8"/>
  <c r="S1762" i="8"/>
  <c r="S1726" i="8"/>
  <c r="S1694" i="8"/>
  <c r="S1690" i="8"/>
  <c r="S1618" i="8"/>
  <c r="S1562" i="8"/>
  <c r="S2175" i="8"/>
  <c r="S2171" i="8"/>
  <c r="S2167" i="8"/>
  <c r="S2163" i="8"/>
  <c r="S2159" i="8"/>
  <c r="S2155" i="8"/>
  <c r="S2151" i="8"/>
  <c r="S2147" i="8"/>
  <c r="S2143" i="8"/>
  <c r="S2139" i="8"/>
  <c r="S2135" i="8"/>
  <c r="S2131" i="8"/>
  <c r="S2127" i="8"/>
  <c r="S2123" i="8"/>
  <c r="S2119" i="8"/>
  <c r="S2115" i="8"/>
  <c r="S2111" i="8"/>
  <c r="S2107" i="8"/>
  <c r="S1688" i="8"/>
  <c r="S2103" i="8"/>
  <c r="S2099" i="8"/>
  <c r="S2095" i="8"/>
  <c r="S2091" i="8"/>
  <c r="S2087" i="8"/>
  <c r="S2083" i="8"/>
  <c r="S2079" i="8"/>
  <c r="S2075" i="8"/>
  <c r="S2071" i="8"/>
  <c r="S2067" i="8"/>
  <c r="S2063" i="8"/>
  <c r="S2059" i="8"/>
  <c r="S2055" i="8"/>
  <c r="S2051" i="8"/>
  <c r="S2047" i="8"/>
  <c r="S2043" i="8"/>
  <c r="S2039" i="8"/>
  <c r="S2035" i="8"/>
  <c r="S2031" i="8"/>
  <c r="S2027" i="8"/>
  <c r="S2023" i="8"/>
  <c r="S2019" i="8"/>
  <c r="S2015" i="8"/>
  <c r="S2011" i="8"/>
  <c r="S2007" i="8"/>
  <c r="S2003" i="8"/>
  <c r="S1999" i="8"/>
  <c r="S1995" i="8"/>
  <c r="S1991" i="8"/>
  <c r="S1987" i="8"/>
  <c r="S1983" i="8"/>
  <c r="S1979" i="8"/>
  <c r="S1975" i="8"/>
  <c r="S1971" i="8"/>
  <c r="S1967" i="8"/>
  <c r="S1963" i="8"/>
  <c r="S1959" i="8"/>
  <c r="S1955" i="8"/>
  <c r="S1951" i="8"/>
  <c r="S1947" i="8"/>
  <c r="S1943" i="8"/>
  <c r="S1939" i="8"/>
  <c r="S1935" i="8"/>
  <c r="S1931" i="8"/>
  <c r="S1927" i="8"/>
  <c r="S1923" i="8"/>
  <c r="S1919" i="8"/>
  <c r="S1915" i="8"/>
  <c r="S1911" i="8"/>
  <c r="S1907" i="8"/>
  <c r="S1903" i="8"/>
  <c r="S1899" i="8"/>
  <c r="S1895" i="8"/>
  <c r="S1891" i="8"/>
  <c r="S1887" i="8"/>
  <c r="S1883" i="8"/>
  <c r="S1879" i="8"/>
  <c r="S1875" i="8"/>
  <c r="S1871" i="8"/>
  <c r="S1867" i="8"/>
  <c r="S1863" i="8"/>
  <c r="S1859" i="8"/>
  <c r="S1855" i="8"/>
  <c r="S1851" i="8"/>
  <c r="S1847" i="8"/>
  <c r="S1843" i="8"/>
  <c r="S1839" i="8"/>
  <c r="S1835" i="8"/>
  <c r="S1831" i="8"/>
  <c r="S1827" i="8"/>
  <c r="S1823" i="8"/>
  <c r="S1819" i="8"/>
  <c r="S1815" i="8"/>
  <c r="S1811" i="8"/>
  <c r="S1807" i="8"/>
  <c r="S1803" i="8"/>
  <c r="S1799" i="8"/>
  <c r="S1795" i="8"/>
  <c r="S1791" i="8"/>
  <c r="S1787" i="8"/>
  <c r="S1783" i="8"/>
  <c r="S1779" i="8"/>
  <c r="S1775" i="8"/>
  <c r="S1771" i="8"/>
  <c r="S1767" i="8"/>
  <c r="S1734" i="8"/>
  <c r="S2177" i="8"/>
  <c r="S2173" i="8"/>
  <c r="S2169" i="8"/>
  <c r="S2165" i="8"/>
  <c r="S2161" i="8"/>
  <c r="S2157" i="8"/>
  <c r="S2153" i="8"/>
  <c r="S2149" i="8"/>
  <c r="S2145" i="8"/>
  <c r="S2141" i="8"/>
  <c r="S2137" i="8"/>
  <c r="S2133" i="8"/>
  <c r="S2129" i="8"/>
  <c r="S2125" i="8"/>
  <c r="S2121" i="8"/>
  <c r="S2117" i="8"/>
  <c r="S2113" i="8"/>
  <c r="S2109" i="8"/>
  <c r="S2105" i="8"/>
  <c r="S2101" i="8"/>
  <c r="S2097" i="8"/>
  <c r="S2093" i="8"/>
  <c r="S2089" i="8"/>
  <c r="S2085" i="8"/>
  <c r="S2081" i="8"/>
  <c r="S2077" i="8"/>
  <c r="S2073" i="8"/>
  <c r="S2069" i="8"/>
  <c r="S2065" i="8"/>
  <c r="S2061" i="8"/>
  <c r="S2057" i="8"/>
  <c r="S2053" i="8"/>
  <c r="S2049" i="8"/>
  <c r="S2045" i="8"/>
  <c r="S2041" i="8"/>
  <c r="S2037" i="8"/>
  <c r="S2033" i="8"/>
  <c r="S2029" i="8"/>
  <c r="S2025" i="8"/>
  <c r="S2021" i="8"/>
  <c r="S2017" i="8"/>
  <c r="S2013" i="8"/>
  <c r="S2009" i="8"/>
  <c r="S2005" i="8"/>
  <c r="S2001" i="8"/>
  <c r="S1997" i="8"/>
  <c r="S1993" i="8"/>
  <c r="S1989" i="8"/>
  <c r="S1985" i="8"/>
  <c r="S1981" i="8"/>
  <c r="S1977" i="8"/>
  <c r="S1973" i="8"/>
  <c r="S1969" i="8"/>
  <c r="S1965" i="8"/>
  <c r="S1961" i="8"/>
  <c r="S2176" i="8"/>
  <c r="S2172" i="8"/>
  <c r="S2168" i="8"/>
  <c r="S2164" i="8"/>
  <c r="S2160" i="8"/>
  <c r="S2156" i="8"/>
  <c r="S2152" i="8"/>
  <c r="S2148" i="8"/>
  <c r="S2144" i="8"/>
  <c r="S2140" i="8"/>
  <c r="S2136" i="8"/>
  <c r="S2132" i="8"/>
  <c r="S2128" i="8"/>
  <c r="S2124" i="8"/>
  <c r="S2120" i="8"/>
  <c r="S2116" i="8"/>
  <c r="S2112" i="8"/>
  <c r="S2108" i="8"/>
  <c r="S2104" i="8"/>
  <c r="S2100" i="8"/>
  <c r="S2096" i="8"/>
  <c r="S2092" i="8"/>
  <c r="S2088" i="8"/>
  <c r="S2084" i="8"/>
  <c r="S2080" i="8"/>
  <c r="S2076" i="8"/>
  <c r="S2072" i="8"/>
  <c r="S2068" i="8"/>
  <c r="S2064" i="8"/>
  <c r="S2060" i="8"/>
  <c r="S2056" i="8"/>
  <c r="S2052" i="8"/>
  <c r="S2048" i="8"/>
  <c r="S2044" i="8"/>
  <c r="S2040" i="8"/>
  <c r="S2036" i="8"/>
  <c r="S2032" i="8"/>
  <c r="S2028" i="8"/>
  <c r="S2024" i="8"/>
  <c r="S2020" i="8"/>
  <c r="S2016" i="8"/>
  <c r="S2012" i="8"/>
  <c r="S2008" i="8"/>
  <c r="S2004" i="8"/>
  <c r="S2000" i="8"/>
  <c r="S1996" i="8"/>
  <c r="S1992" i="8"/>
  <c r="S1988" i="8"/>
  <c r="S1984" i="8"/>
  <c r="S1980" i="8"/>
  <c r="S1976" i="8"/>
  <c r="S1972" i="8"/>
  <c r="S1968" i="8"/>
  <c r="S1964" i="8"/>
  <c r="S1960" i="8"/>
  <c r="S1956" i="8"/>
  <c r="S1952" i="8"/>
  <c r="S1948" i="8"/>
  <c r="S1944" i="8"/>
  <c r="S1940" i="8"/>
  <c r="S1936" i="8"/>
  <c r="S1932" i="8"/>
  <c r="S1928" i="8"/>
  <c r="S1924" i="8"/>
  <c r="S1920" i="8"/>
  <c r="S1916" i="8"/>
  <c r="S1912" i="8"/>
  <c r="S1908" i="8"/>
  <c r="S1904" i="8"/>
  <c r="S1900" i="8"/>
  <c r="S1896" i="8"/>
  <c r="S1892" i="8"/>
  <c r="S1888" i="8"/>
  <c r="S1884" i="8"/>
  <c r="S1880" i="8"/>
  <c r="S1876" i="8"/>
  <c r="S1872" i="8"/>
  <c r="S1868" i="8"/>
  <c r="S1864" i="8"/>
  <c r="S1860" i="8"/>
  <c r="S1856" i="8"/>
  <c r="S1852" i="8"/>
  <c r="S1848" i="8"/>
  <c r="S1844" i="8"/>
  <c r="S1840" i="8"/>
  <c r="S1836" i="8"/>
  <c r="S1832" i="8"/>
  <c r="S1828" i="8"/>
  <c r="S1824" i="8"/>
  <c r="S1820" i="8"/>
  <c r="S1816" i="8"/>
  <c r="S1812" i="8"/>
  <c r="S1808" i="8"/>
  <c r="S1804" i="8"/>
  <c r="S1800" i="8"/>
  <c r="S1796" i="8"/>
  <c r="S1792" i="8"/>
  <c r="S1788" i="8"/>
  <c r="S1784" i="8"/>
  <c r="S1780" i="8"/>
  <c r="S1776" i="8"/>
  <c r="S1772" i="8"/>
  <c r="S1768" i="8"/>
  <c r="S1612" i="8"/>
  <c r="S1670" i="8"/>
  <c r="S1691" i="8"/>
  <c r="S1687" i="8"/>
  <c r="S1957" i="8"/>
  <c r="S1953" i="8"/>
  <c r="S1949" i="8"/>
  <c r="S1945" i="8"/>
  <c r="S1941" i="8"/>
  <c r="S1937" i="8"/>
  <c r="S1933" i="8"/>
  <c r="S1929" i="8"/>
  <c r="S1925" i="8"/>
  <c r="S1921" i="8"/>
  <c r="S1917" i="8"/>
  <c r="S1913" i="8"/>
  <c r="S1909" i="8"/>
  <c r="S1905" i="8"/>
  <c r="S1901" i="8"/>
  <c r="S1897" i="8"/>
  <c r="S1893" i="8"/>
  <c r="S1889" i="8"/>
  <c r="S1885" i="8"/>
  <c r="S1881" i="8"/>
  <c r="S1877" i="8"/>
  <c r="S1873" i="8"/>
  <c r="S1869" i="8"/>
  <c r="S1865" i="8"/>
  <c r="S1861" i="8"/>
  <c r="S1857" i="8"/>
  <c r="S1853" i="8"/>
  <c r="S1849" i="8"/>
  <c r="S1845" i="8"/>
  <c r="S1841" i="8"/>
  <c r="S1837" i="8"/>
  <c r="S1833" i="8"/>
  <c r="S1829" i="8"/>
  <c r="S1825" i="8"/>
  <c r="S1821" i="8"/>
  <c r="S1817" i="8"/>
  <c r="S1813" i="8"/>
  <c r="S1809" i="8"/>
  <c r="S1805" i="8"/>
  <c r="S1801" i="8"/>
  <c r="S1797" i="8"/>
  <c r="S1793" i="8"/>
  <c r="S1789" i="8"/>
  <c r="S1785" i="8"/>
  <c r="S1781" i="8"/>
  <c r="S1777" i="8"/>
  <c r="S1773" i="8"/>
  <c r="S1769" i="8"/>
  <c r="S1705" i="8"/>
  <c r="S1689" i="8"/>
  <c r="R1362" i="8"/>
  <c r="S1362" i="8" s="1"/>
  <c r="R1072" i="8"/>
  <c r="S1072" i="8" s="1"/>
  <c r="R1728" i="8"/>
  <c r="S1728" i="8" s="1"/>
  <c r="R1604" i="8"/>
  <c r="S1604" i="8" s="1"/>
  <c r="R1136" i="8"/>
  <c r="S1136" i="8" s="1"/>
  <c r="R1062" i="8"/>
  <c r="S1062" i="8" s="1"/>
  <c r="R466" i="8"/>
  <c r="S466" i="8" s="1"/>
  <c r="R1152" i="8"/>
  <c r="S1152" i="8" s="1"/>
  <c r="R1385" i="8"/>
  <c r="S1385" i="8" s="1"/>
  <c r="R1088" i="8"/>
  <c r="S1088" i="8" s="1"/>
  <c r="R1745" i="8"/>
  <c r="S1745" i="8" s="1"/>
  <c r="R1736" i="8"/>
  <c r="S1736" i="8" s="1"/>
  <c r="R1677" i="8"/>
  <c r="S1677" i="8" s="1"/>
  <c r="R1492" i="8"/>
  <c r="S1492" i="8" s="1"/>
  <c r="R1481" i="8"/>
  <c r="S1481" i="8" s="1"/>
  <c r="R1184" i="8"/>
  <c r="S1184" i="8" s="1"/>
  <c r="R615" i="8"/>
  <c r="S615" i="8" s="1"/>
  <c r="R70" i="8"/>
  <c r="S70" i="8" s="1"/>
  <c r="R1744" i="8"/>
  <c r="S1744" i="8" s="1"/>
  <c r="R1500" i="8"/>
  <c r="S1500" i="8" s="1"/>
  <c r="R1468" i="8"/>
  <c r="S1468" i="8" s="1"/>
  <c r="R1177" i="8"/>
  <c r="S1177" i="8" s="1"/>
  <c r="R109" i="8"/>
  <c r="S109" i="8" s="1"/>
  <c r="R1761" i="8"/>
  <c r="S1761" i="8" s="1"/>
  <c r="R1752" i="8"/>
  <c r="S1752" i="8" s="1"/>
  <c r="R1741" i="8"/>
  <c r="S1741" i="8" s="1"/>
  <c r="R1696" i="8"/>
  <c r="S1696" i="8" s="1"/>
  <c r="R1672" i="8"/>
  <c r="S1672" i="8" s="1"/>
  <c r="R1621" i="8"/>
  <c r="S1621" i="8" s="1"/>
  <c r="R1601" i="8"/>
  <c r="S1601" i="8" s="1"/>
  <c r="R1497" i="8"/>
  <c r="S1497" i="8" s="1"/>
  <c r="R1485" i="8"/>
  <c r="S1485" i="8" s="1"/>
  <c r="R1476" i="8"/>
  <c r="S1476" i="8" s="1"/>
  <c r="R1465" i="8"/>
  <c r="S1465" i="8" s="1"/>
  <c r="R1337" i="8"/>
  <c r="S1337" i="8" s="1"/>
  <c r="R1216" i="8"/>
  <c r="S1216" i="8" s="1"/>
  <c r="R1169" i="8"/>
  <c r="S1169" i="8" s="1"/>
  <c r="R1120" i="8"/>
  <c r="S1120" i="8" s="1"/>
  <c r="R453" i="8"/>
  <c r="S453" i="8" s="1"/>
  <c r="R823" i="8"/>
  <c r="S823" i="8" s="1"/>
  <c r="R28" i="8"/>
  <c r="S28" i="8" s="1"/>
  <c r="R539" i="8"/>
  <c r="S539" i="8" s="1"/>
  <c r="R359" i="8"/>
  <c r="S359" i="8" s="1"/>
  <c r="R753" i="8"/>
  <c r="S753" i="8" s="1"/>
  <c r="R1757" i="8"/>
  <c r="S1757" i="8" s="1"/>
  <c r="R1668" i="8"/>
  <c r="S1668" i="8" s="1"/>
  <c r="R1469" i="8"/>
  <c r="S1469" i="8" s="1"/>
  <c r="R1296" i="8"/>
  <c r="S1296" i="8" s="1"/>
  <c r="R1007" i="8"/>
  <c r="S1007" i="8" s="1"/>
  <c r="R110" i="8"/>
  <c r="S110" i="8" s="1"/>
  <c r="R1753" i="8"/>
  <c r="S1753" i="8" s="1"/>
  <c r="R1676" i="8"/>
  <c r="S1676" i="8" s="1"/>
  <c r="R1489" i="8"/>
  <c r="S1489" i="8" s="1"/>
  <c r="R1477" i="8"/>
  <c r="S1477" i="8" s="1"/>
  <c r="R1281" i="8"/>
  <c r="S1281" i="8" s="1"/>
  <c r="R330" i="8"/>
  <c r="S330" i="8" s="1"/>
  <c r="R1760" i="8"/>
  <c r="S1760" i="8" s="1"/>
  <c r="R1749" i="8"/>
  <c r="S1749" i="8" s="1"/>
  <c r="R1737" i="8"/>
  <c r="S1737" i="8" s="1"/>
  <c r="R1669" i="8"/>
  <c r="S1669" i="8" s="1"/>
  <c r="R1620" i="8"/>
  <c r="S1620" i="8" s="1"/>
  <c r="R1597" i="8"/>
  <c r="S1597" i="8" s="1"/>
  <c r="R1493" i="8"/>
  <c r="S1493" i="8" s="1"/>
  <c r="R1484" i="8"/>
  <c r="S1484" i="8" s="1"/>
  <c r="R1473" i="8"/>
  <c r="S1473" i="8" s="1"/>
  <c r="R1416" i="8"/>
  <c r="S1416" i="8" s="1"/>
  <c r="R1313" i="8"/>
  <c r="S1313" i="8" s="1"/>
  <c r="R1185" i="8"/>
  <c r="S1185" i="8" s="1"/>
  <c r="R1168" i="8"/>
  <c r="S1168" i="8" s="1"/>
  <c r="R222" i="8"/>
  <c r="S222" i="8" s="1"/>
  <c r="R1010" i="8"/>
  <c r="S1010" i="8" s="1"/>
  <c r="R496" i="8"/>
  <c r="S496" i="8" s="1"/>
  <c r="R71" i="8"/>
  <c r="S71" i="8" s="1"/>
  <c r="R344" i="8"/>
  <c r="S344" i="8" s="1"/>
  <c r="R185" i="8"/>
  <c r="S185" i="8" s="1"/>
  <c r="R40" i="8"/>
  <c r="S40" i="8" s="1"/>
  <c r="R1390" i="8"/>
  <c r="S1390" i="8" s="1"/>
  <c r="R1389" i="8"/>
  <c r="S1389" i="8" s="1"/>
  <c r="R1393" i="8"/>
  <c r="S1393" i="8" s="1"/>
  <c r="R1397" i="8"/>
  <c r="S1397" i="8" s="1"/>
  <c r="R531" i="8"/>
  <c r="S531" i="8" s="1"/>
  <c r="R150" i="8"/>
  <c r="S150" i="8" s="1"/>
  <c r="R62" i="8"/>
  <c r="S62" i="8" s="1"/>
  <c r="R490" i="8"/>
  <c r="S490" i="8" s="1"/>
  <c r="R962" i="8"/>
  <c r="S962" i="8" s="1"/>
  <c r="R1724" i="8"/>
  <c r="S1724" i="8" s="1"/>
  <c r="R1725" i="8"/>
  <c r="S1725" i="8" s="1"/>
  <c r="R1341" i="8"/>
  <c r="S1341" i="8" s="1"/>
  <c r="R1353" i="8"/>
  <c r="S1353" i="8" s="1"/>
  <c r="R1345" i="8"/>
  <c r="S1345" i="8" s="1"/>
  <c r="R1457" i="8"/>
  <c r="S1457" i="8" s="1"/>
  <c r="R1402" i="8"/>
  <c r="S1402" i="8" s="1"/>
  <c r="R1405" i="8"/>
  <c r="S1405" i="8" s="1"/>
  <c r="R1413" i="8"/>
  <c r="S1413" i="8" s="1"/>
  <c r="R1409" i="8"/>
  <c r="S1409" i="8" s="1"/>
  <c r="R1401" i="8"/>
  <c r="S1401" i="8" s="1"/>
  <c r="R1205" i="8"/>
  <c r="S1205" i="8" s="1"/>
  <c r="R1209" i="8"/>
  <c r="S1209" i="8" s="1"/>
  <c r="R1241" i="8"/>
  <c r="S1241" i="8" s="1"/>
  <c r="R1249" i="8"/>
  <c r="S1249" i="8" s="1"/>
  <c r="R208" i="8"/>
  <c r="S208" i="8" s="1"/>
  <c r="R266" i="8"/>
  <c r="S266" i="8" s="1"/>
  <c r="R433" i="8"/>
  <c r="S433" i="8" s="1"/>
  <c r="R1522" i="8"/>
  <c r="S1522" i="8" s="1"/>
  <c r="R1533" i="8"/>
  <c r="S1533" i="8" s="1"/>
  <c r="R1525" i="8"/>
  <c r="S1525" i="8" s="1"/>
  <c r="R1521" i="8"/>
  <c r="S1521" i="8" s="1"/>
  <c r="R1537" i="8"/>
  <c r="S1537" i="8" s="1"/>
  <c r="R1541" i="8"/>
  <c r="S1541" i="8" s="1"/>
  <c r="R1438" i="8"/>
  <c r="S1438" i="8" s="1"/>
  <c r="R1445" i="8"/>
  <c r="S1445" i="8" s="1"/>
  <c r="R1461" i="8"/>
  <c r="S1461" i="8" s="1"/>
  <c r="R1437" i="8"/>
  <c r="S1437" i="8" s="1"/>
  <c r="R1453" i="8"/>
  <c r="S1453" i="8" s="1"/>
  <c r="R1449" i="8"/>
  <c r="S1449" i="8" s="1"/>
  <c r="R1426" i="8"/>
  <c r="S1426" i="8" s="1"/>
  <c r="R1429" i="8"/>
  <c r="S1429" i="8" s="1"/>
  <c r="R1433" i="8"/>
  <c r="S1433" i="8" s="1"/>
  <c r="R1658" i="8"/>
  <c r="S1658" i="8" s="1"/>
  <c r="R1661" i="8"/>
  <c r="S1661" i="8" s="1"/>
  <c r="R1665" i="8"/>
  <c r="S1665" i="8" s="1"/>
  <c r="R1706" i="8"/>
  <c r="S1706" i="8" s="1"/>
  <c r="R1709" i="8"/>
  <c r="S1709" i="8" s="1"/>
  <c r="R1713" i="8"/>
  <c r="S1713" i="8" s="1"/>
  <c r="R1545" i="8"/>
  <c r="S1545" i="8" s="1"/>
  <c r="R1765" i="8"/>
  <c r="S1765" i="8" s="1"/>
  <c r="R1733" i="8"/>
  <c r="S1733" i="8" s="1"/>
  <c r="R1701" i="8"/>
  <c r="S1701" i="8" s="1"/>
  <c r="R1693" i="8"/>
  <c r="S1693" i="8" s="1"/>
  <c r="R1617" i="8"/>
  <c r="S1617" i="8" s="1"/>
  <c r="R1609" i="8"/>
  <c r="S1609" i="8" s="1"/>
  <c r="R1421" i="8"/>
  <c r="S1421" i="8" s="1"/>
  <c r="R1358" i="8"/>
  <c r="S1358" i="8" s="1"/>
  <c r="R1225" i="8"/>
  <c r="S1225" i="8" s="1"/>
  <c r="R1161" i="8"/>
  <c r="S1161" i="8" s="1"/>
  <c r="R1129" i="8"/>
  <c r="S1129" i="8" s="1"/>
  <c r="R221" i="8"/>
  <c r="S221" i="8" s="1"/>
  <c r="R94" i="8"/>
  <c r="S94" i="8" s="1"/>
  <c r="R175" i="8"/>
  <c r="S175" i="8" s="1"/>
  <c r="R104" i="8"/>
  <c r="S104" i="8" s="1"/>
  <c r="R519" i="8"/>
  <c r="S519" i="8" s="1"/>
  <c r="R851" i="8"/>
  <c r="S851" i="8" s="1"/>
  <c r="R1764" i="8"/>
  <c r="S1764" i="8" s="1"/>
  <c r="R1756" i="8"/>
  <c r="S1756" i="8" s="1"/>
  <c r="R1748" i="8"/>
  <c r="S1748" i="8" s="1"/>
  <c r="R1740" i="8"/>
  <c r="S1740" i="8" s="1"/>
  <c r="R1732" i="8"/>
  <c r="S1732" i="8" s="1"/>
  <c r="R1700" i="8"/>
  <c r="S1700" i="8" s="1"/>
  <c r="R1692" i="8"/>
  <c r="S1692" i="8" s="1"/>
  <c r="R1673" i="8"/>
  <c r="S1673" i="8" s="1"/>
  <c r="R1624" i="8"/>
  <c r="S1624" i="8" s="1"/>
  <c r="R1616" i="8"/>
  <c r="S1616" i="8" s="1"/>
  <c r="R1608" i="8"/>
  <c r="S1608" i="8" s="1"/>
  <c r="R1600" i="8"/>
  <c r="S1600" i="8" s="1"/>
  <c r="R1496" i="8"/>
  <c r="S1496" i="8" s="1"/>
  <c r="R1488" i="8"/>
  <c r="S1488" i="8" s="1"/>
  <c r="R1480" i="8"/>
  <c r="S1480" i="8" s="1"/>
  <c r="R1472" i="8"/>
  <c r="S1472" i="8" s="1"/>
  <c r="R1464" i="8"/>
  <c r="S1464" i="8" s="1"/>
  <c r="R1420" i="8"/>
  <c r="S1420" i="8" s="1"/>
  <c r="R1381" i="8"/>
  <c r="S1381" i="8" s="1"/>
  <c r="R1357" i="8"/>
  <c r="S1357" i="8" s="1"/>
  <c r="R1336" i="8"/>
  <c r="S1336" i="8" s="1"/>
  <c r="R1297" i="8"/>
  <c r="S1297" i="8" s="1"/>
  <c r="R1224" i="8"/>
  <c r="S1224" i="8" s="1"/>
  <c r="R1192" i="8"/>
  <c r="S1192" i="8" s="1"/>
  <c r="R1176" i="8"/>
  <c r="S1176" i="8" s="1"/>
  <c r="R1160" i="8"/>
  <c r="S1160" i="8" s="1"/>
  <c r="R1144" i="8"/>
  <c r="S1144" i="8" s="1"/>
  <c r="R1128" i="8"/>
  <c r="S1128" i="8" s="1"/>
  <c r="R1112" i="8"/>
  <c r="S1112" i="8" s="1"/>
  <c r="R1080" i="8"/>
  <c r="S1080" i="8" s="1"/>
  <c r="R35" i="8"/>
  <c r="S35" i="8" s="1"/>
  <c r="R122" i="8"/>
  <c r="S122" i="8" s="1"/>
  <c r="R575" i="8"/>
  <c r="S575" i="8" s="1"/>
  <c r="R333" i="8"/>
  <c r="S333" i="8" s="1"/>
  <c r="R81" i="8"/>
  <c r="S81" i="8" s="1"/>
  <c r="R978" i="8"/>
  <c r="S978" i="8" s="1"/>
  <c r="R101" i="8"/>
  <c r="S101" i="8" s="1"/>
  <c r="R167" i="8"/>
  <c r="S167" i="8" s="1"/>
  <c r="R518" i="8"/>
  <c r="S518" i="8" s="1"/>
  <c r="R514" i="8"/>
  <c r="S514" i="8" s="1"/>
  <c r="R1656" i="8"/>
  <c r="S1656" i="8" s="1"/>
  <c r="R1384" i="8"/>
  <c r="S1384" i="8" s="1"/>
  <c r="R1145" i="8"/>
  <c r="S1145" i="8" s="1"/>
  <c r="R1113" i="8"/>
  <c r="S1113" i="8" s="1"/>
  <c r="R1081" i="8"/>
  <c r="S1081" i="8" s="1"/>
  <c r="R36" i="8"/>
  <c r="S36" i="8" s="1"/>
  <c r="R168" i="8"/>
  <c r="S168" i="8" s="1"/>
  <c r="R752" i="8"/>
  <c r="S752" i="8" s="1"/>
  <c r="R1729" i="8"/>
  <c r="S1729" i="8" s="1"/>
  <c r="R1697" i="8"/>
  <c r="S1697" i="8" s="1"/>
  <c r="R1613" i="8"/>
  <c r="S1613" i="8" s="1"/>
  <c r="R1605" i="8"/>
  <c r="S1605" i="8" s="1"/>
  <c r="R1417" i="8"/>
  <c r="S1417" i="8" s="1"/>
  <c r="R1364" i="8"/>
  <c r="S1364" i="8" s="1"/>
  <c r="R1217" i="8"/>
  <c r="S1217" i="8" s="1"/>
  <c r="R1153" i="8"/>
  <c r="S1153" i="8" s="1"/>
  <c r="R1137" i="8"/>
  <c r="S1137" i="8" s="1"/>
  <c r="R1121" i="8"/>
  <c r="S1121" i="8" s="1"/>
  <c r="R1105" i="8"/>
  <c r="S1105" i="8" s="1"/>
  <c r="R1089" i="8"/>
  <c r="S1089" i="8" s="1"/>
  <c r="R1073" i="8"/>
  <c r="S1073" i="8" s="1"/>
  <c r="R78" i="8"/>
  <c r="S78" i="8" s="1"/>
  <c r="R1065" i="8"/>
  <c r="S1065" i="8" s="1"/>
  <c r="R467" i="8"/>
  <c r="S467" i="8" s="1"/>
  <c r="R994" i="8"/>
  <c r="S994" i="8" s="1"/>
  <c r="R1318" i="8"/>
  <c r="S1318" i="8" s="1"/>
  <c r="R1322" i="8"/>
  <c r="S1322" i="8" s="1"/>
  <c r="R1319" i="8"/>
  <c r="S1319" i="8" s="1"/>
  <c r="R1323" i="8"/>
  <c r="S1323" i="8" s="1"/>
  <c r="R349" i="8"/>
  <c r="S349" i="8" s="1"/>
  <c r="R353" i="8"/>
  <c r="S353" i="8" s="1"/>
  <c r="R346" i="8"/>
  <c r="S346" i="8" s="1"/>
  <c r="R350" i="8"/>
  <c r="S350" i="8" s="1"/>
  <c r="R354" i="8"/>
  <c r="S354" i="8" s="1"/>
  <c r="R347" i="8"/>
  <c r="S347" i="8" s="1"/>
  <c r="R355" i="8"/>
  <c r="S355" i="8" s="1"/>
  <c r="R348" i="8"/>
  <c r="S348" i="8" s="1"/>
  <c r="R639" i="8"/>
  <c r="S639" i="8" s="1"/>
  <c r="R643" i="8"/>
  <c r="S643" i="8" s="1"/>
  <c r="R647" i="8"/>
  <c r="S647" i="8" s="1"/>
  <c r="R651" i="8"/>
  <c r="S651" i="8" s="1"/>
  <c r="R655" i="8"/>
  <c r="S655" i="8" s="1"/>
  <c r="R659" i="8"/>
  <c r="S659" i="8" s="1"/>
  <c r="R663" i="8"/>
  <c r="S663" i="8" s="1"/>
  <c r="R667" i="8"/>
  <c r="S667" i="8" s="1"/>
  <c r="R671" i="8"/>
  <c r="S671" i="8" s="1"/>
  <c r="R675" i="8"/>
  <c r="S675" i="8" s="1"/>
  <c r="R903" i="8"/>
  <c r="S903" i="8" s="1"/>
  <c r="R713" i="8"/>
  <c r="S713" i="8" s="1"/>
  <c r="R873" i="8"/>
  <c r="S873" i="8" s="1"/>
  <c r="R877" i="8"/>
  <c r="S877" i="8" s="1"/>
  <c r="R943" i="8"/>
  <c r="S943" i="8" s="1"/>
  <c r="R947" i="8"/>
  <c r="S947" i="8" s="1"/>
  <c r="R718" i="8"/>
  <c r="S718" i="8" s="1"/>
  <c r="R722" i="8"/>
  <c r="S722" i="8" s="1"/>
  <c r="R726" i="8"/>
  <c r="S726" i="8" s="1"/>
  <c r="R636" i="8"/>
  <c r="S636" i="8" s="1"/>
  <c r="R640" i="8"/>
  <c r="S640" i="8" s="1"/>
  <c r="R644" i="8"/>
  <c r="S644" i="8" s="1"/>
  <c r="R648" i="8"/>
  <c r="S648" i="8" s="1"/>
  <c r="R652" i="8"/>
  <c r="S652" i="8" s="1"/>
  <c r="R656" i="8"/>
  <c r="S656" i="8" s="1"/>
  <c r="R660" i="8"/>
  <c r="S660" i="8" s="1"/>
  <c r="R664" i="8"/>
  <c r="S664" i="8" s="1"/>
  <c r="R668" i="8"/>
  <c r="S668" i="8" s="1"/>
  <c r="R672" i="8"/>
  <c r="S672" i="8" s="1"/>
  <c r="R900" i="8"/>
  <c r="S900" i="8" s="1"/>
  <c r="R710" i="8"/>
  <c r="S710" i="8" s="1"/>
  <c r="R714" i="8"/>
  <c r="S714" i="8" s="1"/>
  <c r="R874" i="8"/>
  <c r="S874" i="8" s="1"/>
  <c r="R637" i="8"/>
  <c r="S637" i="8" s="1"/>
  <c r="R645" i="8"/>
  <c r="S645" i="8" s="1"/>
  <c r="R653" i="8"/>
  <c r="S653" i="8" s="1"/>
  <c r="R661" i="8"/>
  <c r="S661" i="8" s="1"/>
  <c r="R669" i="8"/>
  <c r="S669" i="8" s="1"/>
  <c r="R901" i="8"/>
  <c r="S901" i="8" s="1"/>
  <c r="R715" i="8"/>
  <c r="S715" i="8" s="1"/>
  <c r="R878" i="8"/>
  <c r="S878" i="8" s="1"/>
  <c r="R945" i="8"/>
  <c r="S945" i="8" s="1"/>
  <c r="R717" i="8"/>
  <c r="S717" i="8" s="1"/>
  <c r="R723" i="8"/>
  <c r="S723" i="8" s="1"/>
  <c r="R638" i="8"/>
  <c r="S638" i="8" s="1"/>
  <c r="R646" i="8"/>
  <c r="S646" i="8" s="1"/>
  <c r="R654" i="8"/>
  <c r="S654" i="8" s="1"/>
  <c r="R662" i="8"/>
  <c r="S662" i="8" s="1"/>
  <c r="R670" i="8"/>
  <c r="S670" i="8" s="1"/>
  <c r="R902" i="8"/>
  <c r="S902" i="8" s="1"/>
  <c r="R716" i="8"/>
  <c r="S716" i="8" s="1"/>
  <c r="R879" i="8"/>
  <c r="S879" i="8" s="1"/>
  <c r="R946" i="8"/>
  <c r="S946" i="8" s="1"/>
  <c r="R719" i="8"/>
  <c r="S719" i="8" s="1"/>
  <c r="R724" i="8"/>
  <c r="S724" i="8" s="1"/>
  <c r="R649" i="8"/>
  <c r="S649" i="8" s="1"/>
  <c r="R665" i="8"/>
  <c r="S665" i="8" s="1"/>
  <c r="R711" i="8"/>
  <c r="S711" i="8" s="1"/>
  <c r="R942" i="8"/>
  <c r="S942" i="8" s="1"/>
  <c r="R720" i="8"/>
  <c r="S720" i="8" s="1"/>
  <c r="R650" i="8"/>
  <c r="S650" i="8" s="1"/>
  <c r="R666" i="8"/>
  <c r="S666" i="8" s="1"/>
  <c r="R712" i="8"/>
  <c r="S712" i="8" s="1"/>
  <c r="R944" i="8"/>
  <c r="S944" i="8" s="1"/>
  <c r="R721" i="8"/>
  <c r="S721" i="8" s="1"/>
  <c r="R641" i="8"/>
  <c r="S641" i="8" s="1"/>
  <c r="R673" i="8"/>
  <c r="S673" i="8" s="1"/>
  <c r="R948" i="8"/>
  <c r="S948" i="8" s="1"/>
  <c r="R642" i="8"/>
  <c r="S642" i="8" s="1"/>
  <c r="R674" i="8"/>
  <c r="S674" i="8" s="1"/>
  <c r="R949" i="8"/>
  <c r="S949" i="8" s="1"/>
  <c r="R214" i="8"/>
  <c r="S214" i="8" s="1"/>
  <c r="R300" i="8"/>
  <c r="S300" i="8" s="1"/>
  <c r="R304" i="8"/>
  <c r="S304" i="8" s="1"/>
  <c r="R308" i="8"/>
  <c r="S308" i="8" s="1"/>
  <c r="R25" i="8"/>
  <c r="S25" i="8" s="1"/>
  <c r="R505" i="8"/>
  <c r="S505" i="8" s="1"/>
  <c r="R1043" i="8"/>
  <c r="S1043" i="8" s="1"/>
  <c r="R1047" i="8"/>
  <c r="S1047" i="8" s="1"/>
  <c r="R107" i="8"/>
  <c r="S107" i="8" s="1"/>
  <c r="R273" i="8"/>
  <c r="S273" i="8" s="1"/>
  <c r="R277" i="8"/>
  <c r="S277" i="8" s="1"/>
  <c r="R479" i="8"/>
  <c r="S479" i="8" s="1"/>
  <c r="R5" i="8"/>
  <c r="S5" i="8" s="1"/>
  <c r="R9" i="8"/>
  <c r="S9" i="8" s="1"/>
  <c r="R456" i="8"/>
  <c r="S456" i="8" s="1"/>
  <c r="R543" i="8"/>
  <c r="S543" i="8" s="1"/>
  <c r="R547" i="8"/>
  <c r="S547" i="8" s="1"/>
  <c r="R240" i="8"/>
  <c r="S240" i="8" s="1"/>
  <c r="R508" i="8"/>
  <c r="S508" i="8" s="1"/>
  <c r="R363" i="8"/>
  <c r="S363" i="8" s="1"/>
  <c r="R367" i="8"/>
  <c r="S367" i="8" s="1"/>
  <c r="R371" i="8"/>
  <c r="S371" i="8" s="1"/>
  <c r="R375" i="8"/>
  <c r="S375" i="8" s="1"/>
  <c r="R379" i="8"/>
  <c r="S379" i="8" s="1"/>
  <c r="R383" i="8"/>
  <c r="S383" i="8" s="1"/>
  <c r="R387" i="8"/>
  <c r="S387" i="8" s="1"/>
  <c r="R391" i="8"/>
  <c r="S391" i="8" s="1"/>
  <c r="R395" i="8"/>
  <c r="S395" i="8" s="1"/>
  <c r="R399" i="8"/>
  <c r="S399" i="8" s="1"/>
  <c r="R403" i="8"/>
  <c r="S403" i="8" s="1"/>
  <c r="R407" i="8"/>
  <c r="S407" i="8" s="1"/>
  <c r="R1018" i="8"/>
  <c r="S1018" i="8" s="1"/>
  <c r="R1022" i="8"/>
  <c r="S1022" i="8" s="1"/>
  <c r="R215" i="8"/>
  <c r="S215" i="8" s="1"/>
  <c r="R301" i="8"/>
  <c r="S301" i="8" s="1"/>
  <c r="R305" i="8"/>
  <c r="S305" i="8" s="1"/>
  <c r="R309" i="8"/>
  <c r="S309" i="8" s="1"/>
  <c r="R502" i="8"/>
  <c r="S502" i="8" s="1"/>
  <c r="R186" i="8"/>
  <c r="S186" i="8" s="1"/>
  <c r="R1044" i="8"/>
  <c r="S1044" i="8" s="1"/>
  <c r="R1048" i="8"/>
  <c r="S1048" i="8" s="1"/>
  <c r="R270" i="8"/>
  <c r="S270" i="8" s="1"/>
  <c r="R274" i="8"/>
  <c r="S274" i="8" s="1"/>
  <c r="R278" i="8"/>
  <c r="S278" i="8" s="1"/>
  <c r="R480" i="8"/>
  <c r="S480" i="8" s="1"/>
  <c r="R6" i="8"/>
  <c r="S6" i="8" s="1"/>
  <c r="R10" i="8"/>
  <c r="S10" i="8" s="1"/>
  <c r="R457" i="8"/>
  <c r="S457" i="8" s="1"/>
  <c r="R544" i="8"/>
  <c r="S544" i="8" s="1"/>
  <c r="R548" i="8"/>
  <c r="S548" i="8" s="1"/>
  <c r="R241" i="8"/>
  <c r="S241" i="8" s="1"/>
  <c r="R509" i="8"/>
  <c r="S509" i="8" s="1"/>
  <c r="R364" i="8"/>
  <c r="S364" i="8" s="1"/>
  <c r="R368" i="8"/>
  <c r="S368" i="8" s="1"/>
  <c r="R372" i="8"/>
  <c r="S372" i="8" s="1"/>
  <c r="R376" i="8"/>
  <c r="S376" i="8" s="1"/>
  <c r="R380" i="8"/>
  <c r="S380" i="8" s="1"/>
  <c r="R384" i="8"/>
  <c r="S384" i="8" s="1"/>
  <c r="R388" i="8"/>
  <c r="S388" i="8" s="1"/>
  <c r="R392" i="8"/>
  <c r="S392" i="8" s="1"/>
  <c r="R396" i="8"/>
  <c r="S396" i="8" s="1"/>
  <c r="R400" i="8"/>
  <c r="S400" i="8" s="1"/>
  <c r="R404" i="8"/>
  <c r="S404" i="8" s="1"/>
  <c r="R408" i="8"/>
  <c r="S408" i="8" s="1"/>
  <c r="R1019" i="8"/>
  <c r="S1019" i="8" s="1"/>
  <c r="R1023" i="8"/>
  <c r="S1023" i="8" s="1"/>
  <c r="R429" i="8"/>
  <c r="S429" i="8" s="1"/>
  <c r="R302" i="8"/>
  <c r="S302" i="8" s="1"/>
  <c r="R23" i="8"/>
  <c r="S23" i="8" s="1"/>
  <c r="R187" i="8"/>
  <c r="S187" i="8" s="1"/>
  <c r="R1049" i="8"/>
  <c r="S1049" i="8" s="1"/>
  <c r="R275" i="8"/>
  <c r="S275" i="8" s="1"/>
  <c r="R3" i="8"/>
  <c r="S3" i="8" s="1"/>
  <c r="R454" i="8"/>
  <c r="S454" i="8" s="1"/>
  <c r="R545" i="8"/>
  <c r="S545" i="8" s="1"/>
  <c r="R506" i="8"/>
  <c r="S506" i="8" s="1"/>
  <c r="R365" i="8"/>
  <c r="S365" i="8" s="1"/>
  <c r="R373" i="8"/>
  <c r="S373" i="8" s="1"/>
  <c r="R381" i="8"/>
  <c r="S381" i="8" s="1"/>
  <c r="R389" i="8"/>
  <c r="S389" i="8" s="1"/>
  <c r="R397" i="8"/>
  <c r="S397" i="8" s="1"/>
  <c r="R405" i="8"/>
  <c r="S405" i="8" s="1"/>
  <c r="R1020" i="8"/>
  <c r="S1020" i="8" s="1"/>
  <c r="R430" i="8"/>
  <c r="S430" i="8" s="1"/>
  <c r="R303" i="8"/>
  <c r="S303" i="8" s="1"/>
  <c r="R24" i="8"/>
  <c r="S24" i="8" s="1"/>
  <c r="R1042" i="8"/>
  <c r="S1042" i="8" s="1"/>
  <c r="R1050" i="8"/>
  <c r="S1050" i="8" s="1"/>
  <c r="R276" i="8"/>
  <c r="S276" i="8" s="1"/>
  <c r="R4" i="8"/>
  <c r="S4" i="8" s="1"/>
  <c r="R455" i="8"/>
  <c r="S455" i="8" s="1"/>
  <c r="R546" i="8"/>
  <c r="S546" i="8" s="1"/>
  <c r="R507" i="8"/>
  <c r="S507" i="8" s="1"/>
  <c r="R366" i="8"/>
  <c r="S366" i="8" s="1"/>
  <c r="R374" i="8"/>
  <c r="S374" i="8" s="1"/>
  <c r="R382" i="8"/>
  <c r="S382" i="8" s="1"/>
  <c r="R390" i="8"/>
  <c r="S390" i="8" s="1"/>
  <c r="R398" i="8"/>
  <c r="S398" i="8" s="1"/>
  <c r="R406" i="8"/>
  <c r="S406" i="8" s="1"/>
  <c r="R1021" i="8"/>
  <c r="S1021" i="8" s="1"/>
  <c r="R298" i="8"/>
  <c r="S298" i="8" s="1"/>
  <c r="R503" i="8"/>
  <c r="S503" i="8" s="1"/>
  <c r="R271" i="8"/>
  <c r="S271" i="8" s="1"/>
  <c r="R7" i="8"/>
  <c r="S7" i="8" s="1"/>
  <c r="R549" i="8"/>
  <c r="S549" i="8" s="1"/>
  <c r="R369" i="8"/>
  <c r="S369" i="8" s="1"/>
  <c r="R385" i="8"/>
  <c r="S385" i="8" s="1"/>
  <c r="R401" i="8"/>
  <c r="S401" i="8" s="1"/>
  <c r="R1024" i="8"/>
  <c r="S1024" i="8" s="1"/>
  <c r="R299" i="8"/>
  <c r="S299" i="8" s="1"/>
  <c r="R504" i="8"/>
  <c r="S504" i="8" s="1"/>
  <c r="R272" i="8"/>
  <c r="S272" i="8" s="1"/>
  <c r="R8" i="8"/>
  <c r="S8" i="8" s="1"/>
  <c r="R239" i="8"/>
  <c r="S239" i="8" s="1"/>
  <c r="R370" i="8"/>
  <c r="S370" i="8" s="1"/>
  <c r="R386" i="8"/>
  <c r="S386" i="8" s="1"/>
  <c r="R402" i="8"/>
  <c r="S402" i="8" s="1"/>
  <c r="R1025" i="8"/>
  <c r="S1025" i="8" s="1"/>
  <c r="R338" i="8"/>
  <c r="S338" i="8" s="1"/>
  <c r="R339" i="8"/>
  <c r="S339" i="8" s="1"/>
  <c r="R1721" i="8"/>
  <c r="S1721" i="8" s="1"/>
  <c r="R1717" i="8"/>
  <c r="S1717" i="8" s="1"/>
  <c r="R1681" i="8"/>
  <c r="S1681" i="8" s="1"/>
  <c r="R1649" i="8"/>
  <c r="S1649" i="8" s="1"/>
  <c r="R1641" i="8"/>
  <c r="S1641" i="8" s="1"/>
  <c r="R1625" i="8"/>
  <c r="S1625" i="8" s="1"/>
  <c r="R1593" i="8"/>
  <c r="S1593" i="8" s="1"/>
  <c r="R1585" i="8"/>
  <c r="S1585" i="8" s="1"/>
  <c r="R1577" i="8"/>
  <c r="S1577" i="8" s="1"/>
  <c r="R1569" i="8"/>
  <c r="S1569" i="8" s="1"/>
  <c r="R1561" i="8"/>
  <c r="S1561" i="8" s="1"/>
  <c r="R1553" i="8"/>
  <c r="S1553" i="8" s="1"/>
  <c r="R1549" i="8"/>
  <c r="S1549" i="8" s="1"/>
  <c r="R1517" i="8"/>
  <c r="S1517" i="8" s="1"/>
  <c r="R1509" i="8"/>
  <c r="S1509" i="8" s="1"/>
  <c r="R1505" i="8"/>
  <c r="S1505" i="8" s="1"/>
  <c r="R1377" i="8"/>
  <c r="S1377" i="8" s="1"/>
  <c r="R1369" i="8"/>
  <c r="S1369" i="8" s="1"/>
  <c r="R1273" i="8"/>
  <c r="S1273" i="8" s="1"/>
  <c r="R1257" i="8"/>
  <c r="S1257" i="8" s="1"/>
  <c r="R337" i="8"/>
  <c r="S337" i="8" s="1"/>
  <c r="R317" i="8"/>
  <c r="S317" i="8" s="1"/>
  <c r="R1017" i="8"/>
  <c r="S1017" i="8" s="1"/>
  <c r="R542" i="8"/>
  <c r="S542" i="8" s="1"/>
  <c r="R426" i="8"/>
  <c r="S426" i="8" s="1"/>
  <c r="R876" i="8"/>
  <c r="S876" i="8" s="1"/>
  <c r="R858" i="8"/>
  <c r="S858" i="8" s="1"/>
  <c r="R679" i="8"/>
  <c r="S679" i="8" s="1"/>
  <c r="R676" i="8"/>
  <c r="S676" i="8" s="1"/>
  <c r="R684" i="8"/>
  <c r="S684" i="8" s="1"/>
  <c r="R677" i="8"/>
  <c r="S677" i="8" s="1"/>
  <c r="R685" i="8"/>
  <c r="S685" i="8" s="1"/>
  <c r="R1230" i="8"/>
  <c r="S1230" i="8" s="1"/>
  <c r="R1234" i="8"/>
  <c r="S1234" i="8" s="1"/>
  <c r="R1238" i="8"/>
  <c r="S1238" i="8" s="1"/>
  <c r="R1227" i="8"/>
  <c r="S1227" i="8" s="1"/>
  <c r="R1231" i="8"/>
  <c r="S1231" i="8" s="1"/>
  <c r="R1235" i="8"/>
  <c r="S1235" i="8" s="1"/>
  <c r="R1239" i="8"/>
  <c r="S1239" i="8" s="1"/>
  <c r="R144" i="8"/>
  <c r="S144" i="8" s="1"/>
  <c r="R148" i="8"/>
  <c r="S148" i="8" s="1"/>
  <c r="R152" i="8"/>
  <c r="S152" i="8" s="1"/>
  <c r="R156" i="8"/>
  <c r="S156" i="8" s="1"/>
  <c r="R160" i="8"/>
  <c r="S160" i="8" s="1"/>
  <c r="R60" i="8"/>
  <c r="S60" i="8" s="1"/>
  <c r="R12" i="8"/>
  <c r="S12" i="8" s="1"/>
  <c r="R280" i="8"/>
  <c r="S280" i="8" s="1"/>
  <c r="R284" i="8"/>
  <c r="S284" i="8" s="1"/>
  <c r="R410" i="8"/>
  <c r="S410" i="8" s="1"/>
  <c r="R436" i="8"/>
  <c r="S436" i="8" s="1"/>
  <c r="R440" i="8"/>
  <c r="S440" i="8" s="1"/>
  <c r="R444" i="8"/>
  <c r="S444" i="8" s="1"/>
  <c r="R448" i="8"/>
  <c r="S448" i="8" s="1"/>
  <c r="R533" i="8"/>
  <c r="S533" i="8" s="1"/>
  <c r="R537" i="8"/>
  <c r="S537" i="8" s="1"/>
  <c r="R182" i="8"/>
  <c r="S182" i="8" s="1"/>
  <c r="R145" i="8"/>
  <c r="S145" i="8" s="1"/>
  <c r="R149" i="8"/>
  <c r="S149" i="8" s="1"/>
  <c r="R153" i="8"/>
  <c r="S153" i="8" s="1"/>
  <c r="R157" i="8"/>
  <c r="S157" i="8" s="1"/>
  <c r="R2" i="8"/>
  <c r="S2" i="8" s="1"/>
  <c r="R61" i="8"/>
  <c r="S61" i="8" s="1"/>
  <c r="R992" i="8"/>
  <c r="S992" i="8" s="1"/>
  <c r="R281" i="8"/>
  <c r="S281" i="8" s="1"/>
  <c r="R285" i="8"/>
  <c r="S285" i="8" s="1"/>
  <c r="R437" i="8"/>
  <c r="S437" i="8" s="1"/>
  <c r="R441" i="8"/>
  <c r="S441" i="8" s="1"/>
  <c r="R445" i="8"/>
  <c r="S445" i="8" s="1"/>
  <c r="R449" i="8"/>
  <c r="S449" i="8" s="1"/>
  <c r="R534" i="8"/>
  <c r="S534" i="8" s="1"/>
  <c r="R538" i="8"/>
  <c r="S538" i="8" s="1"/>
  <c r="R183" i="8"/>
  <c r="S183" i="8" s="1"/>
  <c r="R143" i="8"/>
  <c r="S143" i="8" s="1"/>
  <c r="R151" i="8"/>
  <c r="S151" i="8" s="1"/>
  <c r="R159" i="8"/>
  <c r="S159" i="8" s="1"/>
  <c r="R11" i="8"/>
  <c r="S11" i="8" s="1"/>
  <c r="R283" i="8"/>
  <c r="S283" i="8" s="1"/>
  <c r="R435" i="8"/>
  <c r="S435" i="8" s="1"/>
  <c r="R443" i="8"/>
  <c r="S443" i="8" s="1"/>
  <c r="R532" i="8"/>
  <c r="S532" i="8" s="1"/>
  <c r="R181" i="8"/>
  <c r="S181" i="8" s="1"/>
  <c r="R146" i="8"/>
  <c r="S146" i="8" s="1"/>
  <c r="R154" i="8"/>
  <c r="S154" i="8" s="1"/>
  <c r="R58" i="8"/>
  <c r="S58" i="8" s="1"/>
  <c r="R993" i="8"/>
  <c r="S993" i="8" s="1"/>
  <c r="R286" i="8"/>
  <c r="S286" i="8" s="1"/>
  <c r="R438" i="8"/>
  <c r="S438" i="8" s="1"/>
  <c r="R446" i="8"/>
  <c r="S446" i="8" s="1"/>
  <c r="R535" i="8"/>
  <c r="S535" i="8" s="1"/>
  <c r="R580" i="8"/>
  <c r="S580" i="8" s="1"/>
  <c r="R195" i="8"/>
  <c r="S195" i="8" s="1"/>
  <c r="R108" i="8"/>
  <c r="S108" i="8" s="1"/>
  <c r="R581" i="8"/>
  <c r="S581" i="8" s="1"/>
  <c r="R26" i="8"/>
  <c r="S26" i="8" s="1"/>
  <c r="R481" i="8"/>
  <c r="S481" i="8" s="1"/>
  <c r="R1326" i="8"/>
  <c r="S1326" i="8" s="1"/>
  <c r="R1330" i="8"/>
  <c r="S1330" i="8" s="1"/>
  <c r="R1327" i="8"/>
  <c r="S1327" i="8" s="1"/>
  <c r="R1331" i="8"/>
  <c r="S1331" i="8" s="1"/>
  <c r="R1242" i="8"/>
  <c r="S1242" i="8" s="1"/>
  <c r="R1246" i="8"/>
  <c r="S1246" i="8" s="1"/>
  <c r="R1243" i="8"/>
  <c r="S1243" i="8" s="1"/>
  <c r="R1247" i="8"/>
  <c r="S1247" i="8" s="1"/>
  <c r="R730" i="8"/>
  <c r="S730" i="8" s="1"/>
  <c r="R734" i="8"/>
  <c r="S734" i="8" s="1"/>
  <c r="R738" i="8"/>
  <c r="S738" i="8" s="1"/>
  <c r="R728" i="8"/>
  <c r="S728" i="8" s="1"/>
  <c r="R733" i="8"/>
  <c r="S733" i="8" s="1"/>
  <c r="R739" i="8"/>
  <c r="S739" i="8" s="1"/>
  <c r="R729" i="8"/>
  <c r="S729" i="8" s="1"/>
  <c r="R735" i="8"/>
  <c r="S735" i="8" s="1"/>
  <c r="R740" i="8"/>
  <c r="S740" i="8" s="1"/>
  <c r="R731" i="8"/>
  <c r="S731" i="8" s="1"/>
  <c r="R732" i="8"/>
  <c r="S732" i="8" s="1"/>
  <c r="R736" i="8"/>
  <c r="S736" i="8" s="1"/>
  <c r="R737" i="8"/>
  <c r="S737" i="8" s="1"/>
  <c r="R210" i="8"/>
  <c r="S210" i="8" s="1"/>
  <c r="R521" i="8"/>
  <c r="S521" i="8" s="1"/>
  <c r="R525" i="8"/>
  <c r="S525" i="8" s="1"/>
  <c r="R431" i="8"/>
  <c r="S431" i="8" s="1"/>
  <c r="R213" i="8"/>
  <c r="S213" i="8" s="1"/>
  <c r="R256" i="8"/>
  <c r="S256" i="8" s="1"/>
  <c r="R260" i="8"/>
  <c r="S260" i="8" s="1"/>
  <c r="R264" i="8"/>
  <c r="S264" i="8" s="1"/>
  <c r="R268" i="8"/>
  <c r="S268" i="8" s="1"/>
  <c r="R229" i="8"/>
  <c r="S229" i="8" s="1"/>
  <c r="R233" i="8"/>
  <c r="S233" i="8" s="1"/>
  <c r="R207" i="8"/>
  <c r="S207" i="8" s="1"/>
  <c r="R211" i="8"/>
  <c r="S211" i="8" s="1"/>
  <c r="R522" i="8"/>
  <c r="S522" i="8" s="1"/>
  <c r="R526" i="8"/>
  <c r="S526" i="8" s="1"/>
  <c r="R432" i="8"/>
  <c r="S432" i="8" s="1"/>
  <c r="R253" i="8"/>
  <c r="S253" i="8" s="1"/>
  <c r="R257" i="8"/>
  <c r="S257" i="8" s="1"/>
  <c r="R261" i="8"/>
  <c r="S261" i="8" s="1"/>
  <c r="R265" i="8"/>
  <c r="S265" i="8" s="1"/>
  <c r="R226" i="8"/>
  <c r="S226" i="8" s="1"/>
  <c r="R230" i="8"/>
  <c r="S230" i="8" s="1"/>
  <c r="R234" i="8"/>
  <c r="S234" i="8" s="1"/>
  <c r="R209" i="8"/>
  <c r="S209" i="8" s="1"/>
  <c r="R524" i="8"/>
  <c r="S524" i="8" s="1"/>
  <c r="R434" i="8"/>
  <c r="S434" i="8" s="1"/>
  <c r="R259" i="8"/>
  <c r="S259" i="8" s="1"/>
  <c r="R267" i="8"/>
  <c r="S267" i="8" s="1"/>
  <c r="R232" i="8"/>
  <c r="S232" i="8" s="1"/>
  <c r="R212" i="8"/>
  <c r="S212" i="8" s="1"/>
  <c r="R527" i="8"/>
  <c r="S527" i="8" s="1"/>
  <c r="R254" i="8"/>
  <c r="S254" i="8" s="1"/>
  <c r="R262" i="8"/>
  <c r="S262" i="8" s="1"/>
  <c r="R227" i="8"/>
  <c r="S227" i="8" s="1"/>
  <c r="R235" i="8"/>
  <c r="S235" i="8" s="1"/>
  <c r="R692" i="8"/>
  <c r="S692" i="8" s="1"/>
  <c r="R696" i="8"/>
  <c r="S696" i="8" s="1"/>
  <c r="R700" i="8"/>
  <c r="S700" i="8" s="1"/>
  <c r="R585" i="8"/>
  <c r="S585" i="8" s="1"/>
  <c r="R589" i="8"/>
  <c r="S589" i="8" s="1"/>
  <c r="R593" i="8"/>
  <c r="S593" i="8" s="1"/>
  <c r="R597" i="8"/>
  <c r="S597" i="8" s="1"/>
  <c r="R601" i="8"/>
  <c r="S601" i="8" s="1"/>
  <c r="R605" i="8"/>
  <c r="S605" i="8" s="1"/>
  <c r="R622" i="8"/>
  <c r="S622" i="8" s="1"/>
  <c r="R626" i="8"/>
  <c r="S626" i="8" s="1"/>
  <c r="R693" i="8"/>
  <c r="S693" i="8" s="1"/>
  <c r="R697" i="8"/>
  <c r="S697" i="8" s="1"/>
  <c r="R701" i="8"/>
  <c r="S701" i="8" s="1"/>
  <c r="R586" i="8"/>
  <c r="S586" i="8" s="1"/>
  <c r="R590" i="8"/>
  <c r="S590" i="8" s="1"/>
  <c r="R594" i="8"/>
  <c r="S594" i="8" s="1"/>
  <c r="R598" i="8"/>
  <c r="S598" i="8" s="1"/>
  <c r="R602" i="8"/>
  <c r="S602" i="8" s="1"/>
  <c r="R619" i="8"/>
  <c r="S619" i="8" s="1"/>
  <c r="R623" i="8"/>
  <c r="S623" i="8" s="1"/>
  <c r="R825" i="8"/>
  <c r="S825" i="8" s="1"/>
  <c r="R698" i="8"/>
  <c r="S698" i="8" s="1"/>
  <c r="R587" i="8"/>
  <c r="S587" i="8" s="1"/>
  <c r="R595" i="8"/>
  <c r="S595" i="8" s="1"/>
  <c r="R603" i="8"/>
  <c r="S603" i="8" s="1"/>
  <c r="R624" i="8"/>
  <c r="S624" i="8" s="1"/>
  <c r="R691" i="8"/>
  <c r="S691" i="8" s="1"/>
  <c r="R699" i="8"/>
  <c r="S699" i="8" s="1"/>
  <c r="R588" i="8"/>
  <c r="S588" i="8" s="1"/>
  <c r="R596" i="8"/>
  <c r="S596" i="8" s="1"/>
  <c r="R604" i="8"/>
  <c r="S604" i="8" s="1"/>
  <c r="R625" i="8"/>
  <c r="S625" i="8" s="1"/>
  <c r="R583" i="8"/>
  <c r="S583" i="8" s="1"/>
  <c r="R599" i="8"/>
  <c r="S599" i="8" s="1"/>
  <c r="R584" i="8"/>
  <c r="S584" i="8" s="1"/>
  <c r="R600" i="8"/>
  <c r="S600" i="8" s="1"/>
  <c r="R591" i="8"/>
  <c r="S591" i="8" s="1"/>
  <c r="R592" i="8"/>
  <c r="S592" i="8" s="1"/>
  <c r="R488" i="8"/>
  <c r="S488" i="8" s="1"/>
  <c r="R492" i="8"/>
  <c r="S492" i="8" s="1"/>
  <c r="R952" i="8"/>
  <c r="S952" i="8" s="1"/>
  <c r="R956" i="8"/>
  <c r="S956" i="8" s="1"/>
  <c r="R960" i="8"/>
  <c r="S960" i="8" s="1"/>
  <c r="R964" i="8"/>
  <c r="S964" i="8" s="1"/>
  <c r="R485" i="8"/>
  <c r="S485" i="8" s="1"/>
  <c r="R489" i="8"/>
  <c r="S489" i="8" s="1"/>
  <c r="R493" i="8"/>
  <c r="S493" i="8" s="1"/>
  <c r="R953" i="8"/>
  <c r="S953" i="8" s="1"/>
  <c r="R957" i="8"/>
  <c r="S957" i="8" s="1"/>
  <c r="R961" i="8"/>
  <c r="S961" i="8" s="1"/>
  <c r="R965" i="8"/>
  <c r="S965" i="8" s="1"/>
  <c r="R491" i="8"/>
  <c r="S491" i="8" s="1"/>
  <c r="R955" i="8"/>
  <c r="S955" i="8" s="1"/>
  <c r="R963" i="8"/>
  <c r="S963" i="8" s="1"/>
  <c r="R486" i="8"/>
  <c r="S486" i="8" s="1"/>
  <c r="R494" i="8"/>
  <c r="S494" i="8" s="1"/>
  <c r="R958" i="8"/>
  <c r="S958" i="8" s="1"/>
  <c r="R763" i="8"/>
  <c r="S763" i="8" s="1"/>
  <c r="R767" i="8"/>
  <c r="S767" i="8" s="1"/>
  <c r="R771" i="8"/>
  <c r="S771" i="8" s="1"/>
  <c r="R764" i="8"/>
  <c r="S764" i="8" s="1"/>
  <c r="R768" i="8"/>
  <c r="S768" i="8" s="1"/>
  <c r="R765" i="8"/>
  <c r="S765" i="8" s="1"/>
  <c r="R766" i="8"/>
  <c r="S766" i="8" s="1"/>
  <c r="R769" i="8"/>
  <c r="S769" i="8" s="1"/>
  <c r="R770" i="8"/>
  <c r="S770" i="8" s="1"/>
  <c r="R1290" i="8"/>
  <c r="S1290" i="8" s="1"/>
  <c r="R1287" i="8"/>
  <c r="S1287" i="8" s="1"/>
  <c r="R984" i="8"/>
  <c r="S984" i="8" s="1"/>
  <c r="R985" i="8"/>
  <c r="S985" i="8" s="1"/>
  <c r="R1720" i="8"/>
  <c r="S1720" i="8" s="1"/>
  <c r="R1712" i="8"/>
  <c r="S1712" i="8" s="1"/>
  <c r="R1704" i="8"/>
  <c r="S1704" i="8" s="1"/>
  <c r="R1680" i="8"/>
  <c r="S1680" i="8" s="1"/>
  <c r="R1664" i="8"/>
  <c r="S1664" i="8" s="1"/>
  <c r="R1648" i="8"/>
  <c r="S1648" i="8" s="1"/>
  <c r="R1640" i="8"/>
  <c r="S1640" i="8" s="1"/>
  <c r="R1592" i="8"/>
  <c r="S1592" i="8" s="1"/>
  <c r="R1584" i="8"/>
  <c r="S1584" i="8" s="1"/>
  <c r="R1576" i="8"/>
  <c r="S1576" i="8" s="1"/>
  <c r="R1568" i="8"/>
  <c r="S1568" i="8" s="1"/>
  <c r="R1560" i="8"/>
  <c r="S1560" i="8" s="1"/>
  <c r="R1552" i="8"/>
  <c r="S1552" i="8" s="1"/>
  <c r="R1544" i="8"/>
  <c r="S1544" i="8" s="1"/>
  <c r="R1536" i="8"/>
  <c r="S1536" i="8" s="1"/>
  <c r="R1528" i="8"/>
  <c r="S1528" i="8" s="1"/>
  <c r="R1520" i="8"/>
  <c r="S1520" i="8" s="1"/>
  <c r="R1512" i="8"/>
  <c r="S1512" i="8" s="1"/>
  <c r="R1504" i="8"/>
  <c r="S1504" i="8" s="1"/>
  <c r="R1460" i="8"/>
  <c r="S1460" i="8" s="1"/>
  <c r="R1452" i="8"/>
  <c r="S1452" i="8" s="1"/>
  <c r="R1444" i="8"/>
  <c r="S1444" i="8" s="1"/>
  <c r="R1436" i="8"/>
  <c r="S1436" i="8" s="1"/>
  <c r="R1428" i="8"/>
  <c r="S1428" i="8" s="1"/>
  <c r="R1412" i="8"/>
  <c r="S1412" i="8" s="1"/>
  <c r="R1404" i="8"/>
  <c r="S1404" i="8" s="1"/>
  <c r="R1400" i="8"/>
  <c r="S1400" i="8" s="1"/>
  <c r="R1392" i="8"/>
  <c r="S1392" i="8" s="1"/>
  <c r="R1376" i="8"/>
  <c r="S1376" i="8" s="1"/>
  <c r="R1368" i="8"/>
  <c r="S1368" i="8" s="1"/>
  <c r="R1328" i="8"/>
  <c r="S1328" i="8" s="1"/>
  <c r="R1280" i="8"/>
  <c r="S1280" i="8" s="1"/>
  <c r="R1264" i="8"/>
  <c r="S1264" i="8" s="1"/>
  <c r="R1248" i="8"/>
  <c r="S1248" i="8" s="1"/>
  <c r="R1240" i="8"/>
  <c r="S1240" i="8" s="1"/>
  <c r="R1208" i="8"/>
  <c r="S1208" i="8" s="1"/>
  <c r="R336" i="8"/>
  <c r="S336" i="8" s="1"/>
  <c r="R990" i="8"/>
  <c r="S990" i="8" s="1"/>
  <c r="R188" i="8"/>
  <c r="S188" i="8" s="1"/>
  <c r="R678" i="8"/>
  <c r="S678" i="8" s="1"/>
  <c r="R959" i="8"/>
  <c r="S959" i="8" s="1"/>
  <c r="R287" i="8"/>
  <c r="S287" i="8" s="1"/>
  <c r="R528" i="8"/>
  <c r="S528" i="8" s="1"/>
  <c r="R377" i="8"/>
  <c r="S377" i="8" s="1"/>
  <c r="R1045" i="8"/>
  <c r="S1045" i="8" s="1"/>
  <c r="R915" i="8"/>
  <c r="S915" i="8" s="1"/>
  <c r="R694" i="8"/>
  <c r="S694" i="8" s="1"/>
  <c r="R761" i="8"/>
  <c r="S761" i="8" s="1"/>
  <c r="R824" i="8"/>
  <c r="S824" i="8" s="1"/>
  <c r="R702" i="8"/>
  <c r="S702" i="8" s="1"/>
  <c r="R140" i="8"/>
  <c r="S140" i="8" s="1"/>
  <c r="R218" i="8"/>
  <c r="S218" i="8" s="1"/>
  <c r="R295" i="8"/>
  <c r="S295" i="8" s="1"/>
  <c r="R141" i="8"/>
  <c r="S141" i="8" s="1"/>
  <c r="R217" i="8"/>
  <c r="S217" i="8" s="1"/>
  <c r="R296" i="8"/>
  <c r="S296" i="8" s="1"/>
  <c r="R1310" i="8"/>
  <c r="S1310" i="8" s="1"/>
  <c r="R1314" i="8"/>
  <c r="S1314" i="8" s="1"/>
  <c r="R1311" i="8"/>
  <c r="S1311" i="8" s="1"/>
  <c r="R1315" i="8"/>
  <c r="S1315" i="8" s="1"/>
  <c r="R1040" i="8"/>
  <c r="S1040" i="8" s="1"/>
  <c r="R123" i="8"/>
  <c r="S123" i="8" s="1"/>
  <c r="R18" i="8"/>
  <c r="S18" i="8" s="1"/>
  <c r="R529" i="8"/>
  <c r="S529" i="8" s="1"/>
  <c r="R1041" i="8"/>
  <c r="S1041" i="8" s="1"/>
  <c r="R515" i="8"/>
  <c r="S515" i="8" s="1"/>
  <c r="R170" i="8"/>
  <c r="S170" i="8" s="1"/>
  <c r="R880" i="8"/>
  <c r="S880" i="8" s="1"/>
  <c r="R572" i="8"/>
  <c r="S572" i="8" s="1"/>
  <c r="R576" i="8"/>
  <c r="S576" i="8" s="1"/>
  <c r="R950" i="8"/>
  <c r="S950" i="8" s="1"/>
  <c r="R573" i="8"/>
  <c r="S573" i="8" s="1"/>
  <c r="R577" i="8"/>
  <c r="S577" i="8" s="1"/>
  <c r="R742" i="8"/>
  <c r="S742" i="8" s="1"/>
  <c r="R579" i="8"/>
  <c r="S579" i="8" s="1"/>
  <c r="R574" i="8"/>
  <c r="S574" i="8" s="1"/>
  <c r="R1763" i="8"/>
  <c r="S1763" i="8" s="1"/>
  <c r="R1759" i="8"/>
  <c r="S1759" i="8" s="1"/>
  <c r="R1755" i="8"/>
  <c r="S1755" i="8" s="1"/>
  <c r="R1751" i="8"/>
  <c r="S1751" i="8" s="1"/>
  <c r="R1747" i="8"/>
  <c r="S1747" i="8" s="1"/>
  <c r="R1743" i="8"/>
  <c r="S1743" i="8" s="1"/>
  <c r="R1739" i="8"/>
  <c r="S1739" i="8" s="1"/>
  <c r="R1735" i="8"/>
  <c r="S1735" i="8" s="1"/>
  <c r="R1731" i="8"/>
  <c r="S1731" i="8" s="1"/>
  <c r="R1727" i="8"/>
  <c r="S1727" i="8" s="1"/>
  <c r="R1723" i="8"/>
  <c r="S1723" i="8" s="1"/>
  <c r="R1719" i="8"/>
  <c r="S1719" i="8" s="1"/>
  <c r="R1715" i="8"/>
  <c r="S1715" i="8" s="1"/>
  <c r="R1711" i="8"/>
  <c r="S1711" i="8" s="1"/>
  <c r="R1707" i="8"/>
  <c r="S1707" i="8" s="1"/>
  <c r="R1703" i="8"/>
  <c r="S1703" i="8" s="1"/>
  <c r="R1699" i="8"/>
  <c r="S1699" i="8" s="1"/>
  <c r="R1695" i="8"/>
  <c r="S1695" i="8" s="1"/>
  <c r="R1683" i="8"/>
  <c r="S1683" i="8" s="1"/>
  <c r="R1679" i="8"/>
  <c r="S1679" i="8" s="1"/>
  <c r="R1675" i="8"/>
  <c r="S1675" i="8" s="1"/>
  <c r="R1671" i="8"/>
  <c r="S1671" i="8" s="1"/>
  <c r="R1667" i="8"/>
  <c r="S1667" i="8" s="1"/>
  <c r="R1663" i="8"/>
  <c r="S1663" i="8" s="1"/>
  <c r="R1659" i="8"/>
  <c r="S1659" i="8" s="1"/>
  <c r="R1651" i="8"/>
  <c r="S1651" i="8" s="1"/>
  <c r="R1647" i="8"/>
  <c r="S1647" i="8" s="1"/>
  <c r="R1643" i="8"/>
  <c r="S1643" i="8" s="1"/>
  <c r="R1639" i="8"/>
  <c r="S1639" i="8" s="1"/>
  <c r="R1635" i="8"/>
  <c r="S1635" i="8" s="1"/>
  <c r="R1631" i="8"/>
  <c r="S1631" i="8" s="1"/>
  <c r="R1627" i="8"/>
  <c r="S1627" i="8" s="1"/>
  <c r="R1623" i="8"/>
  <c r="S1623" i="8" s="1"/>
  <c r="R1619" i="8"/>
  <c r="S1619" i="8" s="1"/>
  <c r="R1615" i="8"/>
  <c r="S1615" i="8" s="1"/>
  <c r="R1611" i="8"/>
  <c r="S1611" i="8" s="1"/>
  <c r="R1607" i="8"/>
  <c r="S1607" i="8" s="1"/>
  <c r="R1603" i="8"/>
  <c r="S1603" i="8" s="1"/>
  <c r="R1599" i="8"/>
  <c r="S1599" i="8" s="1"/>
  <c r="R1595" i="8"/>
  <c r="S1595" i="8" s="1"/>
  <c r="R1591" i="8"/>
  <c r="S1591" i="8" s="1"/>
  <c r="R1587" i="8"/>
  <c r="S1587" i="8" s="1"/>
  <c r="R1583" i="8"/>
  <c r="S1583" i="8" s="1"/>
  <c r="R1579" i="8"/>
  <c r="S1579" i="8" s="1"/>
  <c r="R1575" i="8"/>
  <c r="S1575" i="8" s="1"/>
  <c r="R1571" i="8"/>
  <c r="S1571" i="8" s="1"/>
  <c r="R1567" i="8"/>
  <c r="S1567" i="8" s="1"/>
  <c r="R1563" i="8"/>
  <c r="S1563" i="8" s="1"/>
  <c r="R1559" i="8"/>
  <c r="S1559" i="8" s="1"/>
  <c r="R1555" i="8"/>
  <c r="S1555" i="8" s="1"/>
  <c r="R1551" i="8"/>
  <c r="S1551" i="8" s="1"/>
  <c r="R1547" i="8"/>
  <c r="S1547" i="8" s="1"/>
  <c r="R1543" i="8"/>
  <c r="S1543" i="8" s="1"/>
  <c r="R1539" i="8"/>
  <c r="S1539" i="8" s="1"/>
  <c r="R1535" i="8"/>
  <c r="S1535" i="8" s="1"/>
  <c r="R1531" i="8"/>
  <c r="S1531" i="8" s="1"/>
  <c r="R1527" i="8"/>
  <c r="S1527" i="8" s="1"/>
  <c r="R1523" i="8"/>
  <c r="S1523" i="8" s="1"/>
  <c r="R1519" i="8"/>
  <c r="S1519" i="8" s="1"/>
  <c r="R1515" i="8"/>
  <c r="S1515" i="8" s="1"/>
  <c r="R1511" i="8"/>
  <c r="S1511" i="8" s="1"/>
  <c r="R1507" i="8"/>
  <c r="S1507" i="8" s="1"/>
  <c r="R1503" i="8"/>
  <c r="S1503" i="8" s="1"/>
  <c r="R1499" i="8"/>
  <c r="S1499" i="8" s="1"/>
  <c r="R1495" i="8"/>
  <c r="S1495" i="8" s="1"/>
  <c r="R1491" i="8"/>
  <c r="S1491" i="8" s="1"/>
  <c r="R1487" i="8"/>
  <c r="S1487" i="8" s="1"/>
  <c r="R1483" i="8"/>
  <c r="S1483" i="8" s="1"/>
  <c r="R1479" i="8"/>
  <c r="S1479" i="8" s="1"/>
  <c r="R1475" i="8"/>
  <c r="S1475" i="8" s="1"/>
  <c r="R1471" i="8"/>
  <c r="S1471" i="8" s="1"/>
  <c r="R1467" i="8"/>
  <c r="S1467" i="8" s="1"/>
  <c r="R1463" i="8"/>
  <c r="S1463" i="8" s="1"/>
  <c r="R1459" i="8"/>
  <c r="S1459" i="8" s="1"/>
  <c r="R1455" i="8"/>
  <c r="S1455" i="8" s="1"/>
  <c r="R1451" i="8"/>
  <c r="S1451" i="8" s="1"/>
  <c r="R1447" i="8"/>
  <c r="S1447" i="8" s="1"/>
  <c r="R1443" i="8"/>
  <c r="S1443" i="8" s="1"/>
  <c r="R1439" i="8"/>
  <c r="S1439" i="8" s="1"/>
  <c r="R1435" i="8"/>
  <c r="S1435" i="8" s="1"/>
  <c r="R1431" i="8"/>
  <c r="S1431" i="8" s="1"/>
  <c r="R1427" i="8"/>
  <c r="S1427" i="8" s="1"/>
  <c r="R1423" i="8"/>
  <c r="S1423" i="8" s="1"/>
  <c r="R1419" i="8"/>
  <c r="S1419" i="8" s="1"/>
  <c r="R1415" i="8"/>
  <c r="S1415" i="8" s="1"/>
  <c r="R1411" i="8"/>
  <c r="S1411" i="8" s="1"/>
  <c r="R1407" i="8"/>
  <c r="S1407" i="8" s="1"/>
  <c r="R1403" i="8"/>
  <c r="S1403" i="8" s="1"/>
  <c r="R1399" i="8"/>
  <c r="S1399" i="8" s="1"/>
  <c r="R1395" i="8"/>
  <c r="S1395" i="8" s="1"/>
  <c r="R1391" i="8"/>
  <c r="S1391" i="8" s="1"/>
  <c r="R1387" i="8"/>
  <c r="S1387" i="8" s="1"/>
  <c r="R1383" i="8"/>
  <c r="S1383" i="8" s="1"/>
  <c r="R1379" i="8"/>
  <c r="S1379" i="8" s="1"/>
  <c r="R1375" i="8"/>
  <c r="S1375" i="8" s="1"/>
  <c r="R1371" i="8"/>
  <c r="S1371" i="8" s="1"/>
  <c r="R1366" i="8"/>
  <c r="S1366" i="8" s="1"/>
  <c r="R1356" i="8"/>
  <c r="S1356" i="8" s="1"/>
  <c r="R1349" i="8"/>
  <c r="S1349" i="8" s="1"/>
  <c r="R1325" i="8"/>
  <c r="S1325" i="8" s="1"/>
  <c r="R1317" i="8"/>
  <c r="S1317" i="8" s="1"/>
  <c r="R1309" i="8"/>
  <c r="S1309" i="8" s="1"/>
  <c r="R1277" i="8"/>
  <c r="S1277" i="8" s="1"/>
  <c r="R1269" i="8"/>
  <c r="S1269" i="8" s="1"/>
  <c r="R1261" i="8"/>
  <c r="S1261" i="8" s="1"/>
  <c r="R1245" i="8"/>
  <c r="S1245" i="8" s="1"/>
  <c r="R1237" i="8"/>
  <c r="S1237" i="8" s="1"/>
  <c r="R1229" i="8"/>
  <c r="S1229" i="8" s="1"/>
  <c r="R1213" i="8"/>
  <c r="S1213" i="8" s="1"/>
  <c r="R1189" i="8"/>
  <c r="S1189" i="8" s="1"/>
  <c r="R1181" i="8"/>
  <c r="S1181" i="8" s="1"/>
  <c r="R1173" i="8"/>
  <c r="S1173" i="8" s="1"/>
  <c r="R1157" i="8"/>
  <c r="S1157" i="8" s="1"/>
  <c r="R1149" i="8"/>
  <c r="S1149" i="8" s="1"/>
  <c r="R1141" i="8"/>
  <c r="S1141" i="8" s="1"/>
  <c r="R1133" i="8"/>
  <c r="S1133" i="8" s="1"/>
  <c r="R1125" i="8"/>
  <c r="S1125" i="8" s="1"/>
  <c r="R1117" i="8"/>
  <c r="S1117" i="8" s="1"/>
  <c r="R1109" i="8"/>
  <c r="S1109" i="8" s="1"/>
  <c r="R1085" i="8"/>
  <c r="S1085" i="8" s="1"/>
  <c r="R1077" i="8"/>
  <c r="S1077" i="8" s="1"/>
  <c r="R341" i="8"/>
  <c r="S341" i="8" s="1"/>
  <c r="R99" i="8"/>
  <c r="S99" i="8" s="1"/>
  <c r="R247" i="8"/>
  <c r="S247" i="8" s="1"/>
  <c r="R1039" i="8"/>
  <c r="S1039" i="8" s="1"/>
  <c r="R194" i="8"/>
  <c r="S194" i="8" s="1"/>
  <c r="R951" i="8"/>
  <c r="S951" i="8" s="1"/>
  <c r="R872" i="8"/>
  <c r="S872" i="8" s="1"/>
  <c r="R89" i="8"/>
  <c r="S89" i="8" s="1"/>
  <c r="R73" i="8"/>
  <c r="S73" i="8" s="1"/>
  <c r="R954" i="8"/>
  <c r="S954" i="8" s="1"/>
  <c r="R180" i="8"/>
  <c r="S180" i="8" s="1"/>
  <c r="R442" i="8"/>
  <c r="S442" i="8" s="1"/>
  <c r="R282" i="8"/>
  <c r="S282" i="8" s="1"/>
  <c r="R158" i="8"/>
  <c r="S158" i="8" s="1"/>
  <c r="R142" i="8"/>
  <c r="S142" i="8" s="1"/>
  <c r="R556" i="8"/>
  <c r="S556" i="8" s="1"/>
  <c r="R231" i="8"/>
  <c r="S231" i="8" s="1"/>
  <c r="R258" i="8"/>
  <c r="S258" i="8" s="1"/>
  <c r="R523" i="8"/>
  <c r="S523" i="8" s="1"/>
  <c r="R475" i="8"/>
  <c r="S475" i="8" s="1"/>
  <c r="R352" i="8"/>
  <c r="S352" i="8" s="1"/>
  <c r="R394" i="8"/>
  <c r="S394" i="8" s="1"/>
  <c r="R362" i="8"/>
  <c r="S362" i="8" s="1"/>
  <c r="R478" i="8"/>
  <c r="S478" i="8" s="1"/>
  <c r="R307" i="8"/>
  <c r="S307" i="8" s="1"/>
  <c r="R727" i="8"/>
  <c r="S727" i="8" s="1"/>
  <c r="R658" i="8"/>
  <c r="S658" i="8" s="1"/>
  <c r="R621" i="8"/>
  <c r="S621" i="8" s="1"/>
  <c r="R1298" i="8"/>
  <c r="S1298" i="8" s="1"/>
  <c r="R1302" i="8"/>
  <c r="S1302" i="8" s="1"/>
  <c r="R1306" i="8"/>
  <c r="S1306" i="8" s="1"/>
  <c r="R1299" i="8"/>
  <c r="S1299" i="8" s="1"/>
  <c r="R1303" i="8"/>
  <c r="S1303" i="8" s="1"/>
  <c r="R1307" i="8"/>
  <c r="S1307" i="8" s="1"/>
  <c r="R617" i="8"/>
  <c r="S617" i="8" s="1"/>
  <c r="R854" i="8"/>
  <c r="S854" i="8" s="1"/>
  <c r="R618" i="8"/>
  <c r="S618" i="8" s="1"/>
  <c r="R855" i="8"/>
  <c r="S855" i="8" s="1"/>
  <c r="R616" i="8"/>
  <c r="S616" i="8" s="1"/>
  <c r="R857" i="8"/>
  <c r="S857" i="8" s="1"/>
  <c r="R852" i="8"/>
  <c r="S852" i="8" s="1"/>
  <c r="R1016" i="8"/>
  <c r="S1016" i="8" s="1"/>
  <c r="R988" i="8"/>
  <c r="S988" i="8" s="1"/>
  <c r="R96" i="8"/>
  <c r="S96" i="8" s="1"/>
  <c r="R334" i="8"/>
  <c r="S334" i="8" s="1"/>
  <c r="R161" i="8"/>
  <c r="S161" i="8" s="1"/>
  <c r="R989" i="8"/>
  <c r="S989" i="8" s="1"/>
  <c r="R97" i="8"/>
  <c r="S97" i="8" s="1"/>
  <c r="R335" i="8"/>
  <c r="S335" i="8" s="1"/>
  <c r="R828" i="8"/>
  <c r="S828" i="8" s="1"/>
  <c r="R832" i="8"/>
  <c r="S832" i="8" s="1"/>
  <c r="R829" i="8"/>
  <c r="S829" i="8" s="1"/>
  <c r="R833" i="8"/>
  <c r="S833" i="8" s="1"/>
  <c r="R830" i="8"/>
  <c r="S830" i="8" s="1"/>
  <c r="R831" i="8"/>
  <c r="S831" i="8" s="1"/>
  <c r="R826" i="8"/>
  <c r="S826" i="8" s="1"/>
  <c r="R827" i="8"/>
  <c r="S827" i="8" s="1"/>
  <c r="R834" i="8"/>
  <c r="S834" i="8" s="1"/>
  <c r="R910" i="8"/>
  <c r="S910" i="8" s="1"/>
  <c r="R914" i="8"/>
  <c r="S914" i="8" s="1"/>
  <c r="R918" i="8"/>
  <c r="S918" i="8" s="1"/>
  <c r="R906" i="8"/>
  <c r="S906" i="8" s="1"/>
  <c r="R558" i="8"/>
  <c r="S558" i="8" s="1"/>
  <c r="R562" i="8"/>
  <c r="S562" i="8" s="1"/>
  <c r="R566" i="8"/>
  <c r="S566" i="8" s="1"/>
  <c r="R570" i="8"/>
  <c r="S570" i="8" s="1"/>
  <c r="R189" i="8"/>
  <c r="S189" i="8" s="1"/>
  <c r="R193" i="8"/>
  <c r="S193" i="8" s="1"/>
  <c r="R251" i="8"/>
  <c r="S251" i="8" s="1"/>
  <c r="R422" i="8"/>
  <c r="S422" i="8" s="1"/>
  <c r="R912" i="8"/>
  <c r="S912" i="8" s="1"/>
  <c r="R917" i="8"/>
  <c r="S917" i="8" s="1"/>
  <c r="R907" i="8"/>
  <c r="S907" i="8" s="1"/>
  <c r="R560" i="8"/>
  <c r="S560" i="8" s="1"/>
  <c r="R565" i="8"/>
  <c r="S565" i="8" s="1"/>
  <c r="R571" i="8"/>
  <c r="S571" i="8" s="1"/>
  <c r="R191" i="8"/>
  <c r="S191" i="8" s="1"/>
  <c r="R250" i="8"/>
  <c r="S250" i="8" s="1"/>
  <c r="R423" i="8"/>
  <c r="S423" i="8" s="1"/>
  <c r="R427" i="8"/>
  <c r="S427" i="8" s="1"/>
  <c r="R913" i="8"/>
  <c r="S913" i="8" s="1"/>
  <c r="R919" i="8"/>
  <c r="S919" i="8" s="1"/>
  <c r="R908" i="8"/>
  <c r="S908" i="8" s="1"/>
  <c r="R561" i="8"/>
  <c r="S561" i="8" s="1"/>
  <c r="R567" i="8"/>
  <c r="S567" i="8" s="1"/>
  <c r="R1002" i="8"/>
  <c r="S1002" i="8" s="1"/>
  <c r="R192" i="8"/>
  <c r="S192" i="8" s="1"/>
  <c r="R252" i="8"/>
  <c r="S252" i="8" s="1"/>
  <c r="R424" i="8"/>
  <c r="S424" i="8" s="1"/>
  <c r="R428" i="8"/>
  <c r="S428" i="8" s="1"/>
  <c r="R741" i="8"/>
  <c r="S741" i="8" s="1"/>
  <c r="R904" i="8"/>
  <c r="S904" i="8" s="1"/>
  <c r="R563" i="8"/>
  <c r="S563" i="8" s="1"/>
  <c r="R1003" i="8"/>
  <c r="S1003" i="8" s="1"/>
  <c r="R420" i="8"/>
  <c r="S420" i="8" s="1"/>
  <c r="R911" i="8"/>
  <c r="S911" i="8" s="1"/>
  <c r="R905" i="8"/>
  <c r="S905" i="8" s="1"/>
  <c r="R564" i="8"/>
  <c r="S564" i="8" s="1"/>
  <c r="R190" i="8"/>
  <c r="S190" i="8" s="1"/>
  <c r="R421" i="8"/>
  <c r="S421" i="8" s="1"/>
  <c r="R909" i="8"/>
  <c r="S909" i="8" s="1"/>
  <c r="R248" i="8"/>
  <c r="S248" i="8" s="1"/>
  <c r="R559" i="8"/>
  <c r="S559" i="8" s="1"/>
  <c r="R249" i="8"/>
  <c r="S249" i="8" s="1"/>
  <c r="R968" i="8"/>
  <c r="S968" i="8" s="1"/>
  <c r="R972" i="8"/>
  <c r="S972" i="8" s="1"/>
  <c r="R969" i="8"/>
  <c r="S969" i="8" s="1"/>
  <c r="R971" i="8"/>
  <c r="S971" i="8" s="1"/>
  <c r="R966" i="8"/>
  <c r="S966" i="8" s="1"/>
  <c r="R1250" i="8"/>
  <c r="S1250" i="8" s="1"/>
  <c r="R1254" i="8"/>
  <c r="S1254" i="8" s="1"/>
  <c r="R1258" i="8"/>
  <c r="S1258" i="8" s="1"/>
  <c r="R1262" i="8"/>
  <c r="S1262" i="8" s="1"/>
  <c r="R1266" i="8"/>
  <c r="S1266" i="8" s="1"/>
  <c r="R1270" i="8"/>
  <c r="S1270" i="8" s="1"/>
  <c r="R1274" i="8"/>
  <c r="S1274" i="8" s="1"/>
  <c r="R1278" i="8"/>
  <c r="S1278" i="8" s="1"/>
  <c r="R1251" i="8"/>
  <c r="S1251" i="8" s="1"/>
  <c r="R1255" i="8"/>
  <c r="S1255" i="8" s="1"/>
  <c r="R1259" i="8"/>
  <c r="S1259" i="8" s="1"/>
  <c r="R1263" i="8"/>
  <c r="S1263" i="8" s="1"/>
  <c r="R1267" i="8"/>
  <c r="S1267" i="8" s="1"/>
  <c r="R1271" i="8"/>
  <c r="S1271" i="8" s="1"/>
  <c r="R1275" i="8"/>
  <c r="S1275" i="8" s="1"/>
  <c r="R1279" i="8"/>
  <c r="S1279" i="8" s="1"/>
  <c r="R315" i="8"/>
  <c r="S315" i="8" s="1"/>
  <c r="R316" i="8"/>
  <c r="S316" i="8" s="1"/>
  <c r="R318" i="8"/>
  <c r="S318" i="8" s="1"/>
  <c r="R313" i="8"/>
  <c r="S313" i="8" s="1"/>
  <c r="R1685" i="8"/>
  <c r="S1685" i="8" s="1"/>
  <c r="R1653" i="8"/>
  <c r="S1653" i="8" s="1"/>
  <c r="R1645" i="8"/>
  <c r="S1645" i="8" s="1"/>
  <c r="R1637" i="8"/>
  <c r="S1637" i="8" s="1"/>
  <c r="R1633" i="8"/>
  <c r="S1633" i="8" s="1"/>
  <c r="R1629" i="8"/>
  <c r="S1629" i="8" s="1"/>
  <c r="R1589" i="8"/>
  <c r="S1589" i="8" s="1"/>
  <c r="R1581" i="8"/>
  <c r="S1581" i="8" s="1"/>
  <c r="R1573" i="8"/>
  <c r="S1573" i="8" s="1"/>
  <c r="R1565" i="8"/>
  <c r="S1565" i="8" s="1"/>
  <c r="R1557" i="8"/>
  <c r="S1557" i="8" s="1"/>
  <c r="R1513" i="8"/>
  <c r="S1513" i="8" s="1"/>
  <c r="R1373" i="8"/>
  <c r="S1373" i="8" s="1"/>
  <c r="R1321" i="8"/>
  <c r="S1321" i="8" s="1"/>
  <c r="R1305" i="8"/>
  <c r="S1305" i="8" s="1"/>
  <c r="R1265" i="8"/>
  <c r="S1265" i="8" s="1"/>
  <c r="R991" i="8"/>
  <c r="S991" i="8" s="1"/>
  <c r="R1015" i="8"/>
  <c r="S1015" i="8" s="1"/>
  <c r="R378" i="8"/>
  <c r="S378" i="8" s="1"/>
  <c r="R1046" i="8"/>
  <c r="S1046" i="8" s="1"/>
  <c r="R916" i="8"/>
  <c r="S916" i="8" s="1"/>
  <c r="R38" i="8"/>
  <c r="S38" i="8" s="1"/>
  <c r="R42" i="8"/>
  <c r="S42" i="8" s="1"/>
  <c r="R39" i="8"/>
  <c r="S39" i="8" s="1"/>
  <c r="R415" i="8"/>
  <c r="S415" i="8" s="1"/>
  <c r="R41" i="8"/>
  <c r="S41" i="8" s="1"/>
  <c r="R184" i="8"/>
  <c r="S184" i="8" s="1"/>
  <c r="R705" i="8"/>
  <c r="S705" i="8" s="1"/>
  <c r="R709" i="8"/>
  <c r="S709" i="8" s="1"/>
  <c r="R706" i="8"/>
  <c r="S706" i="8" s="1"/>
  <c r="R606" i="8"/>
  <c r="S606" i="8" s="1"/>
  <c r="R704" i="8"/>
  <c r="S704" i="8" s="1"/>
  <c r="R707" i="8"/>
  <c r="S707" i="8" s="1"/>
  <c r="R1013" i="8"/>
  <c r="S1013" i="8" s="1"/>
  <c r="R219" i="8"/>
  <c r="S219" i="8" s="1"/>
  <c r="R1014" i="8"/>
  <c r="S1014" i="8" s="1"/>
  <c r="R1011" i="8"/>
  <c r="S1011" i="8" s="1"/>
  <c r="R1206" i="8"/>
  <c r="S1206" i="8" s="1"/>
  <c r="R1210" i="8"/>
  <c r="S1210" i="8" s="1"/>
  <c r="R1207" i="8"/>
  <c r="S1207" i="8" s="1"/>
  <c r="R1211" i="8"/>
  <c r="S1211" i="8" s="1"/>
  <c r="R1342" i="8"/>
  <c r="S1342" i="8" s="1"/>
  <c r="R1346" i="8"/>
  <c r="S1346" i="8" s="1"/>
  <c r="R1350" i="8"/>
  <c r="S1350" i="8" s="1"/>
  <c r="R1343" i="8"/>
  <c r="S1343" i="8" s="1"/>
  <c r="R1347" i="8"/>
  <c r="S1347" i="8" s="1"/>
  <c r="R1351" i="8"/>
  <c r="S1351" i="8" s="1"/>
  <c r="R1355" i="8"/>
  <c r="S1355" i="8" s="1"/>
  <c r="R1716" i="8"/>
  <c r="S1716" i="8" s="1"/>
  <c r="R1708" i="8"/>
  <c r="S1708" i="8" s="1"/>
  <c r="R1684" i="8"/>
  <c r="S1684" i="8" s="1"/>
  <c r="R1660" i="8"/>
  <c r="S1660" i="8" s="1"/>
  <c r="R1652" i="8"/>
  <c r="S1652" i="8" s="1"/>
  <c r="R1644" i="8"/>
  <c r="S1644" i="8" s="1"/>
  <c r="R1636" i="8"/>
  <c r="S1636" i="8" s="1"/>
  <c r="R1632" i="8"/>
  <c r="S1632" i="8" s="1"/>
  <c r="R1628" i="8"/>
  <c r="S1628" i="8" s="1"/>
  <c r="R1596" i="8"/>
  <c r="S1596" i="8" s="1"/>
  <c r="R1588" i="8"/>
  <c r="S1588" i="8" s="1"/>
  <c r="R1580" i="8"/>
  <c r="S1580" i="8" s="1"/>
  <c r="R1572" i="8"/>
  <c r="S1572" i="8" s="1"/>
  <c r="R1564" i="8"/>
  <c r="S1564" i="8" s="1"/>
  <c r="R1556" i="8"/>
  <c r="S1556" i="8" s="1"/>
  <c r="R1548" i="8"/>
  <c r="S1548" i="8" s="1"/>
  <c r="R1540" i="8"/>
  <c r="S1540" i="8" s="1"/>
  <c r="R1532" i="8"/>
  <c r="S1532" i="8" s="1"/>
  <c r="R1524" i="8"/>
  <c r="S1524" i="8" s="1"/>
  <c r="R1516" i="8"/>
  <c r="S1516" i="8" s="1"/>
  <c r="R1508" i="8"/>
  <c r="S1508" i="8" s="1"/>
  <c r="R1456" i="8"/>
  <c r="S1456" i="8" s="1"/>
  <c r="R1448" i="8"/>
  <c r="S1448" i="8" s="1"/>
  <c r="R1440" i="8"/>
  <c r="S1440" i="8" s="1"/>
  <c r="R1432" i="8"/>
  <c r="S1432" i="8" s="1"/>
  <c r="R1424" i="8"/>
  <c r="S1424" i="8" s="1"/>
  <c r="R1408" i="8"/>
  <c r="S1408" i="8" s="1"/>
  <c r="R1396" i="8"/>
  <c r="S1396" i="8" s="1"/>
  <c r="R1388" i="8"/>
  <c r="S1388" i="8" s="1"/>
  <c r="R1380" i="8"/>
  <c r="S1380" i="8" s="1"/>
  <c r="R1372" i="8"/>
  <c r="S1372" i="8" s="1"/>
  <c r="R1352" i="8"/>
  <c r="S1352" i="8" s="1"/>
  <c r="R1344" i="8"/>
  <c r="S1344" i="8" s="1"/>
  <c r="R1320" i="8"/>
  <c r="S1320" i="8" s="1"/>
  <c r="R1304" i="8"/>
  <c r="S1304" i="8" s="1"/>
  <c r="R1288" i="8"/>
  <c r="S1288" i="8" s="1"/>
  <c r="R1272" i="8"/>
  <c r="S1272" i="8" s="1"/>
  <c r="R1256" i="8"/>
  <c r="S1256" i="8" s="1"/>
  <c r="R1232" i="8"/>
  <c r="S1232" i="8" s="1"/>
  <c r="R487" i="8"/>
  <c r="S487" i="8" s="1"/>
  <c r="R447" i="8"/>
  <c r="S447" i="8" s="1"/>
  <c r="R59" i="8"/>
  <c r="S59" i="8" s="1"/>
  <c r="R147" i="8"/>
  <c r="S147" i="8" s="1"/>
  <c r="R263" i="8"/>
  <c r="S263" i="8" s="1"/>
  <c r="R409" i="8"/>
  <c r="S409" i="8" s="1"/>
  <c r="R458" i="8"/>
  <c r="S458" i="8" s="1"/>
  <c r="R425" i="8"/>
  <c r="S425" i="8" s="1"/>
  <c r="R875" i="8"/>
  <c r="S875" i="8" s="1"/>
  <c r="R760" i="8"/>
  <c r="R294" i="8"/>
  <c r="S294" i="8" s="1"/>
  <c r="R291" i="8"/>
  <c r="S291" i="8" s="1"/>
  <c r="R293" i="8"/>
  <c r="S293" i="8" s="1"/>
  <c r="R131" i="8"/>
  <c r="S131" i="8" s="1"/>
  <c r="R135" i="8"/>
  <c r="S135" i="8" s="1"/>
  <c r="R102" i="8"/>
  <c r="S102" i="8" s="1"/>
  <c r="R106" i="8"/>
  <c r="S106" i="8" s="1"/>
  <c r="R1055" i="8"/>
  <c r="S1055" i="8" s="1"/>
  <c r="R1059" i="8"/>
  <c r="S1059" i="8" s="1"/>
  <c r="R1063" i="8"/>
  <c r="S1063" i="8" s="1"/>
  <c r="R550" i="8"/>
  <c r="S550" i="8" s="1"/>
  <c r="R554" i="8"/>
  <c r="S554" i="8" s="1"/>
  <c r="R19" i="8"/>
  <c r="S19" i="8" s="1"/>
  <c r="R128" i="8"/>
  <c r="S128" i="8" s="1"/>
  <c r="R132" i="8"/>
  <c r="S132" i="8" s="1"/>
  <c r="R136" i="8"/>
  <c r="S136" i="8" s="1"/>
  <c r="R103" i="8"/>
  <c r="S103" i="8" s="1"/>
  <c r="R1052" i="8"/>
  <c r="S1052" i="8" s="1"/>
  <c r="R1056" i="8"/>
  <c r="S1056" i="8" s="1"/>
  <c r="R1060" i="8"/>
  <c r="S1060" i="8" s="1"/>
  <c r="R1064" i="8"/>
  <c r="S1064" i="8" s="1"/>
  <c r="R551" i="8"/>
  <c r="S551" i="8" s="1"/>
  <c r="R555" i="8"/>
  <c r="S555" i="8" s="1"/>
  <c r="R134" i="8"/>
  <c r="S134" i="8" s="1"/>
  <c r="R105" i="8"/>
  <c r="S105" i="8" s="1"/>
  <c r="R1066" i="8"/>
  <c r="S1066" i="8" s="1"/>
  <c r="R557" i="8"/>
  <c r="S557" i="8" s="1"/>
  <c r="R129" i="8"/>
  <c r="S129" i="8" s="1"/>
  <c r="R137" i="8"/>
  <c r="S137" i="8" s="1"/>
  <c r="R1053" i="8"/>
  <c r="S1053" i="8" s="1"/>
  <c r="R1061" i="8"/>
  <c r="S1061" i="8" s="1"/>
  <c r="R552" i="8"/>
  <c r="S552" i="8" s="1"/>
  <c r="R418" i="8"/>
  <c r="S418" i="8" s="1"/>
  <c r="R484" i="8"/>
  <c r="S484" i="8" s="1"/>
  <c r="R419" i="8"/>
  <c r="S419" i="8" s="1"/>
  <c r="R483" i="8"/>
  <c r="S483" i="8" s="1"/>
  <c r="R416" i="8"/>
  <c r="S416" i="8" s="1"/>
  <c r="R172" i="8"/>
  <c r="S172" i="8" s="1"/>
  <c r="R176" i="8"/>
  <c r="S176" i="8" s="1"/>
  <c r="R13" i="8"/>
  <c r="S13" i="8" s="1"/>
  <c r="R17" i="8"/>
  <c r="S17" i="8" s="1"/>
  <c r="R75" i="8"/>
  <c r="S75" i="8" s="1"/>
  <c r="R79" i="8"/>
  <c r="S79" i="8" s="1"/>
  <c r="R83" i="8"/>
  <c r="S83" i="8" s="1"/>
  <c r="R87" i="8"/>
  <c r="S87" i="8" s="1"/>
  <c r="R95" i="8"/>
  <c r="S95" i="8" s="1"/>
  <c r="R50" i="8"/>
  <c r="S50" i="8" s="1"/>
  <c r="R54" i="8"/>
  <c r="S54" i="8" s="1"/>
  <c r="R311" i="8"/>
  <c r="S311" i="8" s="1"/>
  <c r="R173" i="8"/>
  <c r="S173" i="8" s="1"/>
  <c r="R177" i="8"/>
  <c r="S177" i="8" s="1"/>
  <c r="R14" i="8"/>
  <c r="S14" i="8" s="1"/>
  <c r="R72" i="8"/>
  <c r="S72" i="8" s="1"/>
  <c r="R76" i="8"/>
  <c r="S76" i="8" s="1"/>
  <c r="R80" i="8"/>
  <c r="S80" i="8" s="1"/>
  <c r="R84" i="8"/>
  <c r="S84" i="8" s="1"/>
  <c r="R88" i="8"/>
  <c r="S88" i="8" s="1"/>
  <c r="R92" i="8"/>
  <c r="S92" i="8" s="1"/>
  <c r="R27" i="8"/>
  <c r="S27" i="8" s="1"/>
  <c r="R51" i="8"/>
  <c r="S51" i="8" s="1"/>
  <c r="R413" i="8"/>
  <c r="S413" i="8" s="1"/>
  <c r="R312" i="8"/>
  <c r="S312" i="8" s="1"/>
  <c r="R171" i="8"/>
  <c r="S171" i="8" s="1"/>
  <c r="R497" i="8"/>
  <c r="S497" i="8" s="1"/>
  <c r="R74" i="8"/>
  <c r="S74" i="8" s="1"/>
  <c r="R82" i="8"/>
  <c r="S82" i="8" s="1"/>
  <c r="R49" i="8"/>
  <c r="S49" i="8" s="1"/>
  <c r="R310" i="8"/>
  <c r="S310" i="8" s="1"/>
  <c r="R174" i="8"/>
  <c r="S174" i="8" s="1"/>
  <c r="R15" i="8"/>
  <c r="S15" i="8" s="1"/>
  <c r="R77" i="8"/>
  <c r="S77" i="8" s="1"/>
  <c r="R85" i="8"/>
  <c r="S85" i="8" s="1"/>
  <c r="R93" i="8"/>
  <c r="S93" i="8" s="1"/>
  <c r="R52" i="8"/>
  <c r="S52" i="8" s="1"/>
  <c r="R1359" i="8"/>
  <c r="S1359" i="8" s="1"/>
  <c r="R1363" i="8"/>
  <c r="S1363" i="8" s="1"/>
  <c r="R1367" i="8"/>
  <c r="S1367" i="8" s="1"/>
  <c r="R1214" i="8"/>
  <c r="S1214" i="8" s="1"/>
  <c r="R1218" i="8"/>
  <c r="S1218" i="8" s="1"/>
  <c r="R1222" i="8"/>
  <c r="S1222" i="8" s="1"/>
  <c r="R1226" i="8"/>
  <c r="S1226" i="8" s="1"/>
  <c r="R1215" i="8"/>
  <c r="S1215" i="8" s="1"/>
  <c r="R1219" i="8"/>
  <c r="S1219" i="8" s="1"/>
  <c r="R1223" i="8"/>
  <c r="S1223" i="8" s="1"/>
  <c r="R976" i="8"/>
  <c r="S976" i="8" s="1"/>
  <c r="R980" i="8"/>
  <c r="S980" i="8" s="1"/>
  <c r="R973" i="8"/>
  <c r="S973" i="8" s="1"/>
  <c r="R977" i="8"/>
  <c r="S977" i="8" s="1"/>
  <c r="R981" i="8"/>
  <c r="S981" i="8" s="1"/>
  <c r="R979" i="8"/>
  <c r="S979" i="8" s="1"/>
  <c r="R974" i="8"/>
  <c r="S974" i="8" s="1"/>
  <c r="R982" i="8"/>
  <c r="S982" i="8" s="1"/>
  <c r="R342" i="8"/>
  <c r="S342" i="8" s="1"/>
  <c r="R37" i="8"/>
  <c r="S37" i="8" s="1"/>
  <c r="R1070" i="8"/>
  <c r="S1070" i="8" s="1"/>
  <c r="R1074" i="8"/>
  <c r="S1074" i="8" s="1"/>
  <c r="R1078" i="8"/>
  <c r="S1078" i="8" s="1"/>
  <c r="R1082" i="8"/>
  <c r="S1082" i="8" s="1"/>
  <c r="R1086" i="8"/>
  <c r="S1086" i="8" s="1"/>
  <c r="R1090" i="8"/>
  <c r="S1090" i="8" s="1"/>
  <c r="R1106" i="8"/>
  <c r="S1106" i="8" s="1"/>
  <c r="R1110" i="8"/>
  <c r="S1110" i="8" s="1"/>
  <c r="R1114" i="8"/>
  <c r="S1114" i="8" s="1"/>
  <c r="R1118" i="8"/>
  <c r="S1118" i="8" s="1"/>
  <c r="R1122" i="8"/>
  <c r="S1122" i="8" s="1"/>
  <c r="R1126" i="8"/>
  <c r="S1126" i="8" s="1"/>
  <c r="R1130" i="8"/>
  <c r="S1130" i="8" s="1"/>
  <c r="R1134" i="8"/>
  <c r="S1134" i="8" s="1"/>
  <c r="R1138" i="8"/>
  <c r="S1138" i="8" s="1"/>
  <c r="R1142" i="8"/>
  <c r="S1142" i="8" s="1"/>
  <c r="R1146" i="8"/>
  <c r="S1146" i="8" s="1"/>
  <c r="R1150" i="8"/>
  <c r="S1150" i="8" s="1"/>
  <c r="R1154" i="8"/>
  <c r="S1154" i="8" s="1"/>
  <c r="R1158" i="8"/>
  <c r="S1158" i="8" s="1"/>
  <c r="R343" i="8"/>
  <c r="S343" i="8" s="1"/>
  <c r="R1067" i="8"/>
  <c r="S1067" i="8" s="1"/>
  <c r="R1071" i="8"/>
  <c r="S1071" i="8" s="1"/>
  <c r="R1075" i="8"/>
  <c r="S1075" i="8" s="1"/>
  <c r="R1079" i="8"/>
  <c r="S1079" i="8" s="1"/>
  <c r="R1083" i="8"/>
  <c r="S1083" i="8" s="1"/>
  <c r="R1087" i="8"/>
  <c r="S1087" i="8" s="1"/>
  <c r="R1091" i="8"/>
  <c r="S1091" i="8" s="1"/>
  <c r="R1107" i="8"/>
  <c r="S1107" i="8" s="1"/>
  <c r="R1111" i="8"/>
  <c r="S1111" i="8" s="1"/>
  <c r="R1115" i="8"/>
  <c r="S1115" i="8" s="1"/>
  <c r="R1119" i="8"/>
  <c r="S1119" i="8" s="1"/>
  <c r="R1123" i="8"/>
  <c r="S1123" i="8" s="1"/>
  <c r="R1127" i="8"/>
  <c r="S1127" i="8" s="1"/>
  <c r="R1131" i="8"/>
  <c r="S1131" i="8" s="1"/>
  <c r="R1135" i="8"/>
  <c r="S1135" i="8" s="1"/>
  <c r="R1139" i="8"/>
  <c r="S1139" i="8" s="1"/>
  <c r="R1143" i="8"/>
  <c r="S1143" i="8" s="1"/>
  <c r="R1147" i="8"/>
  <c r="S1147" i="8" s="1"/>
  <c r="R1151" i="8"/>
  <c r="S1151" i="8" s="1"/>
  <c r="R1155" i="8"/>
  <c r="S1155" i="8" s="1"/>
  <c r="R1159" i="8"/>
  <c r="S1159" i="8" s="1"/>
  <c r="R836" i="8"/>
  <c r="S836" i="8" s="1"/>
  <c r="R840" i="8"/>
  <c r="S840" i="8" s="1"/>
  <c r="R844" i="8"/>
  <c r="S844" i="8" s="1"/>
  <c r="R848" i="8"/>
  <c r="S848" i="8" s="1"/>
  <c r="R627" i="8"/>
  <c r="S627" i="8" s="1"/>
  <c r="R631" i="8"/>
  <c r="S631" i="8" s="1"/>
  <c r="R635" i="8"/>
  <c r="S635" i="8" s="1"/>
  <c r="R837" i="8"/>
  <c r="S837" i="8" s="1"/>
  <c r="R841" i="8"/>
  <c r="S841" i="8" s="1"/>
  <c r="R845" i="8"/>
  <c r="S845" i="8" s="1"/>
  <c r="R849" i="8"/>
  <c r="S849" i="8" s="1"/>
  <c r="R628" i="8"/>
  <c r="S628" i="8" s="1"/>
  <c r="R632" i="8"/>
  <c r="S632" i="8" s="1"/>
  <c r="R838" i="8"/>
  <c r="S838" i="8" s="1"/>
  <c r="R846" i="8"/>
  <c r="S846" i="8" s="1"/>
  <c r="R629" i="8"/>
  <c r="S629" i="8" s="1"/>
  <c r="R839" i="8"/>
  <c r="S839" i="8" s="1"/>
  <c r="R847" i="8"/>
  <c r="S847" i="8" s="1"/>
  <c r="R630" i="8"/>
  <c r="S630" i="8" s="1"/>
  <c r="R842" i="8"/>
  <c r="S842" i="8" s="1"/>
  <c r="R633" i="8"/>
  <c r="S633" i="8" s="1"/>
  <c r="R843" i="8"/>
  <c r="S843" i="8" s="1"/>
  <c r="R634" i="8"/>
  <c r="S634" i="8" s="1"/>
  <c r="R835" i="8"/>
  <c r="S835" i="8" s="1"/>
  <c r="R775" i="8"/>
  <c r="S775" i="8" s="1"/>
  <c r="R779" i="8"/>
  <c r="S779" i="8" s="1"/>
  <c r="R783" i="8"/>
  <c r="S783" i="8" s="1"/>
  <c r="R772" i="8"/>
  <c r="S772" i="8" s="1"/>
  <c r="R776" i="8"/>
  <c r="S776" i="8" s="1"/>
  <c r="R780" i="8"/>
  <c r="S780" i="8" s="1"/>
  <c r="R784" i="8"/>
  <c r="S784" i="8" s="1"/>
  <c r="R773" i="8"/>
  <c r="S773" i="8" s="1"/>
  <c r="R781" i="8"/>
  <c r="S781" i="8" s="1"/>
  <c r="R774" i="8"/>
  <c r="S774" i="8" s="1"/>
  <c r="R782" i="8"/>
  <c r="S782" i="8" s="1"/>
  <c r="R785" i="8"/>
  <c r="S785" i="8" s="1"/>
  <c r="R786" i="8"/>
  <c r="S786" i="8" s="1"/>
  <c r="R777" i="8"/>
  <c r="S777" i="8" s="1"/>
  <c r="R778" i="8"/>
  <c r="S778" i="8" s="1"/>
  <c r="R244" i="8"/>
  <c r="S244" i="8" s="1"/>
  <c r="R179" i="8"/>
  <c r="S179" i="8" s="1"/>
  <c r="R460" i="8"/>
  <c r="S460" i="8" s="1"/>
  <c r="R464" i="8"/>
  <c r="S464" i="8" s="1"/>
  <c r="R468" i="8"/>
  <c r="S468" i="8" s="1"/>
  <c r="R472" i="8"/>
  <c r="S472" i="8" s="1"/>
  <c r="R476" i="8"/>
  <c r="S476" i="8" s="1"/>
  <c r="R165" i="8"/>
  <c r="S165" i="8" s="1"/>
  <c r="R169" i="8"/>
  <c r="S169" i="8" s="1"/>
  <c r="R245" i="8"/>
  <c r="S245" i="8" s="1"/>
  <c r="R124" i="8"/>
  <c r="S124" i="8" s="1"/>
  <c r="R461" i="8"/>
  <c r="S461" i="8" s="1"/>
  <c r="R465" i="8"/>
  <c r="S465" i="8" s="1"/>
  <c r="R469" i="8"/>
  <c r="S469" i="8" s="1"/>
  <c r="R473" i="8"/>
  <c r="S473" i="8" s="1"/>
  <c r="R162" i="8"/>
  <c r="S162" i="8" s="1"/>
  <c r="R166" i="8"/>
  <c r="S166" i="8" s="1"/>
  <c r="R242" i="8"/>
  <c r="S242" i="8" s="1"/>
  <c r="R246" i="8"/>
  <c r="S246" i="8" s="1"/>
  <c r="R462" i="8"/>
  <c r="S462" i="8" s="1"/>
  <c r="R470" i="8"/>
  <c r="S470" i="8" s="1"/>
  <c r="R163" i="8"/>
  <c r="S163" i="8" s="1"/>
  <c r="R243" i="8"/>
  <c r="S243" i="8" s="1"/>
  <c r="R178" i="8"/>
  <c r="S178" i="8" s="1"/>
  <c r="R463" i="8"/>
  <c r="S463" i="8" s="1"/>
  <c r="R471" i="8"/>
  <c r="S471" i="8" s="1"/>
  <c r="R164" i="8"/>
  <c r="S164" i="8" s="1"/>
  <c r="R498" i="8"/>
  <c r="S498" i="8" s="1"/>
  <c r="R357" i="8"/>
  <c r="S357" i="8" s="1"/>
  <c r="R995" i="8"/>
  <c r="S995" i="8" s="1"/>
  <c r="R999" i="8"/>
  <c r="S999" i="8" s="1"/>
  <c r="R48" i="8"/>
  <c r="S48" i="8" s="1"/>
  <c r="R516" i="8"/>
  <c r="S516" i="8" s="1"/>
  <c r="R358" i="8"/>
  <c r="S358" i="8" s="1"/>
  <c r="R996" i="8"/>
  <c r="S996" i="8" s="1"/>
  <c r="R1000" i="8"/>
  <c r="S1000" i="8" s="1"/>
  <c r="R43" i="8"/>
  <c r="S43" i="8" s="1"/>
  <c r="R517" i="8"/>
  <c r="S517" i="8" s="1"/>
  <c r="R997" i="8"/>
  <c r="S997" i="8" s="1"/>
  <c r="R44" i="8"/>
  <c r="S44" i="8" s="1"/>
  <c r="R356" i="8"/>
  <c r="S356" i="8" s="1"/>
  <c r="R998" i="8"/>
  <c r="S998" i="8" s="1"/>
  <c r="R45" i="8"/>
  <c r="S45" i="8" s="1"/>
  <c r="R787" i="8"/>
  <c r="S787" i="8" s="1"/>
  <c r="R791" i="8"/>
  <c r="S791" i="8" s="1"/>
  <c r="R795" i="8"/>
  <c r="S795" i="8" s="1"/>
  <c r="R799" i="8"/>
  <c r="S799" i="8" s="1"/>
  <c r="R803" i="8"/>
  <c r="S803" i="8" s="1"/>
  <c r="R808" i="8"/>
  <c r="S808" i="8" s="1"/>
  <c r="R812" i="8"/>
  <c r="S812" i="8" s="1"/>
  <c r="R816" i="8"/>
  <c r="S816" i="8" s="1"/>
  <c r="R746" i="8"/>
  <c r="S746" i="8" s="1"/>
  <c r="R750" i="8"/>
  <c r="S750" i="8" s="1"/>
  <c r="R754" i="8"/>
  <c r="S754" i="8" s="1"/>
  <c r="R788" i="8"/>
  <c r="S788" i="8" s="1"/>
  <c r="R792" i="8"/>
  <c r="S792" i="8" s="1"/>
  <c r="R796" i="8"/>
  <c r="S796" i="8" s="1"/>
  <c r="R800" i="8"/>
  <c r="S800" i="8" s="1"/>
  <c r="R804" i="8"/>
  <c r="S804" i="8" s="1"/>
  <c r="R809" i="8"/>
  <c r="S809" i="8" s="1"/>
  <c r="R813" i="8"/>
  <c r="S813" i="8" s="1"/>
  <c r="R743" i="8"/>
  <c r="S743" i="8" s="1"/>
  <c r="R747" i="8"/>
  <c r="S747" i="8" s="1"/>
  <c r="R751" i="8"/>
  <c r="S751" i="8" s="1"/>
  <c r="R789" i="8"/>
  <c r="S789" i="8" s="1"/>
  <c r="R797" i="8"/>
  <c r="S797" i="8" s="1"/>
  <c r="R806" i="8"/>
  <c r="S806" i="8" s="1"/>
  <c r="R814" i="8"/>
  <c r="S814" i="8" s="1"/>
  <c r="R748" i="8"/>
  <c r="S748" i="8" s="1"/>
  <c r="R790" i="8"/>
  <c r="S790" i="8" s="1"/>
  <c r="R798" i="8"/>
  <c r="S798" i="8" s="1"/>
  <c r="R807" i="8"/>
  <c r="S807" i="8" s="1"/>
  <c r="R815" i="8"/>
  <c r="S815" i="8" s="1"/>
  <c r="R749" i="8"/>
  <c r="S749" i="8" s="1"/>
  <c r="R801" i="8"/>
  <c r="S801" i="8" s="1"/>
  <c r="R744" i="8"/>
  <c r="S744" i="8" s="1"/>
  <c r="R802" i="8"/>
  <c r="S802" i="8" s="1"/>
  <c r="R745" i="8"/>
  <c r="S745" i="8" s="1"/>
  <c r="R810" i="8"/>
  <c r="S810" i="8" s="1"/>
  <c r="R811" i="8"/>
  <c r="S811" i="8" s="1"/>
  <c r="R1294" i="8"/>
  <c r="S1294" i="8" s="1"/>
  <c r="R1291" i="8"/>
  <c r="S1291" i="8" s="1"/>
  <c r="R1295" i="8"/>
  <c r="S1295" i="8" s="1"/>
  <c r="R1162" i="8"/>
  <c r="S1162" i="8" s="1"/>
  <c r="R1166" i="8"/>
  <c r="S1166" i="8" s="1"/>
  <c r="R1170" i="8"/>
  <c r="S1170" i="8" s="1"/>
  <c r="R1174" i="8"/>
  <c r="S1174" i="8" s="1"/>
  <c r="R1178" i="8"/>
  <c r="S1178" i="8" s="1"/>
  <c r="R1182" i="8"/>
  <c r="S1182" i="8" s="1"/>
  <c r="R1186" i="8"/>
  <c r="S1186" i="8" s="1"/>
  <c r="R1190" i="8"/>
  <c r="S1190" i="8" s="1"/>
  <c r="R1163" i="8"/>
  <c r="S1163" i="8" s="1"/>
  <c r="R1167" i="8"/>
  <c r="S1167" i="8" s="1"/>
  <c r="R1171" i="8"/>
  <c r="S1171" i="8" s="1"/>
  <c r="R1175" i="8"/>
  <c r="S1175" i="8" s="1"/>
  <c r="R1179" i="8"/>
  <c r="S1179" i="8" s="1"/>
  <c r="R1183" i="8"/>
  <c r="S1183" i="8" s="1"/>
  <c r="R1187" i="8"/>
  <c r="S1187" i="8" s="1"/>
  <c r="R1191" i="8"/>
  <c r="S1191" i="8" s="1"/>
  <c r="R613" i="8"/>
  <c r="S613" i="8" s="1"/>
  <c r="R610" i="8"/>
  <c r="S610" i="8" s="1"/>
  <c r="R614" i="8"/>
  <c r="S614" i="8" s="1"/>
  <c r="R611" i="8"/>
  <c r="S611" i="8" s="1"/>
  <c r="R319" i="8"/>
  <c r="S319" i="8" s="1"/>
  <c r="R323" i="8"/>
  <c r="S323" i="8" s="1"/>
  <c r="R327" i="8"/>
  <c r="S327" i="8" s="1"/>
  <c r="R320" i="8"/>
  <c r="S320" i="8" s="1"/>
  <c r="R324" i="8"/>
  <c r="S324" i="8" s="1"/>
  <c r="R326" i="8"/>
  <c r="S326" i="8" s="1"/>
  <c r="R321" i="8"/>
  <c r="S321" i="8" s="1"/>
  <c r="R138" i="8"/>
  <c r="S138" i="8" s="1"/>
  <c r="R530" i="8"/>
  <c r="S530" i="8" s="1"/>
  <c r="R139" i="8"/>
  <c r="S139" i="8" s="1"/>
  <c r="R331" i="8"/>
  <c r="S331" i="8" s="1"/>
  <c r="R30" i="8"/>
  <c r="S30" i="8" s="1"/>
  <c r="R34" i="8"/>
  <c r="S34" i="8" s="1"/>
  <c r="R1004" i="8"/>
  <c r="S1004" i="8" s="1"/>
  <c r="R1008" i="8"/>
  <c r="S1008" i="8" s="1"/>
  <c r="R817" i="8"/>
  <c r="S817" i="8" s="1"/>
  <c r="R759" i="8"/>
  <c r="S759" i="8" s="1"/>
  <c r="R939" i="8"/>
  <c r="S939" i="8" s="1"/>
  <c r="R328" i="8"/>
  <c r="S328" i="8" s="1"/>
  <c r="R332" i="8"/>
  <c r="S332" i="8" s="1"/>
  <c r="R31" i="8"/>
  <c r="S31" i="8" s="1"/>
  <c r="R223" i="8"/>
  <c r="S223" i="8" s="1"/>
  <c r="R1005" i="8"/>
  <c r="S1005" i="8" s="1"/>
  <c r="R1009" i="8"/>
  <c r="S1009" i="8" s="1"/>
  <c r="R818" i="8"/>
  <c r="S818" i="8" s="1"/>
  <c r="R871" i="8"/>
  <c r="S871" i="8" s="1"/>
  <c r="R940" i="8"/>
  <c r="S940" i="8" s="1"/>
  <c r="R29" i="8"/>
  <c r="S29" i="8" s="1"/>
  <c r="R225" i="8"/>
  <c r="S225" i="8" s="1"/>
  <c r="R805" i="8"/>
  <c r="S805" i="8" s="1"/>
  <c r="R938" i="8"/>
  <c r="S938" i="8" s="1"/>
  <c r="R329" i="8"/>
  <c r="S329" i="8" s="1"/>
  <c r="R32" i="8"/>
  <c r="S32" i="8" s="1"/>
  <c r="R1006" i="8"/>
  <c r="S1006" i="8" s="1"/>
  <c r="R757" i="8"/>
  <c r="S757" i="8" s="1"/>
  <c r="R941" i="8"/>
  <c r="S941" i="8" s="1"/>
  <c r="R1282" i="8"/>
  <c r="S1282" i="8" s="1"/>
  <c r="R1286" i="8"/>
  <c r="S1286" i="8" s="1"/>
  <c r="R1283" i="8"/>
  <c r="S1283" i="8" s="1"/>
  <c r="R1027" i="8"/>
  <c r="S1027" i="8" s="1"/>
  <c r="R1031" i="8"/>
  <c r="S1031" i="8" s="1"/>
  <c r="R1035" i="8"/>
  <c r="S1035" i="8" s="1"/>
  <c r="R1026" i="8"/>
  <c r="S1026" i="8" s="1"/>
  <c r="R1032" i="8"/>
  <c r="S1032" i="8" s="1"/>
  <c r="R1037" i="8"/>
  <c r="S1037" i="8" s="1"/>
  <c r="R111" i="8"/>
  <c r="S111" i="8" s="1"/>
  <c r="R1028" i="8"/>
  <c r="S1028" i="8" s="1"/>
  <c r="R1033" i="8"/>
  <c r="S1033" i="8" s="1"/>
  <c r="R1038" i="8"/>
  <c r="S1038" i="8" s="1"/>
  <c r="R112" i="8"/>
  <c r="S112" i="8" s="1"/>
  <c r="R1034" i="8"/>
  <c r="S1034" i="8" s="1"/>
  <c r="R1036" i="8"/>
  <c r="S1036" i="8" s="1"/>
  <c r="R115" i="8"/>
  <c r="S115" i="8" s="1"/>
  <c r="R119" i="8"/>
  <c r="S119" i="8" s="1"/>
  <c r="R512" i="8"/>
  <c r="S512" i="8" s="1"/>
  <c r="R345" i="8"/>
  <c r="S345" i="8" s="1"/>
  <c r="R116" i="8"/>
  <c r="S116" i="8" s="1"/>
  <c r="R120" i="8"/>
  <c r="S120" i="8" s="1"/>
  <c r="R513" i="8"/>
  <c r="S513" i="8" s="1"/>
  <c r="R113" i="8"/>
  <c r="S113" i="8" s="1"/>
  <c r="R510" i="8"/>
  <c r="S510" i="8" s="1"/>
  <c r="R114" i="8"/>
  <c r="S114" i="8" s="1"/>
  <c r="R511" i="8"/>
  <c r="S511" i="8" s="1"/>
  <c r="R860" i="8"/>
  <c r="S860" i="8" s="1"/>
  <c r="R864" i="8"/>
  <c r="S864" i="8" s="1"/>
  <c r="R868" i="8"/>
  <c r="S868" i="8" s="1"/>
  <c r="R882" i="8"/>
  <c r="S882" i="8" s="1"/>
  <c r="R886" i="8"/>
  <c r="S886" i="8" s="1"/>
  <c r="R890" i="8"/>
  <c r="S890" i="8" s="1"/>
  <c r="R894" i="8"/>
  <c r="S894" i="8" s="1"/>
  <c r="R898" i="8"/>
  <c r="S898" i="8" s="1"/>
  <c r="R922" i="8"/>
  <c r="S922" i="8" s="1"/>
  <c r="R926" i="8"/>
  <c r="S926" i="8" s="1"/>
  <c r="R930" i="8"/>
  <c r="S930" i="8" s="1"/>
  <c r="R934" i="8"/>
  <c r="S934" i="8" s="1"/>
  <c r="R820" i="8"/>
  <c r="S820" i="8" s="1"/>
  <c r="R688" i="8"/>
  <c r="S688" i="8" s="1"/>
  <c r="R755" i="8"/>
  <c r="S755" i="8" s="1"/>
  <c r="R861" i="8"/>
  <c r="S861" i="8" s="1"/>
  <c r="R865" i="8"/>
  <c r="S865" i="8" s="1"/>
  <c r="R869" i="8"/>
  <c r="S869" i="8" s="1"/>
  <c r="R883" i="8"/>
  <c r="S883" i="8" s="1"/>
  <c r="R887" i="8"/>
  <c r="S887" i="8" s="1"/>
  <c r="R891" i="8"/>
  <c r="S891" i="8" s="1"/>
  <c r="R895" i="8"/>
  <c r="S895" i="8" s="1"/>
  <c r="R899" i="8"/>
  <c r="S899" i="8" s="1"/>
  <c r="R923" i="8"/>
  <c r="S923" i="8" s="1"/>
  <c r="R927" i="8"/>
  <c r="S927" i="8" s="1"/>
  <c r="R931" i="8"/>
  <c r="S931" i="8" s="1"/>
  <c r="R935" i="8"/>
  <c r="S935" i="8" s="1"/>
  <c r="R821" i="8"/>
  <c r="S821" i="8" s="1"/>
  <c r="R689" i="8"/>
  <c r="S689" i="8" s="1"/>
  <c r="R756" i="8"/>
  <c r="S756" i="8" s="1"/>
  <c r="R866" i="8"/>
  <c r="S866" i="8" s="1"/>
  <c r="R884" i="8"/>
  <c r="S884" i="8" s="1"/>
  <c r="R892" i="8"/>
  <c r="S892" i="8" s="1"/>
  <c r="R920" i="8"/>
  <c r="S920" i="8" s="1"/>
  <c r="R928" i="8"/>
  <c r="S928" i="8" s="1"/>
  <c r="R936" i="8"/>
  <c r="S936" i="8" s="1"/>
  <c r="R690" i="8"/>
  <c r="S690" i="8" s="1"/>
  <c r="R859" i="8"/>
  <c r="S859" i="8" s="1"/>
  <c r="R867" i="8"/>
  <c r="S867" i="8" s="1"/>
  <c r="R885" i="8"/>
  <c r="S885" i="8" s="1"/>
  <c r="R893" i="8"/>
  <c r="S893" i="8" s="1"/>
  <c r="R921" i="8"/>
  <c r="S921" i="8" s="1"/>
  <c r="R929" i="8"/>
  <c r="S929" i="8" s="1"/>
  <c r="R819" i="8"/>
  <c r="S819" i="8" s="1"/>
  <c r="R862" i="8"/>
  <c r="S862" i="8" s="1"/>
  <c r="R888" i="8"/>
  <c r="S888" i="8" s="1"/>
  <c r="R924" i="8"/>
  <c r="S924" i="8" s="1"/>
  <c r="R822" i="8"/>
  <c r="S822" i="8" s="1"/>
  <c r="R863" i="8"/>
  <c r="S863" i="8" s="1"/>
  <c r="R889" i="8"/>
  <c r="S889" i="8" s="1"/>
  <c r="R925" i="8"/>
  <c r="S925" i="8" s="1"/>
  <c r="R687" i="8"/>
  <c r="S687" i="8" s="1"/>
  <c r="R870" i="8"/>
  <c r="S870" i="8" s="1"/>
  <c r="R932" i="8"/>
  <c r="S932" i="8" s="1"/>
  <c r="R881" i="8"/>
  <c r="S881" i="8" s="1"/>
  <c r="R933" i="8"/>
  <c r="S933" i="8" s="1"/>
  <c r="R499" i="8"/>
  <c r="S499" i="8" s="1"/>
  <c r="R64" i="8"/>
  <c r="S64" i="8" s="1"/>
  <c r="R68" i="8"/>
  <c r="S68" i="8" s="1"/>
  <c r="R220" i="8"/>
  <c r="S220" i="8" s="1"/>
  <c r="R500" i="8"/>
  <c r="S500" i="8" s="1"/>
  <c r="R65" i="8"/>
  <c r="S65" i="8" s="1"/>
  <c r="R69" i="8"/>
  <c r="S69" i="8" s="1"/>
  <c r="R100" i="8"/>
  <c r="S100" i="8" s="1"/>
  <c r="R66" i="8"/>
  <c r="S66" i="8" s="1"/>
  <c r="R67" i="8"/>
  <c r="S67" i="8" s="1"/>
  <c r="R1334" i="8"/>
  <c r="S1334" i="8" s="1"/>
  <c r="R1338" i="8"/>
  <c r="S1338" i="8" s="1"/>
  <c r="R1335" i="8"/>
  <c r="S1335" i="8" s="1"/>
  <c r="R1339" i="8"/>
  <c r="S1339" i="8" s="1"/>
  <c r="R237" i="8"/>
  <c r="S237" i="8" s="1"/>
  <c r="R127" i="8"/>
  <c r="S127" i="8" s="1"/>
  <c r="R238" i="8"/>
  <c r="S238" i="8" s="1"/>
  <c r="R540" i="8"/>
  <c r="S540" i="8" s="1"/>
  <c r="R1766" i="8"/>
  <c r="S1766" i="8" s="1"/>
  <c r="R1758" i="8"/>
  <c r="S1758" i="8" s="1"/>
  <c r="R1754" i="8"/>
  <c r="S1754" i="8" s="1"/>
  <c r="R1750" i="8"/>
  <c r="S1750" i="8" s="1"/>
  <c r="R1746" i="8"/>
  <c r="S1746" i="8" s="1"/>
  <c r="R1742" i="8"/>
  <c r="S1742" i="8" s="1"/>
  <c r="R1738" i="8"/>
  <c r="S1738" i="8" s="1"/>
  <c r="R1730" i="8"/>
  <c r="S1730" i="8" s="1"/>
  <c r="R1718" i="8"/>
  <c r="S1718" i="8" s="1"/>
  <c r="R1710" i="8"/>
  <c r="S1710" i="8" s="1"/>
  <c r="R1702" i="8"/>
  <c r="S1702" i="8" s="1"/>
  <c r="R1698" i="8"/>
  <c r="S1698" i="8" s="1"/>
  <c r="R1686" i="8"/>
  <c r="S1686" i="8" s="1"/>
  <c r="R1678" i="8"/>
  <c r="S1678" i="8" s="1"/>
  <c r="R1674" i="8"/>
  <c r="S1674" i="8" s="1"/>
  <c r="R1666" i="8"/>
  <c r="S1666" i="8" s="1"/>
  <c r="R1662" i="8"/>
  <c r="S1662" i="8" s="1"/>
  <c r="R1654" i="8"/>
  <c r="S1654" i="8" s="1"/>
  <c r="R1646" i="8"/>
  <c r="S1646" i="8" s="1"/>
  <c r="R1642" i="8"/>
  <c r="S1642" i="8" s="1"/>
  <c r="R1638" i="8"/>
  <c r="S1638" i="8" s="1"/>
  <c r="R1634" i="8"/>
  <c r="S1634" i="8" s="1"/>
  <c r="R1614" i="8"/>
  <c r="S1614" i="8" s="1"/>
  <c r="R1610" i="8"/>
  <c r="S1610" i="8" s="1"/>
  <c r="R1602" i="8"/>
  <c r="S1602" i="8" s="1"/>
  <c r="R1590" i="8"/>
  <c r="S1590" i="8" s="1"/>
  <c r="R1586" i="8"/>
  <c r="S1586" i="8" s="1"/>
  <c r="R1582" i="8"/>
  <c r="S1582" i="8" s="1"/>
  <c r="R1574" i="8"/>
  <c r="S1574" i="8" s="1"/>
  <c r="R1570" i="8"/>
  <c r="S1570" i="8" s="1"/>
  <c r="R1566" i="8"/>
  <c r="S1566" i="8" s="1"/>
  <c r="R1558" i="8"/>
  <c r="S1558" i="8" s="1"/>
  <c r="R1554" i="8"/>
  <c r="S1554" i="8" s="1"/>
  <c r="R1550" i="8"/>
  <c r="S1550" i="8" s="1"/>
  <c r="R1542" i="8"/>
  <c r="S1542" i="8" s="1"/>
  <c r="R1538" i="8"/>
  <c r="S1538" i="8" s="1"/>
  <c r="R1534" i="8"/>
  <c r="S1534" i="8" s="1"/>
  <c r="R1530" i="8"/>
  <c r="S1530" i="8" s="1"/>
  <c r="R1526" i="8"/>
  <c r="S1526" i="8" s="1"/>
  <c r="R1518" i="8"/>
  <c r="S1518" i="8" s="1"/>
  <c r="R1514" i="8"/>
  <c r="S1514" i="8" s="1"/>
  <c r="R1510" i="8"/>
  <c r="S1510" i="8" s="1"/>
  <c r="R1506" i="8"/>
  <c r="S1506" i="8" s="1"/>
  <c r="R1498" i="8"/>
  <c r="S1498" i="8" s="1"/>
  <c r="R1494" i="8"/>
  <c r="S1494" i="8" s="1"/>
  <c r="R1486" i="8"/>
  <c r="S1486" i="8" s="1"/>
  <c r="R1482" i="8"/>
  <c r="S1482" i="8" s="1"/>
  <c r="R1478" i="8"/>
  <c r="S1478" i="8" s="1"/>
  <c r="R1462" i="8"/>
  <c r="S1462" i="8" s="1"/>
  <c r="R1458" i="8"/>
  <c r="S1458" i="8" s="1"/>
  <c r="R1454" i="8"/>
  <c r="S1454" i="8" s="1"/>
  <c r="R1450" i="8"/>
  <c r="S1450" i="8" s="1"/>
  <c r="R1446" i="8"/>
  <c r="S1446" i="8" s="1"/>
  <c r="R1442" i="8"/>
  <c r="S1442" i="8" s="1"/>
  <c r="R1434" i="8"/>
  <c r="S1434" i="8" s="1"/>
  <c r="R1430" i="8"/>
  <c r="S1430" i="8" s="1"/>
  <c r="R1422" i="8"/>
  <c r="S1422" i="8" s="1"/>
  <c r="R1418" i="8"/>
  <c r="S1418" i="8" s="1"/>
  <c r="R1410" i="8"/>
  <c r="S1410" i="8" s="1"/>
  <c r="R1406" i="8"/>
  <c r="S1406" i="8" s="1"/>
  <c r="R1398" i="8"/>
  <c r="S1398" i="8" s="1"/>
  <c r="R1394" i="8"/>
  <c r="S1394" i="8" s="1"/>
  <c r="R1386" i="8"/>
  <c r="S1386" i="8" s="1"/>
  <c r="R1378" i="8"/>
  <c r="S1378" i="8" s="1"/>
  <c r="R1374" i="8"/>
  <c r="S1374" i="8" s="1"/>
  <c r="R1365" i="8"/>
  <c r="S1365" i="8" s="1"/>
  <c r="R1360" i="8"/>
  <c r="S1360" i="8" s="1"/>
  <c r="R1354" i="8"/>
  <c r="S1354" i="8" s="1"/>
  <c r="R1348" i="8"/>
  <c r="S1348" i="8" s="1"/>
  <c r="R1340" i="8"/>
  <c r="S1340" i="8" s="1"/>
  <c r="R1332" i="8"/>
  <c r="S1332" i="8" s="1"/>
  <c r="R1324" i="8"/>
  <c r="S1324" i="8" s="1"/>
  <c r="R1316" i="8"/>
  <c r="S1316" i="8" s="1"/>
  <c r="R1308" i="8"/>
  <c r="S1308" i="8" s="1"/>
  <c r="R1300" i="8"/>
  <c r="S1300" i="8" s="1"/>
  <c r="R1292" i="8"/>
  <c r="S1292" i="8" s="1"/>
  <c r="R1284" i="8"/>
  <c r="S1284" i="8" s="1"/>
  <c r="R1276" i="8"/>
  <c r="S1276" i="8" s="1"/>
  <c r="R1268" i="8"/>
  <c r="S1268" i="8" s="1"/>
  <c r="R1260" i="8"/>
  <c r="S1260" i="8" s="1"/>
  <c r="R1252" i="8"/>
  <c r="S1252" i="8" s="1"/>
  <c r="R1244" i="8"/>
  <c r="S1244" i="8" s="1"/>
  <c r="R1236" i="8"/>
  <c r="S1236" i="8" s="1"/>
  <c r="R1228" i="8"/>
  <c r="S1228" i="8" s="1"/>
  <c r="R1220" i="8"/>
  <c r="S1220" i="8" s="1"/>
  <c r="R1212" i="8"/>
  <c r="S1212" i="8" s="1"/>
  <c r="R1188" i="8"/>
  <c r="S1188" i="8" s="1"/>
  <c r="R1180" i="8"/>
  <c r="S1180" i="8" s="1"/>
  <c r="R1172" i="8"/>
  <c r="S1172" i="8" s="1"/>
  <c r="R1164" i="8"/>
  <c r="S1164" i="8" s="1"/>
  <c r="R1156" i="8"/>
  <c r="S1156" i="8" s="1"/>
  <c r="R1148" i="8"/>
  <c r="S1148" i="8" s="1"/>
  <c r="R1140" i="8"/>
  <c r="S1140" i="8" s="1"/>
  <c r="R1132" i="8"/>
  <c r="S1132" i="8" s="1"/>
  <c r="R1124" i="8"/>
  <c r="S1124" i="8" s="1"/>
  <c r="R1116" i="8"/>
  <c r="S1116" i="8" s="1"/>
  <c r="R1108" i="8"/>
  <c r="S1108" i="8" s="1"/>
  <c r="R1092" i="8"/>
  <c r="S1092" i="8" s="1"/>
  <c r="R1084" i="8"/>
  <c r="S1084" i="8" s="1"/>
  <c r="R1076" i="8"/>
  <c r="S1076" i="8" s="1"/>
  <c r="R1068" i="8"/>
  <c r="S1068" i="8" s="1"/>
  <c r="R340" i="8"/>
  <c r="S340" i="8" s="1"/>
  <c r="R98" i="8"/>
  <c r="S98" i="8" s="1"/>
  <c r="R360" i="8"/>
  <c r="S360" i="8" s="1"/>
  <c r="R269" i="8"/>
  <c r="S269" i="8" s="1"/>
  <c r="R1001" i="8"/>
  <c r="S1001" i="8" s="1"/>
  <c r="R459" i="8"/>
  <c r="S459" i="8" s="1"/>
  <c r="R582" i="8"/>
  <c r="S582" i="8" s="1"/>
  <c r="R686" i="8"/>
  <c r="S686" i="8" s="1"/>
  <c r="R853" i="8"/>
  <c r="S853" i="8" s="1"/>
  <c r="R708" i="8"/>
  <c r="S708" i="8" s="1"/>
  <c r="R758" i="8"/>
  <c r="S758" i="8" s="1"/>
  <c r="R33" i="8"/>
  <c r="S33" i="8" s="1"/>
  <c r="R322" i="8"/>
  <c r="S322" i="8" s="1"/>
  <c r="R53" i="8"/>
  <c r="S53" i="8" s="1"/>
  <c r="R86" i="8"/>
  <c r="S86" i="8" s="1"/>
  <c r="R16" i="8"/>
  <c r="S16" i="8" s="1"/>
  <c r="R983" i="8"/>
  <c r="S983" i="8" s="1"/>
  <c r="R967" i="8"/>
  <c r="S967" i="8" s="1"/>
  <c r="R495" i="8"/>
  <c r="S495" i="8" s="1"/>
  <c r="R417" i="8"/>
  <c r="S417" i="8" s="1"/>
  <c r="R536" i="8"/>
  <c r="S536" i="8" s="1"/>
  <c r="R439" i="8"/>
  <c r="S439" i="8" s="1"/>
  <c r="R279" i="8"/>
  <c r="S279" i="8" s="1"/>
  <c r="R155" i="8"/>
  <c r="S155" i="8" s="1"/>
  <c r="R1012" i="8"/>
  <c r="S1012" i="8" s="1"/>
  <c r="R553" i="8"/>
  <c r="S553" i="8" s="1"/>
  <c r="R1054" i="8"/>
  <c r="S1054" i="8" s="1"/>
  <c r="R130" i="8"/>
  <c r="S130" i="8" s="1"/>
  <c r="R228" i="8"/>
  <c r="S228" i="8" s="1"/>
  <c r="R255" i="8"/>
  <c r="S255" i="8" s="1"/>
  <c r="R520" i="8"/>
  <c r="S520" i="8" s="1"/>
  <c r="R501" i="8"/>
  <c r="S501" i="8" s="1"/>
  <c r="R474" i="8"/>
  <c r="S474" i="8" s="1"/>
  <c r="R125" i="8"/>
  <c r="S125" i="8" s="1"/>
  <c r="R46" i="8"/>
  <c r="S46" i="8" s="1"/>
  <c r="R351" i="8"/>
  <c r="S351" i="8" s="1"/>
  <c r="R117" i="8"/>
  <c r="S117" i="8" s="1"/>
  <c r="R1029" i="8"/>
  <c r="S1029" i="8" s="1"/>
  <c r="R393" i="8"/>
  <c r="S393" i="8" s="1"/>
  <c r="R361" i="8"/>
  <c r="S361" i="8" s="1"/>
  <c r="R477" i="8"/>
  <c r="S477" i="8" s="1"/>
  <c r="R306" i="8"/>
  <c r="S306" i="8" s="1"/>
  <c r="R568" i="8"/>
  <c r="S568" i="8" s="1"/>
  <c r="R725" i="8"/>
  <c r="S725" i="8" s="1"/>
  <c r="R657" i="8"/>
  <c r="S657" i="8" s="1"/>
  <c r="R620" i="8"/>
  <c r="S620" i="8" s="1"/>
  <c r="R896" i="8"/>
  <c r="S896" i="8" s="1"/>
  <c r="R793" i="8"/>
  <c r="S793" i="8" s="1"/>
  <c r="R1104" i="8"/>
  <c r="S1104" i="8" s="1"/>
  <c r="T937" i="8" l="1"/>
  <c r="T842" i="8"/>
  <c r="R1058" i="8"/>
  <c r="S1058" i="8" s="1"/>
  <c r="R1057" i="8"/>
  <c r="S1057" i="8" s="1"/>
  <c r="R411" i="8"/>
  <c r="S411" i="8" s="1"/>
  <c r="R412" i="8"/>
  <c r="S412" i="8" s="1"/>
  <c r="R414" i="8"/>
  <c r="S414" i="8" s="1"/>
  <c r="R90" i="8"/>
  <c r="S90" i="8" s="1"/>
  <c r="R91" i="8"/>
  <c r="S91" i="8" s="1"/>
  <c r="R608" i="8"/>
  <c r="S608" i="8" s="1"/>
  <c r="R609" i="8"/>
  <c r="S609" i="8" s="1"/>
  <c r="R682" i="8"/>
  <c r="S682" i="8" s="1"/>
  <c r="R683" i="8"/>
  <c r="S683" i="8" s="1"/>
  <c r="R681" i="8"/>
  <c r="S681" i="8" s="1"/>
  <c r="R680" i="8"/>
  <c r="S680" i="8" s="1"/>
  <c r="R22" i="8"/>
  <c r="S22" i="8" s="1"/>
  <c r="R20" i="8"/>
  <c r="S20" i="8" s="1"/>
  <c r="R450" i="8"/>
  <c r="S450" i="8" s="1"/>
  <c r="R289" i="8"/>
  <c r="S289" i="8" s="1"/>
  <c r="R21" i="8"/>
  <c r="S21" i="8" s="1"/>
  <c r="R290" i="8"/>
  <c r="S290" i="8" s="1"/>
  <c r="R288" i="8"/>
  <c r="S288" i="8" s="1"/>
  <c r="R451" i="8"/>
  <c r="S451" i="8" s="1"/>
  <c r="R57" i="8"/>
  <c r="S57" i="8" s="1"/>
  <c r="R452" i="8"/>
  <c r="S452" i="8" s="1"/>
  <c r="R55" i="8"/>
  <c r="S55" i="8" s="1"/>
  <c r="R56" i="8"/>
  <c r="S56" i="8" s="1"/>
  <c r="R1102" i="8"/>
  <c r="S1102" i="8" s="1"/>
  <c r="R1100" i="8"/>
  <c r="S1100" i="8" s="1"/>
  <c r="R1095" i="8"/>
  <c r="S1095" i="8" s="1"/>
  <c r="R1098" i="8"/>
  <c r="S1098" i="8" s="1"/>
  <c r="R1099" i="8"/>
  <c r="S1099" i="8" s="1"/>
  <c r="R1094" i="8"/>
  <c r="S1094" i="8" s="1"/>
  <c r="R1103" i="8"/>
  <c r="S1103" i="8" s="1"/>
  <c r="R1093" i="8"/>
  <c r="S1093" i="8" s="1"/>
  <c r="R1096" i="8"/>
  <c r="S1096" i="8" s="1"/>
  <c r="R1097" i="8"/>
  <c r="S1097" i="8" s="1"/>
  <c r="R1101" i="8"/>
  <c r="S1101" i="8" s="1"/>
  <c r="R1194" i="8"/>
  <c r="S1194" i="8" s="1"/>
  <c r="R1198" i="8"/>
  <c r="S1198" i="8" s="1"/>
  <c r="R1202" i="8"/>
  <c r="S1202" i="8" s="1"/>
  <c r="R1195" i="8"/>
  <c r="S1195" i="8" s="1"/>
  <c r="R1199" i="8"/>
  <c r="S1199" i="8" s="1"/>
  <c r="R1203" i="8"/>
  <c r="S1203" i="8" s="1"/>
  <c r="R1196" i="8"/>
  <c r="S1196" i="8" s="1"/>
  <c r="R1204" i="8"/>
  <c r="S1204" i="8" s="1"/>
  <c r="R1200" i="8"/>
  <c r="S1200" i="8" s="1"/>
  <c r="R1197" i="8"/>
  <c r="S1197" i="8" s="1"/>
  <c r="R1193" i="8"/>
  <c r="S1193" i="8" s="1"/>
  <c r="R1201" i="8"/>
  <c r="S1201" i="8" s="1"/>
  <c r="T1926" i="8"/>
  <c r="T1116" i="8"/>
  <c r="T1084" i="8"/>
  <c r="T98" i="8"/>
  <c r="T951" i="8"/>
  <c r="T224" i="8"/>
  <c r="T73" i="8"/>
  <c r="T448" i="8"/>
  <c r="T140" i="8"/>
  <c r="T237" i="8"/>
  <c r="T68" i="8"/>
  <c r="T357" i="8"/>
  <c r="T506" i="8"/>
  <c r="T822" i="8"/>
  <c r="T2149" i="8"/>
  <c r="T1140" i="8"/>
  <c r="T1096" i="8"/>
  <c r="T35" i="8"/>
  <c r="T681" i="8"/>
  <c r="T333" i="8"/>
  <c r="T496" i="8"/>
  <c r="T440" i="8"/>
  <c r="T290" i="8"/>
  <c r="T229" i="8"/>
  <c r="T499" i="8"/>
  <c r="T349" i="8"/>
  <c r="T405" i="8"/>
  <c r="T454" i="8"/>
  <c r="T421" i="8"/>
  <c r="T2091" i="8"/>
  <c r="T1739" i="8"/>
  <c r="T1124" i="8"/>
  <c r="T1108" i="8"/>
  <c r="T1092" i="8"/>
  <c r="T1076" i="8"/>
  <c r="T340" i="8"/>
  <c r="T360" i="8"/>
  <c r="T188" i="8"/>
  <c r="T856" i="8"/>
  <c r="T872" i="8"/>
  <c r="T325" i="8"/>
  <c r="T89" i="8"/>
  <c r="T986" i="8"/>
  <c r="T38" i="8"/>
  <c r="T410" i="8"/>
  <c r="T148" i="8"/>
  <c r="T55" i="8"/>
  <c r="T102" i="8"/>
  <c r="T264" i="8"/>
  <c r="T206" i="8"/>
  <c r="T165" i="8"/>
  <c r="T516" i="8"/>
  <c r="T512" i="8"/>
  <c r="T389" i="8"/>
  <c r="T275" i="8"/>
  <c r="T560" i="8"/>
  <c r="T743" i="8"/>
  <c r="T511" i="8"/>
  <c r="T356" i="8"/>
  <c r="T178" i="8"/>
  <c r="T471" i="8"/>
  <c r="T164" i="8"/>
  <c r="T67" i="8"/>
  <c r="T520" i="8"/>
  <c r="T255" i="8"/>
  <c r="T228" i="8"/>
  <c r="T130" i="8"/>
  <c r="T1054" i="8"/>
  <c r="T553" i="8"/>
  <c r="T289" i="8"/>
  <c r="T1012" i="8"/>
  <c r="T155" i="8"/>
  <c r="T279" i="8"/>
  <c r="T439" i="8"/>
  <c r="T536" i="8"/>
  <c r="T489" i="8"/>
  <c r="T977" i="8"/>
  <c r="T177" i="8"/>
  <c r="T72" i="8"/>
  <c r="T88" i="8"/>
  <c r="T413" i="8"/>
  <c r="T324" i="8"/>
  <c r="T223" i="8"/>
  <c r="T871" i="8"/>
  <c r="T606" i="8"/>
  <c r="T855" i="8"/>
  <c r="T950" i="8"/>
  <c r="T26" i="8"/>
  <c r="T1041" i="8"/>
  <c r="T139" i="8"/>
  <c r="T161" i="8"/>
  <c r="T97" i="8"/>
  <c r="T339" i="8"/>
  <c r="T343" i="8"/>
  <c r="T1071" i="8"/>
  <c r="T1075" i="8"/>
  <c r="T1079" i="8"/>
  <c r="T1087" i="8"/>
  <c r="T1091" i="8"/>
  <c r="T1099" i="8"/>
  <c r="T1107" i="8"/>
  <c r="T1111" i="8"/>
  <c r="T1119" i="8"/>
  <c r="T1127" i="8"/>
  <c r="T1416" i="8"/>
  <c r="T1819" i="8"/>
  <c r="T1990" i="8"/>
  <c r="T2134" i="8"/>
  <c r="T1285" i="8"/>
  <c r="T744" i="8"/>
  <c r="T784" i="8"/>
  <c r="T887" i="8"/>
  <c r="T821" i="8"/>
  <c r="T598" i="8"/>
  <c r="T841" i="8"/>
  <c r="T648" i="8"/>
  <c r="T710" i="8"/>
  <c r="T727" i="8"/>
  <c r="T559" i="8"/>
  <c r="T420" i="8"/>
  <c r="T301" i="8"/>
  <c r="T186" i="8"/>
  <c r="T274" i="8"/>
  <c r="T10" i="8"/>
  <c r="T241" i="8"/>
  <c r="T372" i="8"/>
  <c r="T388" i="8"/>
  <c r="T404" i="8"/>
  <c r="T1027" i="8"/>
  <c r="T113" i="8"/>
  <c r="T348" i="8"/>
  <c r="T998" i="8"/>
  <c r="T45" i="8"/>
  <c r="T463" i="8"/>
  <c r="T498" i="8"/>
  <c r="T197" i="8"/>
  <c r="T205" i="8"/>
  <c r="T528" i="8"/>
  <c r="T263" i="8"/>
  <c r="T236" i="8"/>
  <c r="T101" i="8"/>
  <c r="T1062" i="8"/>
  <c r="T22" i="8"/>
  <c r="T297" i="8"/>
  <c r="T147" i="8"/>
  <c r="T59" i="8"/>
  <c r="T287" i="8"/>
  <c r="T447" i="8"/>
  <c r="T185" i="8"/>
  <c r="T953" i="8"/>
  <c r="T985" i="8"/>
  <c r="T80" i="8"/>
  <c r="T27" i="8"/>
  <c r="T316" i="8"/>
  <c r="T332" i="8"/>
  <c r="T1009" i="8"/>
  <c r="T702" i="8"/>
  <c r="T614" i="8"/>
  <c r="T680" i="8"/>
  <c r="T577" i="8"/>
  <c r="T170" i="8"/>
  <c r="T989" i="8"/>
  <c r="T335" i="8"/>
  <c r="T1067" i="8"/>
  <c r="T1083" i="8"/>
  <c r="T1095" i="8"/>
  <c r="T1103" i="8"/>
  <c r="T1115" i="8"/>
  <c r="T1123" i="8"/>
  <c r="T1158" i="8"/>
  <c r="T1711" i="8"/>
  <c r="T1905" i="8"/>
  <c r="T2075" i="8"/>
  <c r="T2191" i="8"/>
  <c r="T785" i="8"/>
  <c r="T888" i="8"/>
  <c r="T760" i="8"/>
  <c r="T1159" i="8"/>
  <c r="T1100" i="8"/>
  <c r="T1068" i="8"/>
  <c r="T221" i="8"/>
  <c r="T607" i="8"/>
  <c r="T414" i="8"/>
  <c r="T954" i="8"/>
  <c r="T60" i="8"/>
  <c r="T1063" i="8"/>
  <c r="T431" i="8"/>
  <c r="T464" i="8"/>
  <c r="T1028" i="8"/>
  <c r="T302" i="8"/>
  <c r="T711" i="8"/>
  <c r="T1841" i="8"/>
  <c r="T1112" i="8"/>
  <c r="T1080" i="8"/>
  <c r="T990" i="8"/>
  <c r="T121" i="8"/>
  <c r="T703" i="8"/>
  <c r="T28" i="8"/>
  <c r="T490" i="8"/>
  <c r="T156" i="8"/>
  <c r="T1055" i="8"/>
  <c r="T521" i="8"/>
  <c r="T179" i="8"/>
  <c r="T649" i="8"/>
  <c r="T2011" i="8"/>
  <c r="T1562" i="8"/>
  <c r="T1120" i="8"/>
  <c r="T1104" i="8"/>
  <c r="T1088" i="8"/>
  <c r="T1072" i="8"/>
  <c r="T336" i="8"/>
  <c r="T453" i="8"/>
  <c r="T578" i="8"/>
  <c r="T615" i="8"/>
  <c r="T1010" i="8"/>
  <c r="T317" i="8"/>
  <c r="T81" i="8"/>
  <c r="T978" i="8"/>
  <c r="T537" i="8"/>
  <c r="T280" i="8"/>
  <c r="T1013" i="8"/>
  <c r="T554" i="8"/>
  <c r="T131" i="8"/>
  <c r="T256" i="8"/>
  <c r="T198" i="8"/>
  <c r="T472" i="8"/>
  <c r="T999" i="8"/>
  <c r="T114" i="8"/>
  <c r="T373" i="8"/>
  <c r="T187" i="8"/>
  <c r="T728" i="8"/>
  <c r="T599" i="8"/>
  <c r="T1130" i="8"/>
  <c r="T1137" i="8"/>
  <c r="T762" i="8"/>
  <c r="T766" i="8"/>
  <c r="T770" i="8"/>
  <c r="T774" i="8"/>
  <c r="T778" i="8"/>
  <c r="T782" i="8"/>
  <c r="T786" i="8"/>
  <c r="T790" i="8"/>
  <c r="T794" i="8"/>
  <c r="T798" i="8"/>
  <c r="T802" i="8"/>
  <c r="T807" i="8"/>
  <c r="T811" i="8"/>
  <c r="T815" i="8"/>
  <c r="T745" i="8"/>
  <c r="T749" i="8"/>
  <c r="T753" i="8"/>
  <c r="T859" i="8"/>
  <c r="T863" i="8"/>
  <c r="T867" i="8"/>
  <c r="T881" i="8"/>
  <c r="T885" i="8"/>
  <c r="T889" i="8"/>
  <c r="T893" i="8"/>
  <c r="T897" i="8"/>
  <c r="T921" i="8"/>
  <c r="T925" i="8"/>
  <c r="T929" i="8"/>
  <c r="T933" i="8"/>
  <c r="T819" i="8"/>
  <c r="T687" i="8"/>
  <c r="T691" i="8"/>
  <c r="T695" i="8"/>
  <c r="T699" i="8"/>
  <c r="T584" i="8"/>
  <c r="T588" i="8"/>
  <c r="T592" i="8"/>
  <c r="T596" i="8"/>
  <c r="T600" i="8"/>
  <c r="T604" i="8"/>
  <c r="T621" i="8"/>
  <c r="T625" i="8"/>
  <c r="T827" i="8"/>
  <c r="T831" i="8"/>
  <c r="T835" i="8"/>
  <c r="T839" i="8"/>
  <c r="T843" i="8"/>
  <c r="T847" i="8"/>
  <c r="T851" i="8"/>
  <c r="T630" i="8"/>
  <c r="T634" i="8"/>
  <c r="T638" i="8"/>
  <c r="T642" i="8"/>
  <c r="T646" i="8"/>
  <c r="T650" i="8"/>
  <c r="T654" i="8"/>
  <c r="T658" i="8"/>
  <c r="T662" i="8"/>
  <c r="T666" i="8"/>
  <c r="T670" i="8"/>
  <c r="T674" i="8"/>
  <c r="T902" i="8"/>
  <c r="T712" i="8"/>
  <c r="T716" i="8"/>
  <c r="T876" i="8"/>
  <c r="T942" i="8"/>
  <c r="T946" i="8"/>
  <c r="T717" i="8"/>
  <c r="T721" i="8"/>
  <c r="T725" i="8"/>
  <c r="T729" i="8"/>
  <c r="T733" i="8"/>
  <c r="T737" i="8"/>
  <c r="T741" i="8"/>
  <c r="T913" i="8"/>
  <c r="T917" i="8"/>
  <c r="T905" i="8"/>
  <c r="T909" i="8"/>
  <c r="T561" i="8"/>
  <c r="T565" i="8"/>
  <c r="T569" i="8"/>
  <c r="T1003" i="8"/>
  <c r="T1134" i="8"/>
  <c r="T1138" i="8"/>
  <c r="T763" i="8"/>
  <c r="T767" i="8"/>
  <c r="T771" i="8"/>
  <c r="T775" i="8"/>
  <c r="T779" i="8"/>
  <c r="T783" i="8"/>
  <c r="T787" i="8"/>
  <c r="T791" i="8"/>
  <c r="T795" i="8"/>
  <c r="T799" i="8"/>
  <c r="T803" i="8"/>
  <c r="T808" i="8"/>
  <c r="T812" i="8"/>
  <c r="T816" i="8"/>
  <c r="T746" i="8"/>
  <c r="T750" i="8"/>
  <c r="T754" i="8"/>
  <c r="T860" i="8"/>
  <c r="T864" i="8"/>
  <c r="T868" i="8"/>
  <c r="T882" i="8"/>
  <c r="T886" i="8"/>
  <c r="T890" i="8"/>
  <c r="T894" i="8"/>
  <c r="T898" i="8"/>
  <c r="T922" i="8"/>
  <c r="T926" i="8"/>
  <c r="T930" i="8"/>
  <c r="T934" i="8"/>
  <c r="T820" i="8"/>
  <c r="T688" i="8"/>
  <c r="T692" i="8"/>
  <c r="T696" i="8"/>
  <c r="T700" i="8"/>
  <c r="T585" i="8"/>
  <c r="T589" i="8"/>
  <c r="T593" i="8"/>
  <c r="T597" i="8"/>
  <c r="T601" i="8"/>
  <c r="T605" i="8"/>
  <c r="T622" i="8"/>
  <c r="T626" i="8"/>
  <c r="T828" i="8"/>
  <c r="T832" i="8"/>
  <c r="T836" i="8"/>
  <c r="T840" i="8"/>
  <c r="T844" i="8"/>
  <c r="T848" i="8"/>
  <c r="T627" i="8"/>
  <c r="T631" i="8"/>
  <c r="T635" i="8"/>
  <c r="T639" i="8"/>
  <c r="T643" i="8"/>
  <c r="T647" i="8"/>
  <c r="T651" i="8"/>
  <c r="T655" i="8"/>
  <c r="T659" i="8"/>
  <c r="T663" i="8"/>
  <c r="T667" i="8"/>
  <c r="T671" i="8"/>
  <c r="T675" i="8"/>
  <c r="T903" i="8"/>
  <c r="T713" i="8"/>
  <c r="T873" i="8"/>
  <c r="T877" i="8"/>
  <c r="T943" i="8"/>
  <c r="T947" i="8"/>
  <c r="T718" i="8"/>
  <c r="T722" i="8"/>
  <c r="T726" i="8"/>
  <c r="T730" i="8"/>
  <c r="T734" i="8"/>
  <c r="T738" i="8"/>
  <c r="T910" i="8"/>
  <c r="T914" i="8"/>
  <c r="T918" i="8"/>
  <c r="T906" i="8"/>
  <c r="T558" i="8"/>
  <c r="T562" i="8"/>
  <c r="T566" i="8"/>
  <c r="T570" i="8"/>
  <c r="T189" i="8"/>
  <c r="T193" i="8"/>
  <c r="T1135" i="8"/>
  <c r="T764" i="8"/>
  <c r="T772" i="8"/>
  <c r="T780" i="8"/>
  <c r="T788" i="8"/>
  <c r="T796" i="8"/>
  <c r="T804" i="8"/>
  <c r="T813" i="8"/>
  <c r="T747" i="8"/>
  <c r="T755" i="8"/>
  <c r="T865" i="8"/>
  <c r="T883" i="8"/>
  <c r="T891" i="8"/>
  <c r="T899" i="8"/>
  <c r="T927" i="8"/>
  <c r="T935" i="8"/>
  <c r="T689" i="8"/>
  <c r="T697" i="8"/>
  <c r="T586" i="8"/>
  <c r="T594" i="8"/>
  <c r="T602" i="8"/>
  <c r="T623" i="8"/>
  <c r="T829" i="8"/>
  <c r="T837" i="8"/>
  <c r="T845" i="8"/>
  <c r="T628" i="8"/>
  <c r="T636" i="8"/>
  <c r="T644" i="8"/>
  <c r="T652" i="8"/>
  <c r="T660" i="8"/>
  <c r="T668" i="8"/>
  <c r="T900" i="8"/>
  <c r="T714" i="8"/>
  <c r="T878" i="8"/>
  <c r="T948" i="8"/>
  <c r="T723" i="8"/>
  <c r="T731" i="8"/>
  <c r="T739" i="8"/>
  <c r="T915" i="8"/>
  <c r="T907" i="8"/>
  <c r="T563" i="8"/>
  <c r="T571" i="8"/>
  <c r="T192" i="8"/>
  <c r="T251" i="8"/>
  <c r="T422" i="8"/>
  <c r="T426" i="8"/>
  <c r="T430" i="8"/>
  <c r="T299" i="8"/>
  <c r="T303" i="8"/>
  <c r="T307" i="8"/>
  <c r="T24" i="8"/>
  <c r="T504" i="8"/>
  <c r="T1042" i="8"/>
  <c r="T1046" i="8"/>
  <c r="T1050" i="8"/>
  <c r="T272" i="8"/>
  <c r="T276" i="8"/>
  <c r="T478" i="8"/>
  <c r="T4" i="8"/>
  <c r="T8" i="8"/>
  <c r="T455" i="8"/>
  <c r="T542" i="8"/>
  <c r="T546" i="8"/>
  <c r="T239" i="8"/>
  <c r="T507" i="8"/>
  <c r="T362" i="8"/>
  <c r="T366" i="8"/>
  <c r="T370" i="8"/>
  <c r="T374" i="8"/>
  <c r="T378" i="8"/>
  <c r="T382" i="8"/>
  <c r="T386" i="8"/>
  <c r="T390" i="8"/>
  <c r="T394" i="8"/>
  <c r="T398" i="8"/>
  <c r="T402" i="8"/>
  <c r="T406" i="8"/>
  <c r="T1017" i="8"/>
  <c r="T1021" i="8"/>
  <c r="T1025" i="8"/>
  <c r="T1029" i="8"/>
  <c r="T1033" i="8"/>
  <c r="T1037" i="8"/>
  <c r="T111" i="8"/>
  <c r="T115" i="8"/>
  <c r="T1136" i="8"/>
  <c r="T765" i="8"/>
  <c r="T773" i="8"/>
  <c r="T781" i="8"/>
  <c r="T789" i="8"/>
  <c r="T797" i="8"/>
  <c r="T806" i="8"/>
  <c r="T814" i="8"/>
  <c r="T748" i="8"/>
  <c r="T756" i="8"/>
  <c r="T866" i="8"/>
  <c r="T884" i="8"/>
  <c r="T892" i="8"/>
  <c r="T920" i="8"/>
  <c r="T928" i="8"/>
  <c r="T936" i="8"/>
  <c r="T690" i="8"/>
  <c r="T698" i="8"/>
  <c r="T587" i="8"/>
  <c r="T595" i="8"/>
  <c r="T603" i="8"/>
  <c r="T624" i="8"/>
  <c r="T830" i="8"/>
  <c r="T838" i="8"/>
  <c r="T846" i="8"/>
  <c r="T629" i="8"/>
  <c r="T637" i="8"/>
  <c r="T645" i="8"/>
  <c r="T653" i="8"/>
  <c r="T661" i="8"/>
  <c r="T669" i="8"/>
  <c r="T901" i="8"/>
  <c r="T715" i="8"/>
  <c r="T879" i="8"/>
  <c r="T949" i="8"/>
  <c r="T724" i="8"/>
  <c r="T732" i="8"/>
  <c r="T740" i="8"/>
  <c r="T916" i="8"/>
  <c r="T908" i="8"/>
  <c r="T564" i="8"/>
  <c r="T1002" i="8"/>
  <c r="T248" i="8"/>
  <c r="T252" i="8"/>
  <c r="T423" i="8"/>
  <c r="T427" i="8"/>
  <c r="T214" i="8"/>
  <c r="T300" i="8"/>
  <c r="T304" i="8"/>
  <c r="T308" i="8"/>
  <c r="T25" i="8"/>
  <c r="T505" i="8"/>
  <c r="T1043" i="8"/>
  <c r="T1047" i="8"/>
  <c r="T107" i="8"/>
  <c r="T273" i="8"/>
  <c r="T277" i="8"/>
  <c r="T479" i="8"/>
  <c r="T5" i="8"/>
  <c r="T9" i="8"/>
  <c r="T456" i="8"/>
  <c r="T543" i="8"/>
  <c r="T547" i="8"/>
  <c r="T240" i="8"/>
  <c r="T508" i="8"/>
  <c r="T363" i="8"/>
  <c r="T367" i="8"/>
  <c r="T371" i="8"/>
  <c r="T375" i="8"/>
  <c r="T379" i="8"/>
  <c r="T383" i="8"/>
  <c r="T387" i="8"/>
  <c r="T391" i="8"/>
  <c r="T395" i="8"/>
  <c r="T399" i="8"/>
  <c r="T403" i="8"/>
  <c r="T407" i="8"/>
  <c r="T1018" i="8"/>
  <c r="T1022" i="8"/>
  <c r="T1026" i="8"/>
  <c r="T1030" i="8"/>
  <c r="T1034" i="8"/>
  <c r="T1038" i="8"/>
  <c r="T112" i="8"/>
  <c r="T1139" i="8"/>
  <c r="T776" i="8"/>
  <c r="T792" i="8"/>
  <c r="T809" i="8"/>
  <c r="T751" i="8"/>
  <c r="T869" i="8"/>
  <c r="T895" i="8"/>
  <c r="T931" i="8"/>
  <c r="T693" i="8"/>
  <c r="T590" i="8"/>
  <c r="T619" i="8"/>
  <c r="T833" i="8"/>
  <c r="T849" i="8"/>
  <c r="T640" i="8"/>
  <c r="T656" i="8"/>
  <c r="T672" i="8"/>
  <c r="T874" i="8"/>
  <c r="T719" i="8"/>
  <c r="T735" i="8"/>
  <c r="T919" i="8"/>
  <c r="T567" i="8"/>
  <c r="T249" i="8"/>
  <c r="T424" i="8"/>
  <c r="T215" i="8"/>
  <c r="T305" i="8"/>
  <c r="T502" i="8"/>
  <c r="T1044" i="8"/>
  <c r="T270" i="8"/>
  <c r="T278" i="8"/>
  <c r="T6" i="8"/>
  <c r="T457" i="8"/>
  <c r="T548" i="8"/>
  <c r="T509" i="8"/>
  <c r="T368" i="8"/>
  <c r="T376" i="8"/>
  <c r="T384" i="8"/>
  <c r="T392" i="8"/>
  <c r="T400" i="8"/>
  <c r="T408" i="8"/>
  <c r="T1023" i="8"/>
  <c r="T1031" i="8"/>
  <c r="T109" i="8"/>
  <c r="T116" i="8"/>
  <c r="T120" i="8"/>
  <c r="T513" i="8"/>
  <c r="T346" i="8"/>
  <c r="T350" i="8"/>
  <c r="T354" i="8"/>
  <c r="T358" i="8"/>
  <c r="T996" i="8"/>
  <c r="T1000" i="8"/>
  <c r="T43" i="8"/>
  <c r="T517" i="8"/>
  <c r="T245" i="8"/>
  <c r="T124" i="8"/>
  <c r="T461" i="8"/>
  <c r="T465" i="8"/>
  <c r="T469" i="8"/>
  <c r="T473" i="8"/>
  <c r="T162" i="8"/>
  <c r="T166" i="8"/>
  <c r="T242" i="8"/>
  <c r="T500" i="8"/>
  <c r="T65" i="8"/>
  <c r="T69" i="8"/>
  <c r="T100" i="8"/>
  <c r="T199" i="8"/>
  <c r="T203" i="8"/>
  <c r="T207" i="8"/>
  <c r="T211" i="8"/>
  <c r="T522" i="8"/>
  <c r="T526" i="8"/>
  <c r="T432" i="8"/>
  <c r="T253" i="8"/>
  <c r="T257" i="8"/>
  <c r="T261" i="8"/>
  <c r="T265" i="8"/>
  <c r="T226" i="8"/>
  <c r="T230" i="8"/>
  <c r="T234" i="8"/>
  <c r="T238" i="8"/>
  <c r="T128" i="8"/>
  <c r="T132" i="8"/>
  <c r="T136" i="8"/>
  <c r="T103" i="8"/>
  <c r="T1052" i="8"/>
  <c r="T1056" i="8"/>
  <c r="T1060" i="8"/>
  <c r="T1064" i="8"/>
  <c r="T551" i="8"/>
  <c r="T555" i="8"/>
  <c r="T20" i="8"/>
  <c r="T56" i="8"/>
  <c r="T452" i="8"/>
  <c r="T291" i="8"/>
  <c r="T295" i="8"/>
  <c r="T141" i="8"/>
  <c r="T219" i="8"/>
  <c r="T1014" i="8"/>
  <c r="T145" i="8"/>
  <c r="T149" i="8"/>
  <c r="T153" i="8"/>
  <c r="T157" i="8"/>
  <c r="T2" i="8"/>
  <c r="T61" i="8"/>
  <c r="T992" i="8"/>
  <c r="T281" i="8"/>
  <c r="T285" i="8"/>
  <c r="T411" i="8"/>
  <c r="T437" i="8"/>
  <c r="T441" i="8"/>
  <c r="T445" i="8"/>
  <c r="T449" i="8"/>
  <c r="T534" i="8"/>
  <c r="T538" i="8"/>
  <c r="T183" i="8"/>
  <c r="T39" i="8"/>
  <c r="T487" i="8"/>
  <c r="T491" i="8"/>
  <c r="T495" i="8"/>
  <c r="T955" i="8"/>
  <c r="T959" i="8"/>
  <c r="T979" i="8"/>
  <c r="T983" i="8"/>
  <c r="T171" i="8"/>
  <c r="T175" i="8"/>
  <c r="T497" i="8"/>
  <c r="T16" i="8"/>
  <c r="T74" i="8"/>
  <c r="T78" i="8"/>
  <c r="T82" i="8"/>
  <c r="T86" i="8"/>
  <c r="T90" i="8"/>
  <c r="T94" i="8"/>
  <c r="T49" i="8"/>
  <c r="T53" i="8"/>
  <c r="T310" i="8"/>
  <c r="T314" i="8"/>
  <c r="T318" i="8"/>
  <c r="T322" i="8"/>
  <c r="T326" i="8"/>
  <c r="T330" i="8"/>
  <c r="T29" i="8"/>
  <c r="T33" i="8"/>
  <c r="T225" i="8"/>
  <c r="T1007" i="8"/>
  <c r="T805" i="8"/>
  <c r="T758" i="8"/>
  <c r="T938" i="8"/>
  <c r="T823" i="8"/>
  <c r="T704" i="8"/>
  <c r="T708" i="8"/>
  <c r="T608" i="8"/>
  <c r="T612" i="8"/>
  <c r="T616" i="8"/>
  <c r="T853" i="8"/>
  <c r="T857" i="8"/>
  <c r="T678" i="8"/>
  <c r="T682" i="8"/>
  <c r="T686" i="8"/>
  <c r="T742" i="8"/>
  <c r="T575" i="8"/>
  <c r="T579" i="8"/>
  <c r="T194" i="8"/>
  <c r="T1051" i="8"/>
  <c r="T1039" i="8"/>
  <c r="T122" i="8"/>
  <c r="T247" i="8"/>
  <c r="T222" i="8"/>
  <c r="T541" i="8"/>
  <c r="T761" i="8"/>
  <c r="T777" i="8"/>
  <c r="T793" i="8"/>
  <c r="T810" i="8"/>
  <c r="T752" i="8"/>
  <c r="T870" i="8"/>
  <c r="T896" i="8"/>
  <c r="T932" i="8"/>
  <c r="T694" i="8"/>
  <c r="T591" i="8"/>
  <c r="T620" i="8"/>
  <c r="T834" i="8"/>
  <c r="T850" i="8"/>
  <c r="T641" i="8"/>
  <c r="T657" i="8"/>
  <c r="T673" i="8"/>
  <c r="T875" i="8"/>
  <c r="T720" i="8"/>
  <c r="T736" i="8"/>
  <c r="T904" i="8"/>
  <c r="T568" i="8"/>
  <c r="T250" i="8"/>
  <c r="T425" i="8"/>
  <c r="T298" i="8"/>
  <c r="T306" i="8"/>
  <c r="T503" i="8"/>
  <c r="T1045" i="8"/>
  <c r="T271" i="8"/>
  <c r="T477" i="8"/>
  <c r="T7" i="8"/>
  <c r="T458" i="8"/>
  <c r="T549" i="8"/>
  <c r="T361" i="8"/>
  <c r="T369" i="8"/>
  <c r="T377" i="8"/>
  <c r="T385" i="8"/>
  <c r="T393" i="8"/>
  <c r="T401" i="8"/>
  <c r="T409" i="8"/>
  <c r="T1024" i="8"/>
  <c r="T1032" i="8"/>
  <c r="T110" i="8"/>
  <c r="T117" i="8"/>
  <c r="T510" i="8"/>
  <c r="T514" i="8"/>
  <c r="T347" i="8"/>
  <c r="T351" i="8"/>
  <c r="T355" i="8"/>
  <c r="T359" i="8"/>
  <c r="T997" i="8"/>
  <c r="T46" i="8"/>
  <c r="T44" i="8"/>
  <c r="T518" i="8"/>
  <c r="T246" i="8"/>
  <c r="T125" i="8"/>
  <c r="T462" i="8"/>
  <c r="T466" i="8"/>
  <c r="T470" i="8"/>
  <c r="T474" i="8"/>
  <c r="T163" i="8"/>
  <c r="T167" i="8"/>
  <c r="T243" i="8"/>
  <c r="T501" i="8"/>
  <c r="T66" i="8"/>
  <c r="T70" i="8"/>
  <c r="T196" i="8"/>
  <c r="T200" i="8"/>
  <c r="T204" i="8"/>
  <c r="T208" i="8"/>
  <c r="T212" i="8"/>
  <c r="T523" i="8"/>
  <c r="T527" i="8"/>
  <c r="T433" i="8"/>
  <c r="T254" i="8"/>
  <c r="T258" i="8"/>
  <c r="T262" i="8"/>
  <c r="T266" i="8"/>
  <c r="T227" i="8"/>
  <c r="T231" i="8"/>
  <c r="T235" i="8"/>
  <c r="T539" i="8"/>
  <c r="T129" i="8"/>
  <c r="T133" i="8"/>
  <c r="T137" i="8"/>
  <c r="T104" i="8"/>
  <c r="T1053" i="8"/>
  <c r="T1057" i="8"/>
  <c r="T1061" i="8"/>
  <c r="T1065" i="8"/>
  <c r="T552" i="8"/>
  <c r="T556" i="8"/>
  <c r="T21" i="8"/>
  <c r="T57" i="8"/>
  <c r="T288" i="8"/>
  <c r="T292" i="8"/>
  <c r="T296" i="8"/>
  <c r="T216" i="8"/>
  <c r="T1011" i="8"/>
  <c r="T142" i="8"/>
  <c r="T146" i="8"/>
  <c r="T150" i="8"/>
  <c r="T154" i="8"/>
  <c r="T158" i="8"/>
  <c r="T58" i="8"/>
  <c r="T62" i="8"/>
  <c r="T993" i="8"/>
  <c r="T282" i="8"/>
  <c r="T286" i="8"/>
  <c r="T412" i="8"/>
  <c r="T438" i="8"/>
  <c r="T442" i="8"/>
  <c r="T446" i="8"/>
  <c r="T531" i="8"/>
  <c r="T535" i="8"/>
  <c r="T180" i="8"/>
  <c r="T184" i="8"/>
  <c r="T484" i="8"/>
  <c r="T488" i="8"/>
  <c r="T492" i="8"/>
  <c r="T952" i="8"/>
  <c r="T956" i="8"/>
  <c r="T960" i="8"/>
  <c r="T980" i="8"/>
  <c r="T984" i="8"/>
  <c r="T172" i="8"/>
  <c r="T176" i="8"/>
  <c r="T13" i="8"/>
  <c r="T17" i="8"/>
  <c r="T75" i="8"/>
  <c r="T79" i="8"/>
  <c r="T83" i="8"/>
  <c r="T87" i="8"/>
  <c r="T91" i="8"/>
  <c r="T95" i="8"/>
  <c r="T50" i="8"/>
  <c r="T54" i="8"/>
  <c r="T311" i="8"/>
  <c r="T315" i="8"/>
  <c r="T319" i="8"/>
  <c r="T323" i="8"/>
  <c r="T327" i="8"/>
  <c r="T331" i="8"/>
  <c r="T30" i="8"/>
  <c r="T34" i="8"/>
  <c r="T1004" i="8"/>
  <c r="T1008" i="8"/>
  <c r="T817" i="8"/>
  <c r="T759" i="8"/>
  <c r="T939" i="8"/>
  <c r="T824" i="8"/>
  <c r="T705" i="8"/>
  <c r="T709" i="8"/>
  <c r="T609" i="8"/>
  <c r="T613" i="8"/>
  <c r="T617" i="8"/>
  <c r="T854" i="8"/>
  <c r="T858" i="8"/>
  <c r="T679" i="8"/>
  <c r="T683" i="8"/>
  <c r="T880" i="8"/>
  <c r="T572" i="8"/>
  <c r="T576" i="8"/>
  <c r="T580" i="8"/>
  <c r="T195" i="8"/>
  <c r="T108" i="8"/>
  <c r="T1040" i="8"/>
  <c r="T123" i="8"/>
  <c r="T18" i="8"/>
  <c r="T529" i="8"/>
  <c r="T138" i="8"/>
  <c r="T2177" i="8"/>
  <c r="T2121" i="8"/>
  <c r="T2054" i="8"/>
  <c r="T1969" i="8"/>
  <c r="T1883" i="8"/>
  <c r="T1795" i="8"/>
  <c r="T1683" i="8"/>
  <c r="T1162" i="8"/>
  <c r="T1157" i="8"/>
  <c r="T1126" i="8"/>
  <c r="T1122" i="8"/>
  <c r="T1118" i="8"/>
  <c r="T1114" i="8"/>
  <c r="T1110" i="8"/>
  <c r="T1106" i="8"/>
  <c r="T1102" i="8"/>
  <c r="T1098" i="8"/>
  <c r="T1094" i="8"/>
  <c r="T1090" i="8"/>
  <c r="T1086" i="8"/>
  <c r="T1082" i="8"/>
  <c r="T1078" i="8"/>
  <c r="T1074" i="8"/>
  <c r="T1070" i="8"/>
  <c r="T37" i="8"/>
  <c r="T342" i="8"/>
  <c r="T338" i="8"/>
  <c r="T334" i="8"/>
  <c r="T96" i="8"/>
  <c r="T988" i="8"/>
  <c r="T1016" i="8"/>
  <c r="T269" i="8"/>
  <c r="T1001" i="8"/>
  <c r="T459" i="8"/>
  <c r="T582" i="8"/>
  <c r="T574" i="8"/>
  <c r="T685" i="8"/>
  <c r="T677" i="8"/>
  <c r="T852" i="8"/>
  <c r="T611" i="8"/>
  <c r="T707" i="8"/>
  <c r="T941" i="8"/>
  <c r="T757" i="8"/>
  <c r="T1006" i="8"/>
  <c r="T32" i="8"/>
  <c r="T329" i="8"/>
  <c r="T321" i="8"/>
  <c r="T313" i="8"/>
  <c r="T52" i="8"/>
  <c r="T93" i="8"/>
  <c r="T85" i="8"/>
  <c r="T77" i="8"/>
  <c r="T15" i="8"/>
  <c r="T174" i="8"/>
  <c r="T982" i="8"/>
  <c r="T958" i="8"/>
  <c r="T494" i="8"/>
  <c r="T486" i="8"/>
  <c r="T182" i="8"/>
  <c r="T533" i="8"/>
  <c r="T444" i="8"/>
  <c r="T436" i="8"/>
  <c r="T284" i="8"/>
  <c r="T12" i="8"/>
  <c r="T160" i="8"/>
  <c r="T152" i="8"/>
  <c r="T144" i="8"/>
  <c r="T218" i="8"/>
  <c r="T294" i="8"/>
  <c r="T451" i="8"/>
  <c r="T19" i="8"/>
  <c r="T550" i="8"/>
  <c r="T1059" i="8"/>
  <c r="T106" i="8"/>
  <c r="T135" i="8"/>
  <c r="T127" i="8"/>
  <c r="T233" i="8"/>
  <c r="T268" i="8"/>
  <c r="T260" i="8"/>
  <c r="T213" i="8"/>
  <c r="T525" i="8"/>
  <c r="T210" i="8"/>
  <c r="T202" i="8"/>
  <c r="T220" i="8"/>
  <c r="T64" i="8"/>
  <c r="T169" i="8"/>
  <c r="T476" i="8"/>
  <c r="T468" i="8"/>
  <c r="T460" i="8"/>
  <c r="T244" i="8"/>
  <c r="T48" i="8"/>
  <c r="T995" i="8"/>
  <c r="T353" i="8"/>
  <c r="T345" i="8"/>
  <c r="T119" i="8"/>
  <c r="T1036" i="8"/>
  <c r="T1020" i="8"/>
  <c r="T397" i="8"/>
  <c r="T381" i="8"/>
  <c r="T365" i="8"/>
  <c r="T545" i="8"/>
  <c r="T3" i="8"/>
  <c r="T1049" i="8"/>
  <c r="T23" i="8"/>
  <c r="T429" i="8"/>
  <c r="T191" i="8"/>
  <c r="T912" i="8"/>
  <c r="T945" i="8"/>
  <c r="T665" i="8"/>
  <c r="T633" i="8"/>
  <c r="T826" i="8"/>
  <c r="T583" i="8"/>
  <c r="T924" i="8"/>
  <c r="T862" i="8"/>
  <c r="T801" i="8"/>
  <c r="T769" i="8"/>
  <c r="T2163" i="8"/>
  <c r="T2106" i="8"/>
  <c r="T2033" i="8"/>
  <c r="T1947" i="8"/>
  <c r="T1862" i="8"/>
  <c r="T1767" i="8"/>
  <c r="T1654" i="8"/>
  <c r="T1160" i="8"/>
  <c r="T1141" i="8"/>
  <c r="T1125" i="8"/>
  <c r="T1121" i="8"/>
  <c r="T1117" i="8"/>
  <c r="T1113" i="8"/>
  <c r="T1109" i="8"/>
  <c r="T1105" i="8"/>
  <c r="T1101" i="8"/>
  <c r="T1097" i="8"/>
  <c r="T1093" i="8"/>
  <c r="T1089" i="8"/>
  <c r="T1085" i="8"/>
  <c r="T1081" i="8"/>
  <c r="T1077" i="8"/>
  <c r="T1073" i="8"/>
  <c r="T1069" i="8"/>
  <c r="T36" i="8"/>
  <c r="T341" i="8"/>
  <c r="T337" i="8"/>
  <c r="T99" i="8"/>
  <c r="T991" i="8"/>
  <c r="T987" i="8"/>
  <c r="T1015" i="8"/>
  <c r="T530" i="8"/>
  <c r="T515" i="8"/>
  <c r="T481" i="8"/>
  <c r="T581" i="8"/>
  <c r="T573" i="8"/>
  <c r="T684" i="8"/>
  <c r="T676" i="8"/>
  <c r="T618" i="8"/>
  <c r="T610" i="8"/>
  <c r="T706" i="8"/>
  <c r="T940" i="8"/>
  <c r="T818" i="8"/>
  <c r="T1005" i="8"/>
  <c r="T31" i="8"/>
  <c r="T328" i="8"/>
  <c r="T320" i="8"/>
  <c r="T312" i="8"/>
  <c r="T51" i="8"/>
  <c r="T92" i="8"/>
  <c r="T84" i="8"/>
  <c r="T76" i="8"/>
  <c r="T14" i="8"/>
  <c r="T173" i="8"/>
  <c r="T981" i="8"/>
  <c r="T957" i="8"/>
  <c r="T493" i="8"/>
  <c r="T485" i="8"/>
  <c r="T181" i="8"/>
  <c r="T532" i="8"/>
  <c r="T443" i="8"/>
  <c r="T435" i="8"/>
  <c r="T283" i="8"/>
  <c r="T11" i="8"/>
  <c r="T159" i="8"/>
  <c r="T151" i="8"/>
  <c r="T143" i="8"/>
  <c r="T217" i="8"/>
  <c r="T293" i="8"/>
  <c r="T450" i="8"/>
  <c r="T557" i="8"/>
  <c r="T1066" i="8"/>
  <c r="T1058" i="8"/>
  <c r="T105" i="8"/>
  <c r="T134" i="8"/>
  <c r="T540" i="8"/>
  <c r="T232" i="8"/>
  <c r="T267" i="8"/>
  <c r="T259" i="8"/>
  <c r="T434" i="8"/>
  <c r="T524" i="8"/>
  <c r="T209" i="8"/>
  <c r="T201" i="8"/>
  <c r="T71" i="8"/>
  <c r="T63" i="8"/>
  <c r="T168" i="8"/>
  <c r="T475" i="8"/>
  <c r="T467" i="8"/>
  <c r="T126" i="8"/>
  <c r="T519" i="8"/>
  <c r="T47" i="8"/>
  <c r="T994" i="8"/>
  <c r="T352" i="8"/>
  <c r="T344" i="8"/>
  <c r="T118" i="8"/>
  <c r="T1035" i="8"/>
  <c r="T1019" i="8"/>
  <c r="T396" i="8"/>
  <c r="T380" i="8"/>
  <c r="T364" i="8"/>
  <c r="T544" i="8"/>
  <c r="T480" i="8"/>
  <c r="T1048" i="8"/>
  <c r="T309" i="8"/>
  <c r="T428" i="8"/>
  <c r="T190" i="8"/>
  <c r="T911" i="8"/>
  <c r="T944" i="8"/>
  <c r="T664" i="8"/>
  <c r="T632" i="8"/>
  <c r="T825" i="8"/>
  <c r="T701" i="8"/>
  <c r="T923" i="8"/>
  <c r="T861" i="8"/>
  <c r="T800" i="8"/>
  <c r="T768" i="8"/>
  <c r="T2190" i="8"/>
  <c r="T2133" i="8"/>
  <c r="T2090" i="8"/>
  <c r="T2010" i="8"/>
  <c r="T1946" i="8"/>
  <c r="T1861" i="8"/>
  <c r="T1681" i="8"/>
  <c r="T2175" i="8"/>
  <c r="T2118" i="8"/>
  <c r="T2074" i="8"/>
  <c r="T1989" i="8"/>
  <c r="T1925" i="8"/>
  <c r="T1839" i="8"/>
  <c r="T1738" i="8"/>
  <c r="T1653" i="8"/>
  <c r="T2170" i="8"/>
  <c r="T2127" i="8"/>
  <c r="T2085" i="8"/>
  <c r="T2043" i="8"/>
  <c r="T1979" i="8"/>
  <c r="T1937" i="8"/>
  <c r="T1873" i="8"/>
  <c r="T1809" i="8"/>
  <c r="T1754" i="8"/>
  <c r="T1669" i="8"/>
  <c r="T1290" i="8"/>
  <c r="T2161" i="8"/>
  <c r="T2147" i="8"/>
  <c r="T2105" i="8"/>
  <c r="T2053" i="8"/>
  <c r="T2031" i="8"/>
  <c r="T1967" i="8"/>
  <c r="T1903" i="8"/>
  <c r="T1882" i="8"/>
  <c r="T1818" i="8"/>
  <c r="T1793" i="8"/>
  <c r="T1710" i="8"/>
  <c r="T1559" i="8"/>
  <c r="T1412" i="8"/>
  <c r="T2185" i="8"/>
  <c r="T2155" i="8"/>
  <c r="T2142" i="8"/>
  <c r="T2113" i="8"/>
  <c r="T2099" i="8"/>
  <c r="T2065" i="8"/>
  <c r="T2022" i="8"/>
  <c r="T2001" i="8"/>
  <c r="T1958" i="8"/>
  <c r="T1915" i="8"/>
  <c r="T1894" i="8"/>
  <c r="T1851" i="8"/>
  <c r="T1830" i="8"/>
  <c r="T1780" i="8"/>
  <c r="T1726" i="8"/>
  <c r="T1697" i="8"/>
  <c r="T1626" i="8"/>
  <c r="T1498" i="8"/>
  <c r="T2182" i="8"/>
  <c r="T2169" i="8"/>
  <c r="T2154" i="8"/>
  <c r="T2139" i="8"/>
  <c r="T2126" i="8"/>
  <c r="T2111" i="8"/>
  <c r="T2097" i="8"/>
  <c r="T2081" i="8"/>
  <c r="T2063" i="8"/>
  <c r="T2042" i="8"/>
  <c r="T2021" i="8"/>
  <c r="T1999" i="8"/>
  <c r="T1978" i="8"/>
  <c r="T1957" i="8"/>
  <c r="T1935" i="8"/>
  <c r="T1914" i="8"/>
  <c r="T1893" i="8"/>
  <c r="T1871" i="8"/>
  <c r="T1850" i="8"/>
  <c r="T1829" i="8"/>
  <c r="T1807" i="8"/>
  <c r="T1779" i="8"/>
  <c r="T1753" i="8"/>
  <c r="T1723" i="8"/>
  <c r="T1695" i="8"/>
  <c r="T1667" i="8"/>
  <c r="T1623" i="8"/>
  <c r="T1495" i="8"/>
  <c r="T1129" i="8"/>
  <c r="T1165" i="8"/>
  <c r="T1181" i="8"/>
  <c r="T1197" i="8"/>
  <c r="T1213" i="8"/>
  <c r="T1229" i="8"/>
  <c r="T1245" i="8"/>
  <c r="T1261" i="8"/>
  <c r="T1277" i="8"/>
  <c r="T1293" i="8"/>
  <c r="T1309" i="8"/>
  <c r="T1325" i="8"/>
  <c r="T1341" i="8"/>
  <c r="T1357" i="8"/>
  <c r="T1373" i="8"/>
  <c r="T1389" i="8"/>
  <c r="T1405" i="8"/>
  <c r="T1417" i="8"/>
  <c r="T1428" i="8"/>
  <c r="T1438" i="8"/>
  <c r="T1449" i="8"/>
  <c r="T1460" i="8"/>
  <c r="T1470" i="8"/>
  <c r="T1481" i="8"/>
  <c r="T1491" i="8"/>
  <c r="T1499" i="8"/>
  <c r="T1507" i="8"/>
  <c r="T1515" i="8"/>
  <c r="T1523" i="8"/>
  <c r="T1531" i="8"/>
  <c r="T1539" i="8"/>
  <c r="T1547" i="8"/>
  <c r="T1555" i="8"/>
  <c r="T1563" i="8"/>
  <c r="T1571" i="8"/>
  <c r="T1579" i="8"/>
  <c r="T1587" i="8"/>
  <c r="T1595" i="8"/>
  <c r="T1603" i="8"/>
  <c r="T1611" i="8"/>
  <c r="T1619" i="8"/>
  <c r="T1627" i="8"/>
  <c r="T1634" i="8"/>
  <c r="T1639" i="8"/>
  <c r="T1644" i="8"/>
  <c r="T1648" i="8"/>
  <c r="T1652" i="8"/>
  <c r="T1656" i="8"/>
  <c r="T1660" i="8"/>
  <c r="T1664" i="8"/>
  <c r="T1668" i="8"/>
  <c r="T1672" i="8"/>
  <c r="T1676" i="8"/>
  <c r="T1680" i="8"/>
  <c r="T1684" i="8"/>
  <c r="T1688" i="8"/>
  <c r="T1692" i="8"/>
  <c r="T1696" i="8"/>
  <c r="T1700" i="8"/>
  <c r="T1704" i="8"/>
  <c r="T1708" i="8"/>
  <c r="T1712" i="8"/>
  <c r="T1716" i="8"/>
  <c r="T1720" i="8"/>
  <c r="T1724" i="8"/>
  <c r="T1728" i="8"/>
  <c r="T1732" i="8"/>
  <c r="T1736" i="8"/>
  <c r="T1740" i="8"/>
  <c r="T1744" i="8"/>
  <c r="T1748" i="8"/>
  <c r="T1752" i="8"/>
  <c r="T1756" i="8"/>
  <c r="T1760" i="8"/>
  <c r="T1764" i="8"/>
  <c r="T1766" i="8"/>
  <c r="T1770" i="8"/>
  <c r="T1774" i="8"/>
  <c r="T1778" i="8"/>
  <c r="T1782" i="8"/>
  <c r="T1786" i="8"/>
  <c r="T1790" i="8"/>
  <c r="T1794" i="8"/>
  <c r="T1798" i="8"/>
  <c r="T1802" i="8"/>
  <c r="T1806" i="8"/>
  <c r="T1170" i="8"/>
  <c r="T1186" i="8"/>
  <c r="T1202" i="8"/>
  <c r="T1218" i="8"/>
  <c r="T1234" i="8"/>
  <c r="T1250" i="8"/>
  <c r="T1266" i="8"/>
  <c r="T1282" i="8"/>
  <c r="T1298" i="8"/>
  <c r="T1314" i="8"/>
  <c r="T1330" i="8"/>
  <c r="T1346" i="8"/>
  <c r="T1362" i="8"/>
  <c r="T1378" i="8"/>
  <c r="T1394" i="8"/>
  <c r="T1410" i="8"/>
  <c r="T1421" i="8"/>
  <c r="T1432" i="8"/>
  <c r="T1442" i="8"/>
  <c r="T1453" i="8"/>
  <c r="T1464" i="8"/>
  <c r="T1474" i="8"/>
  <c r="T1485" i="8"/>
  <c r="T1494" i="8"/>
  <c r="T1502" i="8"/>
  <c r="T1510" i="8"/>
  <c r="T1518" i="8"/>
  <c r="T1526" i="8"/>
  <c r="T1534" i="8"/>
  <c r="T1542" i="8"/>
  <c r="T1550" i="8"/>
  <c r="T1558" i="8"/>
  <c r="T1566" i="8"/>
  <c r="T1574" i="8"/>
  <c r="T1582" i="8"/>
  <c r="T1590" i="8"/>
  <c r="T1598" i="8"/>
  <c r="T1606" i="8"/>
  <c r="T1614" i="8"/>
  <c r="T1622" i="8"/>
  <c r="T1630" i="8"/>
  <c r="T1635" i="8"/>
  <c r="T1641" i="8"/>
  <c r="T1645" i="8"/>
  <c r="T1649" i="8"/>
  <c r="T1173" i="8"/>
  <c r="T1205" i="8"/>
  <c r="T1237" i="8"/>
  <c r="T1269" i="8"/>
  <c r="T1301" i="8"/>
  <c r="T1333" i="8"/>
  <c r="T1365" i="8"/>
  <c r="T1397" i="8"/>
  <c r="T1422" i="8"/>
  <c r="T1444" i="8"/>
  <c r="T1465" i="8"/>
  <c r="T1486" i="8"/>
  <c r="T1503" i="8"/>
  <c r="T1519" i="8"/>
  <c r="T1535" i="8"/>
  <c r="T1551" i="8"/>
  <c r="T1567" i="8"/>
  <c r="T1583" i="8"/>
  <c r="T1599" i="8"/>
  <c r="T1615" i="8"/>
  <c r="T1631" i="8"/>
  <c r="T1642" i="8"/>
  <c r="T1650" i="8"/>
  <c r="T1655" i="8"/>
  <c r="T1661" i="8"/>
  <c r="T1666" i="8"/>
  <c r="T1671" i="8"/>
  <c r="T1677" i="8"/>
  <c r="T1682" i="8"/>
  <c r="T1687" i="8"/>
  <c r="T1693" i="8"/>
  <c r="T1698" i="8"/>
  <c r="T1703" i="8"/>
  <c r="T1709" i="8"/>
  <c r="T1714" i="8"/>
  <c r="T1719" i="8"/>
  <c r="T1725" i="8"/>
  <c r="T1730" i="8"/>
  <c r="T1735" i="8"/>
  <c r="T1741" i="8"/>
  <c r="T1746" i="8"/>
  <c r="T1751" i="8"/>
  <c r="T1757" i="8"/>
  <c r="T1762" i="8"/>
  <c r="T1771" i="8"/>
  <c r="T1776" i="8"/>
  <c r="T1781" i="8"/>
  <c r="T1787" i="8"/>
  <c r="T1792" i="8"/>
  <c r="T1797" i="8"/>
  <c r="T1803" i="8"/>
  <c r="T1808" i="8"/>
  <c r="T1812" i="8"/>
  <c r="T1816" i="8"/>
  <c r="T1820" i="8"/>
  <c r="T1824" i="8"/>
  <c r="T1828" i="8"/>
  <c r="T1832" i="8"/>
  <c r="T1836" i="8"/>
  <c r="T1840" i="8"/>
  <c r="T1844" i="8"/>
  <c r="T1848" i="8"/>
  <c r="T1852" i="8"/>
  <c r="T1856" i="8"/>
  <c r="T1860" i="8"/>
  <c r="T1864" i="8"/>
  <c r="T1868" i="8"/>
  <c r="T1872" i="8"/>
  <c r="T1876" i="8"/>
  <c r="T1880" i="8"/>
  <c r="T1884" i="8"/>
  <c r="T1888" i="8"/>
  <c r="T1892" i="8"/>
  <c r="T1896" i="8"/>
  <c r="T1900" i="8"/>
  <c r="T1904" i="8"/>
  <c r="T1908" i="8"/>
  <c r="T1912" i="8"/>
  <c r="T1916" i="8"/>
  <c r="T1920" i="8"/>
  <c r="T1924" i="8"/>
  <c r="T1928" i="8"/>
  <c r="T1932" i="8"/>
  <c r="T1936" i="8"/>
  <c r="T1940" i="8"/>
  <c r="T1944" i="8"/>
  <c r="T1948" i="8"/>
  <c r="T1952" i="8"/>
  <c r="T1956" i="8"/>
  <c r="T1960" i="8"/>
  <c r="T1964" i="8"/>
  <c r="T1968" i="8"/>
  <c r="T1972" i="8"/>
  <c r="T1976" i="8"/>
  <c r="T1980" i="8"/>
  <c r="T1984" i="8"/>
  <c r="T1988" i="8"/>
  <c r="T1992" i="8"/>
  <c r="T1996" i="8"/>
  <c r="T2000" i="8"/>
  <c r="T2004" i="8"/>
  <c r="T2008" i="8"/>
  <c r="T2012" i="8"/>
  <c r="T2016" i="8"/>
  <c r="T2020" i="8"/>
  <c r="T2024" i="8"/>
  <c r="T2028" i="8"/>
  <c r="T2032" i="8"/>
  <c r="T2036" i="8"/>
  <c r="T2040" i="8"/>
  <c r="T2044" i="8"/>
  <c r="T2048" i="8"/>
  <c r="T2052" i="8"/>
  <c r="T2056" i="8"/>
  <c r="T2060" i="8"/>
  <c r="T2064" i="8"/>
  <c r="T2068" i="8"/>
  <c r="T2072" i="8"/>
  <c r="T2076" i="8"/>
  <c r="T2080" i="8"/>
  <c r="T2084" i="8"/>
  <c r="T2088" i="8"/>
  <c r="T2092" i="8"/>
  <c r="T2096" i="8"/>
  <c r="T2100" i="8"/>
  <c r="T2104" i="8"/>
  <c r="T2108" i="8"/>
  <c r="T2112" i="8"/>
  <c r="T2116" i="8"/>
  <c r="T2120" i="8"/>
  <c r="T2124" i="8"/>
  <c r="T2128" i="8"/>
  <c r="T2132" i="8"/>
  <c r="T2136" i="8"/>
  <c r="T2140" i="8"/>
  <c r="T2144" i="8"/>
  <c r="T2148" i="8"/>
  <c r="T2152" i="8"/>
  <c r="T2156" i="8"/>
  <c r="T2160" i="8"/>
  <c r="T2164" i="8"/>
  <c r="T2168" i="8"/>
  <c r="T2172" i="8"/>
  <c r="T2176" i="8"/>
  <c r="T2180" i="8"/>
  <c r="T2184" i="8"/>
  <c r="T2188" i="8"/>
  <c r="T2192" i="8"/>
  <c r="T1178" i="8"/>
  <c r="T1210" i="8"/>
  <c r="T1242" i="8"/>
  <c r="T1274" i="8"/>
  <c r="T1306" i="8"/>
  <c r="T1338" i="8"/>
  <c r="T1370" i="8"/>
  <c r="T1402" i="8"/>
  <c r="T1426" i="8"/>
  <c r="T1448" i="8"/>
  <c r="T1469" i="8"/>
  <c r="T1490" i="8"/>
  <c r="T1506" i="8"/>
  <c r="T1522" i="8"/>
  <c r="T1538" i="8"/>
  <c r="T1554" i="8"/>
  <c r="T1570" i="8"/>
  <c r="T1586" i="8"/>
  <c r="T1602" i="8"/>
  <c r="T1618" i="8"/>
  <c r="T1633" i="8"/>
  <c r="T1189" i="8"/>
  <c r="T1253" i="8"/>
  <c r="T1317" i="8"/>
  <c r="T1381" i="8"/>
  <c r="T1433" i="8"/>
  <c r="T1476" i="8"/>
  <c r="T1511" i="8"/>
  <c r="T1543" i="8"/>
  <c r="T1575" i="8"/>
  <c r="T1607" i="8"/>
  <c r="T1637" i="8"/>
  <c r="T1647" i="8"/>
  <c r="T1657" i="8"/>
  <c r="T1663" i="8"/>
  <c r="T1670" i="8"/>
  <c r="T1678" i="8"/>
  <c r="T1685" i="8"/>
  <c r="T1691" i="8"/>
  <c r="T1699" i="8"/>
  <c r="T1706" i="8"/>
  <c r="T1713" i="8"/>
  <c r="T1721" i="8"/>
  <c r="T1727" i="8"/>
  <c r="T1734" i="8"/>
  <c r="T1742" i="8"/>
  <c r="T1749" i="8"/>
  <c r="T1755" i="8"/>
  <c r="T1763" i="8"/>
  <c r="T1768" i="8"/>
  <c r="T1775" i="8"/>
  <c r="T1783" i="8"/>
  <c r="T1789" i="8"/>
  <c r="T1796" i="8"/>
  <c r="T1804" i="8"/>
  <c r="T1810" i="8"/>
  <c r="T1815" i="8"/>
  <c r="T1821" i="8"/>
  <c r="T1826" i="8"/>
  <c r="T1831" i="8"/>
  <c r="T1837" i="8"/>
  <c r="T1842" i="8"/>
  <c r="T1847" i="8"/>
  <c r="T1853" i="8"/>
  <c r="T1858" i="8"/>
  <c r="T1863" i="8"/>
  <c r="T1869" i="8"/>
  <c r="T1874" i="8"/>
  <c r="T1879" i="8"/>
  <c r="T1885" i="8"/>
  <c r="T1890" i="8"/>
  <c r="T1895" i="8"/>
  <c r="T1901" i="8"/>
  <c r="T1906" i="8"/>
  <c r="T1911" i="8"/>
  <c r="T1917" i="8"/>
  <c r="T1922" i="8"/>
  <c r="T1927" i="8"/>
  <c r="T1933" i="8"/>
  <c r="T1938" i="8"/>
  <c r="T1943" i="8"/>
  <c r="T1949" i="8"/>
  <c r="T1954" i="8"/>
  <c r="T1959" i="8"/>
  <c r="T1965" i="8"/>
  <c r="T1970" i="8"/>
  <c r="T1975" i="8"/>
  <c r="T1981" i="8"/>
  <c r="T1986" i="8"/>
  <c r="T1991" i="8"/>
  <c r="T1997" i="8"/>
  <c r="T2002" i="8"/>
  <c r="T2007" i="8"/>
  <c r="T2013" i="8"/>
  <c r="T2018" i="8"/>
  <c r="T2023" i="8"/>
  <c r="T2029" i="8"/>
  <c r="T2034" i="8"/>
  <c r="T2039" i="8"/>
  <c r="T2045" i="8"/>
  <c r="T2050" i="8"/>
  <c r="T2055" i="8"/>
  <c r="T2061" i="8"/>
  <c r="T2066" i="8"/>
  <c r="T2071" i="8"/>
  <c r="T2077" i="8"/>
  <c r="T2082" i="8"/>
  <c r="T2087" i="8"/>
  <c r="T2093" i="8"/>
  <c r="T2098" i="8"/>
  <c r="T2103" i="8"/>
  <c r="T2109" i="8"/>
  <c r="T2114" i="8"/>
  <c r="T2119" i="8"/>
  <c r="T2125" i="8"/>
  <c r="T2130" i="8"/>
  <c r="T2135" i="8"/>
  <c r="T2141" i="8"/>
  <c r="T2146" i="8"/>
  <c r="T2151" i="8"/>
  <c r="T2157" i="8"/>
  <c r="T2162" i="8"/>
  <c r="T2167" i="8"/>
  <c r="T2173" i="8"/>
  <c r="T2178" i="8"/>
  <c r="T2183" i="8"/>
  <c r="T2189" i="8"/>
  <c r="T1194" i="8"/>
  <c r="T1258" i="8"/>
  <c r="T1322" i="8"/>
  <c r="T1386" i="8"/>
  <c r="T1437" i="8"/>
  <c r="T1480" i="8"/>
  <c r="T1514" i="8"/>
  <c r="T1546" i="8"/>
  <c r="T1578" i="8"/>
  <c r="T1610" i="8"/>
  <c r="T1638" i="8"/>
  <c r="T1651" i="8"/>
  <c r="T1658" i="8"/>
  <c r="T1665" i="8"/>
  <c r="T1673" i="8"/>
  <c r="T1679" i="8"/>
  <c r="T1686" i="8"/>
  <c r="T1694" i="8"/>
  <c r="T1701" i="8"/>
  <c r="T1707" i="8"/>
  <c r="T1715" i="8"/>
  <c r="T1722" i="8"/>
  <c r="T1729" i="8"/>
  <c r="T1737" i="8"/>
  <c r="T1743" i="8"/>
  <c r="T1750" i="8"/>
  <c r="T1758" i="8"/>
  <c r="T1765" i="8"/>
  <c r="T1769" i="8"/>
  <c r="T1777" i="8"/>
  <c r="T1784" i="8"/>
  <c r="T1791" i="8"/>
  <c r="T1799" i="8"/>
  <c r="T1805" i="8"/>
  <c r="T1811" i="8"/>
  <c r="T1817" i="8"/>
  <c r="T1822" i="8"/>
  <c r="T1827" i="8"/>
  <c r="T1833" i="8"/>
  <c r="T1838" i="8"/>
  <c r="T1843" i="8"/>
  <c r="T1849" i="8"/>
  <c r="T1854" i="8"/>
  <c r="T1859" i="8"/>
  <c r="T1865" i="8"/>
  <c r="T1870" i="8"/>
  <c r="T1875" i="8"/>
  <c r="T1881" i="8"/>
  <c r="T1886" i="8"/>
  <c r="T1891" i="8"/>
  <c r="T1897" i="8"/>
  <c r="T1902" i="8"/>
  <c r="T1907" i="8"/>
  <c r="T1913" i="8"/>
  <c r="T1918" i="8"/>
  <c r="T1923" i="8"/>
  <c r="T1929" i="8"/>
  <c r="T1934" i="8"/>
  <c r="T1939" i="8"/>
  <c r="T1945" i="8"/>
  <c r="T1950" i="8"/>
  <c r="T1955" i="8"/>
  <c r="T1961" i="8"/>
  <c r="T1966" i="8"/>
  <c r="T1971" i="8"/>
  <c r="T1977" i="8"/>
  <c r="T1982" i="8"/>
  <c r="T1987" i="8"/>
  <c r="T1993" i="8"/>
  <c r="T1998" i="8"/>
  <c r="T2003" i="8"/>
  <c r="T2009" i="8"/>
  <c r="T2014" i="8"/>
  <c r="T2019" i="8"/>
  <c r="T2025" i="8"/>
  <c r="T2030" i="8"/>
  <c r="T2035" i="8"/>
  <c r="T2041" i="8"/>
  <c r="T2046" i="8"/>
  <c r="T2051" i="8"/>
  <c r="T2057" i="8"/>
  <c r="T2062" i="8"/>
  <c r="T2067" i="8"/>
  <c r="T2073" i="8"/>
  <c r="T2083" i="8"/>
  <c r="T2187" i="8"/>
  <c r="T2181" i="8"/>
  <c r="T2174" i="8"/>
  <c r="T2166" i="8"/>
  <c r="T2159" i="8"/>
  <c r="T2153" i="8"/>
  <c r="T2145" i="8"/>
  <c r="T2138" i="8"/>
  <c r="T2131" i="8"/>
  <c r="T2123" i="8"/>
  <c r="T2117" i="8"/>
  <c r="T2110" i="8"/>
  <c r="T2102" i="8"/>
  <c r="T2095" i="8"/>
  <c r="T2089" i="8"/>
  <c r="T2079" i="8"/>
  <c r="T2070" i="8"/>
  <c r="T2059" i="8"/>
  <c r="T2049" i="8"/>
  <c r="T2038" i="8"/>
  <c r="T2027" i="8"/>
  <c r="T2017" i="8"/>
  <c r="T2006" i="8"/>
  <c r="T1995" i="8"/>
  <c r="T1985" i="8"/>
  <c r="T1974" i="8"/>
  <c r="T1963" i="8"/>
  <c r="T1953" i="8"/>
  <c r="T1942" i="8"/>
  <c r="T1931" i="8"/>
  <c r="T1921" i="8"/>
  <c r="T1910" i="8"/>
  <c r="T1899" i="8"/>
  <c r="T1889" i="8"/>
  <c r="T1878" i="8"/>
  <c r="T1867" i="8"/>
  <c r="T1857" i="8"/>
  <c r="T1846" i="8"/>
  <c r="T1835" i="8"/>
  <c r="T1825" i="8"/>
  <c r="T1814" i="8"/>
  <c r="T1801" i="8"/>
  <c r="T1788" i="8"/>
  <c r="T1773" i="8"/>
  <c r="T1761" i="8"/>
  <c r="T1747" i="8"/>
  <c r="T1733" i="8"/>
  <c r="T1718" i="8"/>
  <c r="T1705" i="8"/>
  <c r="T1690" i="8"/>
  <c r="T1675" i="8"/>
  <c r="T1662" i="8"/>
  <c r="T1646" i="8"/>
  <c r="T1594" i="8"/>
  <c r="T1530" i="8"/>
  <c r="T1458" i="8"/>
  <c r="T1354" i="8"/>
  <c r="T1226" i="8"/>
  <c r="T2193" i="8"/>
  <c r="T2186" i="8"/>
  <c r="T2179" i="8"/>
  <c r="T2171" i="8"/>
  <c r="T2165" i="8"/>
  <c r="T2158" i="8"/>
  <c r="T2150" i="8"/>
  <c r="T2143" i="8"/>
  <c r="T2137" i="8"/>
  <c r="T2129" i="8"/>
  <c r="T2122" i="8"/>
  <c r="T2115" i="8"/>
  <c r="T2107" i="8"/>
  <c r="T2101" i="8"/>
  <c r="T2094" i="8"/>
  <c r="T2086" i="8"/>
  <c r="T2078" i="8"/>
  <c r="T2069" i="8"/>
  <c r="T2058" i="8"/>
  <c r="T2047" i="8"/>
  <c r="T2037" i="8"/>
  <c r="T2026" i="8"/>
  <c r="T2015" i="8"/>
  <c r="T2005" i="8"/>
  <c r="T1994" i="8"/>
  <c r="T1983" i="8"/>
  <c r="T1973" i="8"/>
  <c r="T1962" i="8"/>
  <c r="T1951" i="8"/>
  <c r="T1941" i="8"/>
  <c r="T1930" i="8"/>
  <c r="T1919" i="8"/>
  <c r="T1909" i="8"/>
  <c r="T1898" i="8"/>
  <c r="T1887" i="8"/>
  <c r="T1877" i="8"/>
  <c r="T1866" i="8"/>
  <c r="T1855" i="8"/>
  <c r="T1845" i="8"/>
  <c r="T1834" i="8"/>
  <c r="T1823" i="8"/>
  <c r="T1813" i="8"/>
  <c r="T1800" i="8"/>
  <c r="T1785" i="8"/>
  <c r="T1772" i="8"/>
  <c r="T1759" i="8"/>
  <c r="T1745" i="8"/>
  <c r="T1731" i="8"/>
  <c r="T1717" i="8"/>
  <c r="T1702" i="8"/>
  <c r="T1689" i="8"/>
  <c r="T1674" i="8"/>
  <c r="T1659" i="8"/>
  <c r="T1643" i="8"/>
  <c r="T1591" i="8"/>
  <c r="T1527" i="8"/>
  <c r="T1454" i="8"/>
  <c r="T1349" i="8"/>
  <c r="T1221" i="8"/>
  <c r="T1161" i="8"/>
  <c r="T1169" i="8"/>
  <c r="T1177" i="8"/>
  <c r="T1185" i="8"/>
  <c r="T1193" i="8"/>
  <c r="T1201" i="8"/>
  <c r="T1209" i="8"/>
  <c r="T1217" i="8"/>
  <c r="T1225" i="8"/>
  <c r="T1233" i="8"/>
  <c r="T1241" i="8"/>
  <c r="T1249" i="8"/>
  <c r="T1257" i="8"/>
  <c r="T1265" i="8"/>
  <c r="T1273" i="8"/>
  <c r="T1281" i="8"/>
  <c r="T1289" i="8"/>
  <c r="T1297" i="8"/>
  <c r="T1305" i="8"/>
  <c r="T1313" i="8"/>
  <c r="T1321" i="8"/>
  <c r="T1329" i="8"/>
  <c r="T1337" i="8"/>
  <c r="T1345" i="8"/>
  <c r="T1353" i="8"/>
  <c r="T1361" i="8"/>
  <c r="T1369" i="8"/>
  <c r="T1377" i="8"/>
  <c r="T1385" i="8"/>
  <c r="T1393" i="8"/>
  <c r="T1401" i="8"/>
  <c r="T1409" i="8"/>
  <c r="T1414" i="8"/>
  <c r="T1420" i="8"/>
  <c r="T1425" i="8"/>
  <c r="T1430" i="8"/>
  <c r="T1436" i="8"/>
  <c r="T1441" i="8"/>
  <c r="T1446" i="8"/>
  <c r="T1452" i="8"/>
  <c r="T1457" i="8"/>
  <c r="T1462" i="8"/>
  <c r="T1468" i="8"/>
  <c r="T1473" i="8"/>
  <c r="T1478" i="8"/>
  <c r="T1484" i="8"/>
  <c r="T1489" i="8"/>
  <c r="T1493" i="8"/>
  <c r="T1497" i="8"/>
  <c r="T1501" i="8"/>
  <c r="T1505" i="8"/>
  <c r="T1509" i="8"/>
  <c r="T1513" i="8"/>
  <c r="T1517" i="8"/>
  <c r="T1521" i="8"/>
  <c r="T1525" i="8"/>
  <c r="T1529" i="8"/>
  <c r="T1533" i="8"/>
  <c r="T1537" i="8"/>
  <c r="T1541" i="8"/>
  <c r="T1545" i="8"/>
  <c r="T1549" i="8"/>
  <c r="T1553" i="8"/>
  <c r="T1557" i="8"/>
  <c r="T1561" i="8"/>
  <c r="T1565" i="8"/>
  <c r="T1569" i="8"/>
  <c r="T1573" i="8"/>
  <c r="T1577" i="8"/>
  <c r="T1581" i="8"/>
  <c r="T1585" i="8"/>
  <c r="T1589" i="8"/>
  <c r="T1593" i="8"/>
  <c r="T1597" i="8"/>
  <c r="T1601" i="8"/>
  <c r="T1605" i="8"/>
  <c r="T1609" i="8"/>
  <c r="T1613" i="8"/>
  <c r="T1617" i="8"/>
  <c r="T1621" i="8"/>
  <c r="T1625" i="8"/>
  <c r="T1629" i="8"/>
  <c r="T1146" i="8"/>
  <c r="T1166" i="8"/>
  <c r="T1174" i="8"/>
  <c r="T1182" i="8"/>
  <c r="T1190" i="8"/>
  <c r="T1198" i="8"/>
  <c r="T1206" i="8"/>
  <c r="T1214" i="8"/>
  <c r="T1222" i="8"/>
  <c r="T1230" i="8"/>
  <c r="T1238" i="8"/>
  <c r="T1246" i="8"/>
  <c r="T1254" i="8"/>
  <c r="T1262" i="8"/>
  <c r="T1270" i="8"/>
  <c r="T1278" i="8"/>
  <c r="T1286" i="8"/>
  <c r="T1294" i="8"/>
  <c r="T1302" i="8"/>
  <c r="T1310" i="8"/>
  <c r="T1318" i="8"/>
  <c r="T1326" i="8"/>
  <c r="T1334" i="8"/>
  <c r="T1342" i="8"/>
  <c r="T1350" i="8"/>
  <c r="T1358" i="8"/>
  <c r="T1366" i="8"/>
  <c r="T1374" i="8"/>
  <c r="T1382" i="8"/>
  <c r="T1390" i="8"/>
  <c r="T1398" i="8"/>
  <c r="T1406" i="8"/>
  <c r="T1413" i="8"/>
  <c r="T1418" i="8"/>
  <c r="T1424" i="8"/>
  <c r="T1429" i="8"/>
  <c r="T1434" i="8"/>
  <c r="T1440" i="8"/>
  <c r="T1445" i="8"/>
  <c r="T1450" i="8"/>
  <c r="T1456" i="8"/>
  <c r="T1461" i="8"/>
  <c r="T1466" i="8"/>
  <c r="T1472" i="8"/>
  <c r="T1477" i="8"/>
  <c r="T1482" i="8"/>
  <c r="T1488" i="8"/>
  <c r="T1492" i="8"/>
  <c r="T1496" i="8"/>
  <c r="T1500" i="8"/>
  <c r="T1504" i="8"/>
  <c r="T1508" i="8"/>
  <c r="T1512" i="8"/>
  <c r="T1516" i="8"/>
  <c r="T1520" i="8"/>
  <c r="T1524" i="8"/>
  <c r="T1528" i="8"/>
  <c r="T1532" i="8"/>
  <c r="T1536" i="8"/>
  <c r="T1540" i="8"/>
  <c r="T1544" i="8"/>
  <c r="T1548" i="8"/>
  <c r="T1552" i="8"/>
  <c r="T1556" i="8"/>
  <c r="T1560" i="8"/>
  <c r="T1564" i="8"/>
  <c r="T1568" i="8"/>
  <c r="T1572" i="8"/>
  <c r="T1576" i="8"/>
  <c r="T1580" i="8"/>
  <c r="T1584" i="8"/>
  <c r="T1588" i="8"/>
  <c r="T1592" i="8"/>
  <c r="T1596" i="8"/>
  <c r="T1600" i="8"/>
  <c r="T1604" i="8"/>
  <c r="T1608" i="8"/>
  <c r="T1612" i="8"/>
  <c r="T1616" i="8"/>
  <c r="T1620" i="8"/>
  <c r="T1624" i="8"/>
  <c r="T1628" i="8"/>
  <c r="T1632" i="8"/>
  <c r="T1636" i="8"/>
  <c r="T1640" i="8"/>
  <c r="T1142" i="8"/>
  <c r="T1128" i="8"/>
  <c r="T418" i="8"/>
  <c r="T972" i="8"/>
  <c r="T1154" i="8"/>
  <c r="T1164" i="8"/>
  <c r="T1168" i="8"/>
  <c r="T1172" i="8"/>
  <c r="T1176" i="8"/>
  <c r="T1180" i="8"/>
  <c r="T1184" i="8"/>
  <c r="T1188" i="8"/>
  <c r="T1192" i="8"/>
  <c r="T1196" i="8"/>
  <c r="T1200" i="8"/>
  <c r="T1204" i="8"/>
  <c r="T1208" i="8"/>
  <c r="T1212" i="8"/>
  <c r="T1216" i="8"/>
  <c r="T1220" i="8"/>
  <c r="T1224" i="8"/>
  <c r="T1228" i="8"/>
  <c r="T1232" i="8"/>
  <c r="T1236" i="8"/>
  <c r="T1240" i="8"/>
  <c r="T1244" i="8"/>
  <c r="T1248" i="8"/>
  <c r="T1252" i="8"/>
  <c r="T1256" i="8"/>
  <c r="T1260" i="8"/>
  <c r="T1264" i="8"/>
  <c r="T1268" i="8"/>
  <c r="T1272" i="8"/>
  <c r="T1276" i="8"/>
  <c r="T1280" i="8"/>
  <c r="T1284" i="8"/>
  <c r="T1288" i="8"/>
  <c r="T1292" i="8"/>
  <c r="T1296" i="8"/>
  <c r="T1300" i="8"/>
  <c r="T1304" i="8"/>
  <c r="T1308" i="8"/>
  <c r="T1312" i="8"/>
  <c r="T1316" i="8"/>
  <c r="T1320" i="8"/>
  <c r="T1324" i="8"/>
  <c r="T1328" i="8"/>
  <c r="T1332" i="8"/>
  <c r="T1336" i="8"/>
  <c r="T1340" i="8"/>
  <c r="T1344" i="8"/>
  <c r="T1348" i="8"/>
  <c r="T1352" i="8"/>
  <c r="T1356" i="8"/>
  <c r="T1360" i="8"/>
  <c r="T1364" i="8"/>
  <c r="T1368" i="8"/>
  <c r="T1372" i="8"/>
  <c r="T1376" i="8"/>
  <c r="T1380" i="8"/>
  <c r="T1384" i="8"/>
  <c r="T1388" i="8"/>
  <c r="T1392" i="8"/>
  <c r="T1396" i="8"/>
  <c r="T1400" i="8"/>
  <c r="T1404" i="8"/>
  <c r="T1408" i="8"/>
  <c r="T42" i="8"/>
  <c r="T968" i="8"/>
  <c r="T1150" i="8"/>
  <c r="T1163" i="8"/>
  <c r="T1167" i="8"/>
  <c r="T1171" i="8"/>
  <c r="T1175" i="8"/>
  <c r="T1179" i="8"/>
  <c r="T1183" i="8"/>
  <c r="T1187" i="8"/>
  <c r="T1191" i="8"/>
  <c r="T1195" i="8"/>
  <c r="T1199" i="8"/>
  <c r="T1203" i="8"/>
  <c r="T1207" i="8"/>
  <c r="T1211" i="8"/>
  <c r="T1215" i="8"/>
  <c r="T1219" i="8"/>
  <c r="T1223" i="8"/>
  <c r="T1227" i="8"/>
  <c r="T1231" i="8"/>
  <c r="T1235" i="8"/>
  <c r="T1239" i="8"/>
  <c r="T1243" i="8"/>
  <c r="T1247" i="8"/>
  <c r="T1251" i="8"/>
  <c r="T1255" i="8"/>
  <c r="T1259" i="8"/>
  <c r="T1263" i="8"/>
  <c r="T1267" i="8"/>
  <c r="T1271" i="8"/>
  <c r="T1275" i="8"/>
  <c r="T1279" i="8"/>
  <c r="T1283" i="8"/>
  <c r="T1287" i="8"/>
  <c r="T1291" i="8"/>
  <c r="T1295" i="8"/>
  <c r="T1299" i="8"/>
  <c r="T1303" i="8"/>
  <c r="T1307" i="8"/>
  <c r="T1311" i="8"/>
  <c r="T1315" i="8"/>
  <c r="T1319" i="8"/>
  <c r="T1323" i="8"/>
  <c r="T1327" i="8"/>
  <c r="T1331" i="8"/>
  <c r="T1335" i="8"/>
  <c r="T1339" i="8"/>
  <c r="T1343" i="8"/>
  <c r="T1347" i="8"/>
  <c r="T1351" i="8"/>
  <c r="T1355" i="8"/>
  <c r="T1359" i="8"/>
  <c r="T1363" i="8"/>
  <c r="T1367" i="8"/>
  <c r="T1371" i="8"/>
  <c r="T1375" i="8"/>
  <c r="T1379" i="8"/>
  <c r="T1383" i="8"/>
  <c r="T1387" i="8"/>
  <c r="T1391" i="8"/>
  <c r="T1395" i="8"/>
  <c r="T1399" i="8"/>
  <c r="T1403" i="8"/>
  <c r="T1407" i="8"/>
  <c r="T1411" i="8"/>
  <c r="T1415" i="8"/>
  <c r="T1419" i="8"/>
  <c r="T1423" i="8"/>
  <c r="T1427" i="8"/>
  <c r="T1431" i="8"/>
  <c r="T1435" i="8"/>
  <c r="T1439" i="8"/>
  <c r="T1443" i="8"/>
  <c r="T1447" i="8"/>
  <c r="T1451" i="8"/>
  <c r="T1455" i="8"/>
  <c r="T1459" i="8"/>
  <c r="T1463" i="8"/>
  <c r="T1467" i="8"/>
  <c r="T1471" i="8"/>
  <c r="T1475" i="8"/>
  <c r="T1479" i="8"/>
  <c r="T1483" i="8"/>
  <c r="T1487" i="8"/>
  <c r="T976" i="8"/>
  <c r="T964" i="8"/>
  <c r="T1153" i="8"/>
  <c r="T1145" i="8"/>
  <c r="T971" i="8"/>
  <c r="T963" i="8"/>
  <c r="T483" i="8"/>
  <c r="T41" i="8"/>
  <c r="T1133" i="8"/>
  <c r="T1156" i="8"/>
  <c r="T1152" i="8"/>
  <c r="T1144" i="8"/>
  <c r="T1155" i="8"/>
  <c r="T1151" i="8"/>
  <c r="T1147" i="8"/>
  <c r="T1143" i="8"/>
  <c r="T973" i="8"/>
  <c r="T969" i="8"/>
  <c r="T965" i="8"/>
  <c r="T961" i="8"/>
  <c r="T419" i="8"/>
  <c r="T415" i="8"/>
  <c r="T1131" i="8"/>
  <c r="T1149" i="8"/>
  <c r="T975" i="8"/>
  <c r="T967" i="8"/>
  <c r="T417" i="8"/>
  <c r="T1148" i="8"/>
  <c r="T974" i="8"/>
  <c r="T970" i="8"/>
  <c r="T966" i="8"/>
  <c r="T962" i="8"/>
  <c r="T482" i="8"/>
  <c r="T416" i="8"/>
  <c r="T40" i="8"/>
  <c r="T1132" i="8"/>
  <c r="W2123" i="8" l="1"/>
  <c r="W2124" i="8"/>
  <c r="W2125" i="8"/>
  <c r="W2126" i="8"/>
  <c r="W2127" i="8"/>
  <c r="W2128" i="8"/>
  <c r="W2129" i="8"/>
  <c r="W2130" i="8"/>
  <c r="W2131" i="8"/>
  <c r="W2132" i="8"/>
  <c r="W2133" i="8"/>
  <c r="W2134" i="8"/>
  <c r="W2135" i="8"/>
  <c r="W2136" i="8"/>
  <c r="W2137" i="8"/>
  <c r="W2138" i="8"/>
  <c r="W2139" i="8"/>
  <c r="W2140" i="8"/>
  <c r="W2141" i="8"/>
  <c r="W2142" i="8"/>
  <c r="W2143" i="8"/>
  <c r="W2144" i="8"/>
  <c r="W2145" i="8"/>
  <c r="W2146" i="8"/>
  <c r="W2147" i="8"/>
  <c r="W2148" i="8"/>
  <c r="W2149" i="8"/>
  <c r="W2150" i="8"/>
  <c r="W2151" i="8"/>
  <c r="W2152" i="8"/>
  <c r="W2153" i="8"/>
  <c r="W2154" i="8"/>
  <c r="W2155" i="8"/>
  <c r="W2156" i="8"/>
  <c r="W2157" i="8"/>
  <c r="W2158" i="8"/>
  <c r="W2159" i="8"/>
  <c r="W2160" i="8"/>
  <c r="W2161" i="8"/>
  <c r="W2162" i="8"/>
  <c r="W2163" i="8"/>
  <c r="W2164" i="8"/>
  <c r="W2165" i="8"/>
  <c r="W2166" i="8"/>
  <c r="W2167" i="8"/>
  <c r="W2168" i="8"/>
  <c r="W2169" i="8"/>
  <c r="W2170" i="8"/>
  <c r="W2171" i="8"/>
  <c r="W2172" i="8"/>
  <c r="W2173" i="8"/>
  <c r="W2174" i="8"/>
  <c r="W2175" i="8"/>
  <c r="W2176" i="8"/>
  <c r="W2177" i="8"/>
  <c r="W2178" i="8"/>
  <c r="W2179" i="8"/>
  <c r="W2180" i="8"/>
  <c r="W2181" i="8"/>
  <c r="W2182" i="8"/>
  <c r="W2183" i="8"/>
  <c r="W2184" i="8"/>
  <c r="W2185" i="8"/>
  <c r="W2186" i="8"/>
  <c r="W2187" i="8"/>
  <c r="W2188" i="8"/>
  <c r="W2189" i="8"/>
  <c r="W2190" i="8"/>
  <c r="W2191" i="8"/>
  <c r="W2192" i="8"/>
  <c r="W2193" i="8"/>
  <c r="Z2193" i="8"/>
  <c r="S2193" i="8" l="1"/>
  <c r="S2189" i="8"/>
  <c r="S2185" i="8"/>
  <c r="S2181" i="8"/>
  <c r="S2192" i="8"/>
  <c r="S2188" i="8"/>
  <c r="S2184" i="8"/>
  <c r="S2180" i="8"/>
  <c r="S2191" i="8"/>
  <c r="S2187" i="8"/>
  <c r="S2183" i="8"/>
  <c r="S2179" i="8"/>
  <c r="S2190" i="8"/>
  <c r="S2186" i="8"/>
  <c r="S2182" i="8"/>
  <c r="S2178" i="8"/>
  <c r="Z760" i="8" l="1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6" i="8"/>
  <c r="P807" i="8"/>
  <c r="P808" i="8"/>
  <c r="P809" i="8"/>
  <c r="P810" i="8"/>
  <c r="P811" i="8"/>
  <c r="P812" i="8"/>
  <c r="P813" i="8"/>
  <c r="P814" i="8"/>
  <c r="P815" i="8"/>
  <c r="P816" i="8"/>
  <c r="P743" i="8"/>
  <c r="P744" i="8"/>
  <c r="G67" i="6" l="1"/>
  <c r="H67" i="6" s="1"/>
  <c r="G71" i="6"/>
  <c r="H71" i="6" s="1"/>
  <c r="G68" i="6"/>
  <c r="H68" i="6" s="1"/>
  <c r="G70" i="6"/>
  <c r="H70" i="6" s="1"/>
  <c r="U1791" i="8" s="1"/>
  <c r="G74" i="6"/>
  <c r="H74" i="6" s="1"/>
  <c r="G76" i="6"/>
  <c r="H76" i="6" s="1"/>
  <c r="G77" i="6"/>
  <c r="H77" i="6" s="1"/>
  <c r="G80" i="6"/>
  <c r="H80" i="6" s="1"/>
  <c r="G75" i="6"/>
  <c r="H75" i="6" s="1"/>
  <c r="G81" i="6"/>
  <c r="H81" i="6" s="1"/>
  <c r="G78" i="6"/>
  <c r="H78" i="6" s="1"/>
  <c r="G79" i="6"/>
  <c r="H79" i="6" s="1"/>
  <c r="G69" i="6"/>
  <c r="H69" i="6" s="1"/>
  <c r="G72" i="6"/>
  <c r="H72" i="6" s="1"/>
  <c r="G73" i="6"/>
  <c r="H73" i="6" s="1"/>
  <c r="G17" i="6"/>
  <c r="H17" i="6" s="1"/>
  <c r="G31" i="6"/>
  <c r="H31" i="6" s="1"/>
  <c r="G5" i="6"/>
  <c r="H5" i="6" s="1"/>
  <c r="G9" i="6"/>
  <c r="H9" i="6" s="1"/>
  <c r="G13" i="6"/>
  <c r="H13" i="6" s="1"/>
  <c r="G18" i="6"/>
  <c r="H18" i="6" s="1"/>
  <c r="G22" i="6"/>
  <c r="H22" i="6" s="1"/>
  <c r="G26" i="6"/>
  <c r="H26" i="6" s="1"/>
  <c r="G30" i="6"/>
  <c r="H30" i="6" s="1"/>
  <c r="G2" i="6"/>
  <c r="H2" i="6" s="1"/>
  <c r="G6" i="6"/>
  <c r="H6" i="6" s="1"/>
  <c r="G10" i="6"/>
  <c r="H10" i="6" s="1"/>
  <c r="G14" i="6"/>
  <c r="H14" i="6" s="1"/>
  <c r="G19" i="6"/>
  <c r="H19" i="6" s="1"/>
  <c r="G23" i="6"/>
  <c r="H23" i="6" s="1"/>
  <c r="G27" i="6"/>
  <c r="H27" i="6" s="1"/>
  <c r="G32" i="6"/>
  <c r="H32" i="6" s="1"/>
  <c r="G36" i="6"/>
  <c r="H36" i="6" s="1"/>
  <c r="G40" i="6"/>
  <c r="H40" i="6" s="1"/>
  <c r="U1763" i="8" s="1"/>
  <c r="G44" i="6"/>
  <c r="H44" i="6" s="1"/>
  <c r="U1778" i="8" s="1"/>
  <c r="G48" i="6"/>
  <c r="H48" i="6" s="1"/>
  <c r="G52" i="6"/>
  <c r="H52" i="6" s="1"/>
  <c r="G56" i="6"/>
  <c r="H56" i="6" s="1"/>
  <c r="G60" i="6"/>
  <c r="H60" i="6" s="1"/>
  <c r="G8" i="6"/>
  <c r="H8" i="6" s="1"/>
  <c r="G16" i="6"/>
  <c r="H16" i="6" s="1"/>
  <c r="G25" i="6"/>
  <c r="H25" i="6" s="1"/>
  <c r="G34" i="6"/>
  <c r="H34" i="6" s="1"/>
  <c r="G39" i="6"/>
  <c r="H39" i="6" s="1"/>
  <c r="G45" i="6"/>
  <c r="H45" i="6" s="1"/>
  <c r="G50" i="6"/>
  <c r="H50" i="6" s="1"/>
  <c r="G55" i="6"/>
  <c r="H55" i="6" s="1"/>
  <c r="G61" i="6"/>
  <c r="H61" i="6" s="1"/>
  <c r="G65" i="6"/>
  <c r="H65" i="6" s="1"/>
  <c r="G4" i="6"/>
  <c r="H4" i="6" s="1"/>
  <c r="G21" i="6"/>
  <c r="H21" i="6" s="1"/>
  <c r="G37" i="6"/>
  <c r="H37" i="6" s="1"/>
  <c r="G58" i="6"/>
  <c r="H58" i="6" s="1"/>
  <c r="G3" i="6"/>
  <c r="H3" i="6" s="1"/>
  <c r="G11" i="6"/>
  <c r="H11" i="6" s="1"/>
  <c r="G20" i="6"/>
  <c r="H20" i="6" s="1"/>
  <c r="G28" i="6"/>
  <c r="H28" i="6" s="1"/>
  <c r="G35" i="6"/>
  <c r="H35" i="6" s="1"/>
  <c r="G41" i="6"/>
  <c r="H41" i="6" s="1"/>
  <c r="G46" i="6"/>
  <c r="H46" i="6" s="1"/>
  <c r="G51" i="6"/>
  <c r="H51" i="6" s="1"/>
  <c r="G57" i="6"/>
  <c r="H57" i="6" s="1"/>
  <c r="G62" i="6"/>
  <c r="H62" i="6" s="1"/>
  <c r="G66" i="6"/>
  <c r="H66" i="6" s="1"/>
  <c r="G12" i="6"/>
  <c r="H12" i="6" s="1"/>
  <c r="G29" i="6"/>
  <c r="H29" i="6" s="1"/>
  <c r="G42" i="6"/>
  <c r="H42" i="6" s="1"/>
  <c r="G47" i="6"/>
  <c r="H47" i="6" s="1"/>
  <c r="G53" i="6"/>
  <c r="H53" i="6" s="1"/>
  <c r="G63" i="6"/>
  <c r="H63" i="6" s="1"/>
  <c r="G24" i="6"/>
  <c r="H24" i="6" s="1"/>
  <c r="G49" i="6"/>
  <c r="H49" i="6" s="1"/>
  <c r="G7" i="6"/>
  <c r="H7" i="6" s="1"/>
  <c r="G15" i="6"/>
  <c r="H15" i="6" s="1"/>
  <c r="G64" i="6"/>
  <c r="H64" i="6" s="1"/>
  <c r="G33" i="6"/>
  <c r="H33" i="6" s="1"/>
  <c r="G54" i="6"/>
  <c r="H54" i="6" s="1"/>
  <c r="G38" i="6"/>
  <c r="H38" i="6" s="1"/>
  <c r="G59" i="6"/>
  <c r="H59" i="6" s="1"/>
  <c r="G43" i="6"/>
  <c r="H43" i="6" s="1"/>
  <c r="S760" i="8"/>
  <c r="U1784" i="8" l="1"/>
  <c r="U1765" i="8"/>
  <c r="U1761" i="8"/>
  <c r="U189" i="8"/>
  <c r="U210" i="8"/>
  <c r="U90" i="8"/>
  <c r="U159" i="8"/>
  <c r="U23" i="8"/>
  <c r="U173" i="8"/>
  <c r="U638" i="8"/>
  <c r="U750" i="8"/>
  <c r="U823" i="8"/>
  <c r="U946" i="8"/>
  <c r="U1097" i="8"/>
  <c r="U1151" i="8"/>
  <c r="U925" i="8"/>
  <c r="U431" i="8"/>
  <c r="U408" i="8"/>
  <c r="U482" i="8"/>
  <c r="U1215" i="8"/>
  <c r="U1506" i="8"/>
  <c r="U1752" i="8"/>
  <c r="U1668" i="8"/>
  <c r="U1045" i="8"/>
  <c r="U1769" i="8"/>
  <c r="U1825" i="8"/>
  <c r="U1776" i="8"/>
  <c r="U1793" i="8"/>
  <c r="U1800" i="8"/>
  <c r="U1829" i="8"/>
  <c r="U1772" i="8"/>
  <c r="U1799" i="8"/>
  <c r="U1775" i="8"/>
  <c r="U1827" i="8"/>
  <c r="U202" i="8"/>
  <c r="U357" i="8"/>
  <c r="U21" i="8"/>
  <c r="U167" i="8"/>
  <c r="U8" i="8"/>
  <c r="U245" i="8"/>
  <c r="U221" i="8"/>
  <c r="U274" i="8"/>
  <c r="U297" i="8"/>
  <c r="U800" i="8"/>
  <c r="U1337" i="8"/>
  <c r="U1397" i="8"/>
  <c r="U1414" i="8"/>
  <c r="U33" i="8"/>
  <c r="U722" i="8"/>
  <c r="U747" i="8"/>
  <c r="U1036" i="8"/>
  <c r="U1107" i="8"/>
  <c r="U1409" i="8"/>
  <c r="U708" i="8"/>
  <c r="U1121" i="8"/>
  <c r="U1728" i="8"/>
  <c r="U182" i="8"/>
  <c r="U1088" i="8"/>
  <c r="U1173" i="8"/>
  <c r="U1429" i="8"/>
  <c r="U1629" i="8"/>
  <c r="U1208" i="8"/>
  <c r="U1482" i="8"/>
  <c r="U113" i="8"/>
  <c r="U500" i="8"/>
  <c r="U577" i="8"/>
  <c r="U582" i="8"/>
  <c r="U127" i="8"/>
  <c r="U349" i="8"/>
  <c r="U487" i="8"/>
  <c r="U414" i="8"/>
  <c r="U434" i="8"/>
  <c r="U659" i="8"/>
  <c r="U753" i="8"/>
  <c r="U849" i="8"/>
  <c r="U541" i="8"/>
  <c r="U595" i="8"/>
  <c r="U711" i="8"/>
  <c r="U765" i="8"/>
  <c r="U784" i="8"/>
  <c r="U325" i="8"/>
  <c r="U900" i="8"/>
  <c r="U911" i="8"/>
  <c r="U995" i="8"/>
  <c r="U1004" i="8"/>
  <c r="U1232" i="8"/>
  <c r="U1347" i="8"/>
  <c r="U1432" i="8"/>
  <c r="U640" i="8"/>
  <c r="U852" i="8"/>
  <c r="U1449" i="8"/>
  <c r="U1465" i="8"/>
  <c r="U1511" i="8"/>
  <c r="U815" i="8"/>
  <c r="U1457" i="8"/>
  <c r="U889" i="8"/>
  <c r="U1050" i="8"/>
  <c r="U1142" i="8"/>
  <c r="U1200" i="8"/>
  <c r="U1441" i="8"/>
  <c r="U1687" i="8"/>
  <c r="U776" i="8"/>
  <c r="U973" i="8"/>
  <c r="U1180" i="8"/>
  <c r="U1353" i="8"/>
  <c r="U1669" i="8"/>
  <c r="U516" i="8"/>
  <c r="U842" i="8"/>
  <c r="U927" i="8"/>
  <c r="U1733" i="8"/>
  <c r="U1715" i="8"/>
  <c r="U384" i="8"/>
  <c r="U246" i="8"/>
  <c r="U550" i="8"/>
  <c r="U346" i="8"/>
  <c r="U359" i="8"/>
  <c r="U477" i="8"/>
  <c r="U687" i="8"/>
  <c r="U876" i="8"/>
  <c r="U136" i="8"/>
  <c r="U863" i="8"/>
  <c r="U647" i="8"/>
  <c r="U1041" i="8"/>
  <c r="U203" i="8"/>
  <c r="U791" i="8"/>
  <c r="U1078" i="8"/>
  <c r="U1193" i="8"/>
  <c r="U1018" i="8"/>
  <c r="U1136" i="8"/>
  <c r="U1662" i="8"/>
  <c r="U1400" i="8"/>
  <c r="U373" i="8"/>
  <c r="U419" i="8"/>
  <c r="U586" i="8"/>
  <c r="U999" i="8"/>
  <c r="U1720" i="8"/>
  <c r="U832" i="8"/>
  <c r="U987" i="8"/>
  <c r="U1186" i="8"/>
  <c r="U731" i="8"/>
  <c r="U1326" i="8"/>
  <c r="U1451" i="8"/>
  <c r="U741" i="8"/>
  <c r="U1055" i="8"/>
  <c r="U1787" i="8"/>
  <c r="U1782" i="8"/>
  <c r="U1806" i="8"/>
  <c r="U1760" i="8"/>
  <c r="U1773" i="8"/>
  <c r="U1790" i="8"/>
  <c r="U1792" i="8"/>
  <c r="U172" i="8"/>
  <c r="U363" i="8"/>
  <c r="U433" i="8"/>
  <c r="U59" i="8"/>
  <c r="U496" i="8"/>
  <c r="U531" i="8"/>
  <c r="U554" i="8"/>
  <c r="U36" i="8"/>
  <c r="U209" i="8"/>
  <c r="U313" i="8"/>
  <c r="U637" i="8"/>
  <c r="U748" i="8"/>
  <c r="U82" i="8"/>
  <c r="U188" i="8"/>
  <c r="U655" i="8"/>
  <c r="U813" i="8"/>
  <c r="U227" i="8"/>
  <c r="U886" i="8"/>
  <c r="U923" i="8"/>
  <c r="U1112" i="8"/>
  <c r="U1123" i="8"/>
  <c r="U1138" i="8"/>
  <c r="U1176" i="8"/>
  <c r="U1667" i="8"/>
  <c r="U868" i="8"/>
  <c r="U970" i="8"/>
  <c r="U983" i="8"/>
  <c r="U1022" i="8"/>
  <c r="U1214" i="8"/>
  <c r="U1438" i="8"/>
  <c r="U1487" i="8"/>
  <c r="U1550" i="8"/>
  <c r="U910" i="8"/>
  <c r="U1342" i="8"/>
  <c r="U1446" i="8"/>
  <c r="U1685" i="8"/>
  <c r="U1750" i="8"/>
  <c r="U158" i="8"/>
  <c r="U624" i="8"/>
  <c r="U693" i="8"/>
  <c r="U945" i="8"/>
  <c r="U1096" i="8"/>
  <c r="U1462" i="8"/>
  <c r="U1455" i="8"/>
  <c r="U897" i="8"/>
  <c r="U1508" i="8"/>
  <c r="U351" i="8"/>
  <c r="U805" i="8"/>
  <c r="U1495" i="8"/>
  <c r="U1762" i="8"/>
  <c r="U1815" i="8"/>
  <c r="U1758" i="8"/>
  <c r="U1795" i="8"/>
  <c r="U5" i="8"/>
  <c r="U281" i="8"/>
  <c r="U470" i="8"/>
  <c r="U30" i="8"/>
  <c r="U53" i="8"/>
  <c r="U308" i="8"/>
  <c r="U788" i="8"/>
  <c r="U18" i="8"/>
  <c r="U398" i="8"/>
  <c r="U746" i="8"/>
  <c r="U1132" i="8"/>
  <c r="U1332" i="8"/>
  <c r="U1364" i="8"/>
  <c r="U1375" i="8"/>
  <c r="U1625" i="8"/>
  <c r="U1725" i="8"/>
  <c r="U940" i="8"/>
  <c r="U1118" i="8"/>
  <c r="U1349" i="8"/>
  <c r="U1393" i="8"/>
  <c r="U1477" i="8"/>
  <c r="U1104" i="8"/>
  <c r="U707" i="8"/>
  <c r="U1012" i="8"/>
  <c r="U1587" i="8"/>
  <c r="U1774" i="8"/>
  <c r="U1783" i="8"/>
  <c r="U1807" i="8"/>
  <c r="U1788" i="8"/>
  <c r="U1767" i="8"/>
  <c r="U1797" i="8"/>
  <c r="U1823" i="8"/>
  <c r="U86" i="8"/>
  <c r="U92" i="8"/>
  <c r="U334" i="8"/>
  <c r="U518" i="8"/>
  <c r="U540" i="8"/>
  <c r="U213" i="8"/>
  <c r="U317" i="8"/>
  <c r="U326" i="8"/>
  <c r="U383" i="8"/>
  <c r="U412" i="8"/>
  <c r="U436" i="8"/>
  <c r="U192" i="8"/>
  <c r="U257" i="8"/>
  <c r="U295" i="8"/>
  <c r="U485" i="8"/>
  <c r="U558" i="8"/>
  <c r="U594" i="8"/>
  <c r="U710" i="8"/>
  <c r="U764" i="8"/>
  <c r="U870" i="8"/>
  <c r="U125" i="8"/>
  <c r="U145" i="8"/>
  <c r="U162" i="8"/>
  <c r="U368" i="8"/>
  <c r="U661" i="8"/>
  <c r="U736" i="8"/>
  <c r="U754" i="8"/>
  <c r="U775" i="8"/>
  <c r="U795" i="8"/>
  <c r="U841" i="8"/>
  <c r="U639" i="8"/>
  <c r="U696" i="8"/>
  <c r="U727" i="8"/>
  <c r="U851" i="8"/>
  <c r="U915" i="8"/>
  <c r="U975" i="8"/>
  <c r="U1062" i="8"/>
  <c r="U1143" i="8"/>
  <c r="U1157" i="8"/>
  <c r="U1181" i="8"/>
  <c r="U1323" i="8"/>
  <c r="U1448" i="8"/>
  <c r="U1458" i="8"/>
  <c r="U1464" i="8"/>
  <c r="U1716" i="8"/>
  <c r="U111" i="8"/>
  <c r="U569" i="8"/>
  <c r="U888" i="8"/>
  <c r="U964" i="8"/>
  <c r="U1027" i="8"/>
  <c r="U1098" i="8"/>
  <c r="U1233" i="8"/>
  <c r="U1279" i="8"/>
  <c r="U501" i="8"/>
  <c r="U899" i="8"/>
  <c r="U994" i="8"/>
  <c r="U1003" i="8"/>
  <c r="U1244" i="8"/>
  <c r="U1346" i="8"/>
  <c r="U1440" i="8"/>
  <c r="U1512" i="8"/>
  <c r="U96" i="8"/>
  <c r="U614" i="8"/>
  <c r="U270" i="8"/>
  <c r="U858" i="8"/>
  <c r="U926" i="8"/>
  <c r="U1383" i="8"/>
  <c r="U1583" i="8"/>
  <c r="U626" i="8"/>
  <c r="U581" i="8"/>
  <c r="U931" i="8"/>
  <c r="U1390" i="8"/>
  <c r="U1734" i="8"/>
  <c r="U1490" i="8"/>
  <c r="U814" i="8"/>
  <c r="U1051" i="8"/>
  <c r="U1372" i="8"/>
  <c r="U1615" i="8"/>
  <c r="U1754" i="8"/>
  <c r="U1566" i="8"/>
  <c r="U1759" i="8"/>
  <c r="U1821" i="8"/>
  <c r="U401" i="8"/>
  <c r="U119" i="8"/>
  <c r="U523" i="8"/>
  <c r="U1630" i="8"/>
  <c r="U1338" i="8"/>
  <c r="U1398" i="8"/>
  <c r="U1039" i="8"/>
  <c r="U1430" i="8"/>
  <c r="U1575" i="8"/>
  <c r="U1320" i="8"/>
  <c r="U1519" i="8"/>
  <c r="U1367" i="8"/>
  <c r="U70" i="8"/>
  <c r="U98" i="8"/>
  <c r="U176" i="8"/>
  <c r="U193" i="8"/>
  <c r="U271" i="8"/>
  <c r="U287" i="8"/>
  <c r="U296" i="8"/>
  <c r="U369" i="8"/>
  <c r="U385" i="8"/>
  <c r="U415" i="8"/>
  <c r="U445" i="8"/>
  <c r="U571" i="8"/>
  <c r="U39" i="8"/>
  <c r="U146" i="8"/>
  <c r="U163" i="8"/>
  <c r="U230" i="8"/>
  <c r="U258" i="8"/>
  <c r="U300" i="8"/>
  <c r="U463" i="8"/>
  <c r="U509" i="8"/>
  <c r="U542" i="8"/>
  <c r="U560" i="8"/>
  <c r="U87" i="8"/>
  <c r="U114" i="8"/>
  <c r="U236" i="8"/>
  <c r="U327" i="8"/>
  <c r="U336" i="8"/>
  <c r="U519" i="8"/>
  <c r="U527" i="8"/>
  <c r="U565" i="8"/>
  <c r="U615" i="8"/>
  <c r="U627" i="8"/>
  <c r="U699" i="8"/>
  <c r="U718" i="8"/>
  <c r="U816" i="8"/>
  <c r="U838" i="8"/>
  <c r="U853" i="8"/>
  <c r="U50" i="8"/>
  <c r="U350" i="8"/>
  <c r="U437" i="8"/>
  <c r="U488" i="8"/>
  <c r="U499" i="8"/>
  <c r="U643" i="8"/>
  <c r="U672" i="8"/>
  <c r="U715" i="8"/>
  <c r="U830" i="8"/>
  <c r="U850" i="8"/>
  <c r="U46" i="8"/>
  <c r="U62" i="8"/>
  <c r="U214" i="8"/>
  <c r="U596" i="8"/>
  <c r="U712" i="8"/>
  <c r="U737" i="8"/>
  <c r="U928" i="8"/>
  <c r="U1052" i="8"/>
  <c r="U1084" i="8"/>
  <c r="U1201" i="8"/>
  <c r="U1354" i="8"/>
  <c r="U1391" i="8"/>
  <c r="U1554" i="8"/>
  <c r="U1567" i="8"/>
  <c r="U1637" i="8"/>
  <c r="U1755" i="8"/>
  <c r="U128" i="8"/>
  <c r="U303" i="8"/>
  <c r="U630" i="8"/>
  <c r="U698" i="8"/>
  <c r="U728" i="8"/>
  <c r="U766" i="8"/>
  <c r="U901" i="8"/>
  <c r="U906" i="8"/>
  <c r="U912" i="8"/>
  <c r="U916" i="8"/>
  <c r="U929" i="8"/>
  <c r="U976" i="8"/>
  <c r="U996" i="8"/>
  <c r="U1005" i="8"/>
  <c r="U1063" i="8"/>
  <c r="U1124" i="8"/>
  <c r="U1144" i="8"/>
  <c r="U1158" i="8"/>
  <c r="U1182" i="8"/>
  <c r="U1308" i="8"/>
  <c r="U1314" i="8"/>
  <c r="U1433" i="8"/>
  <c r="U804" i="8"/>
  <c r="U843" i="8"/>
  <c r="U871" i="8"/>
  <c r="U932" i="8"/>
  <c r="U967" i="8"/>
  <c r="U1221" i="8"/>
  <c r="U1254" i="8"/>
  <c r="U1670" i="8"/>
  <c r="U1735" i="8"/>
  <c r="U14" i="8"/>
  <c r="U535" i="8"/>
  <c r="U663" i="8"/>
  <c r="U94" i="8"/>
  <c r="U278" i="8"/>
  <c r="U662" i="8"/>
  <c r="U825" i="8"/>
  <c r="U1115" i="8"/>
  <c r="U1245" i="8"/>
  <c r="U1262" i="8"/>
  <c r="U1280" i="8"/>
  <c r="U1450" i="8"/>
  <c r="U1513" i="8"/>
  <c r="U27" i="8"/>
  <c r="U331" i="8"/>
  <c r="U393" i="8"/>
  <c r="U890" i="8"/>
  <c r="U1603" i="8"/>
  <c r="U1028" i="8"/>
  <c r="U1099" i="8"/>
  <c r="U453" i="8"/>
  <c r="U767" i="8"/>
  <c r="U796" i="8"/>
  <c r="U984" i="8"/>
  <c r="U1234" i="8"/>
  <c r="U1586" i="8"/>
  <c r="U1688" i="8"/>
  <c r="U318" i="8"/>
  <c r="U563" i="8"/>
  <c r="U1466" i="8"/>
  <c r="U1489" i="8"/>
  <c r="U1541" i="8"/>
  <c r="U752" i="8"/>
  <c r="U1303" i="8"/>
  <c r="U1421" i="8"/>
  <c r="U1695" i="8"/>
  <c r="U310" i="8"/>
  <c r="U344" i="8"/>
  <c r="U424" i="8"/>
  <c r="U77" i="8"/>
  <c r="U234" i="8"/>
  <c r="U447" i="8"/>
  <c r="U472" i="8"/>
  <c r="U821" i="8"/>
  <c r="U575" i="8"/>
  <c r="U633" i="8"/>
  <c r="U790" i="8"/>
  <c r="U809" i="8"/>
  <c r="U1659" i="8"/>
  <c r="U1386" i="8"/>
  <c r="U919" i="8"/>
  <c r="U1691" i="8"/>
  <c r="U1672" i="8"/>
  <c r="U1679" i="8"/>
  <c r="U1644" i="8"/>
  <c r="U117" i="8"/>
  <c r="U521" i="8"/>
  <c r="U1620" i="8"/>
  <c r="U1128" i="8"/>
  <c r="U1328" i="8"/>
  <c r="U311" i="8"/>
  <c r="U1479" i="8"/>
  <c r="U75" i="8"/>
  <c r="U165" i="8"/>
  <c r="U242" i="8"/>
  <c r="U494" i="8"/>
  <c r="U522" i="8"/>
  <c r="U566" i="8"/>
  <c r="U17" i="8"/>
  <c r="U218" i="8"/>
  <c r="U354" i="8"/>
  <c r="U375" i="8"/>
  <c r="U387" i="8"/>
  <c r="U537" i="8"/>
  <c r="U574" i="8"/>
  <c r="U29" i="8"/>
  <c r="U133" i="8"/>
  <c r="U423" i="8"/>
  <c r="U455" i="8"/>
  <c r="U620" i="8"/>
  <c r="U632" i="8"/>
  <c r="U671" i="8"/>
  <c r="U680" i="8"/>
  <c r="U714" i="8"/>
  <c r="U734" i="8"/>
  <c r="U773" i="8"/>
  <c r="U799" i="8"/>
  <c r="U828" i="8"/>
  <c r="U861" i="8"/>
  <c r="U180" i="8"/>
  <c r="U530" i="8"/>
  <c r="U599" i="8"/>
  <c r="U706" i="8"/>
  <c r="U745" i="8"/>
  <c r="U439" i="8"/>
  <c r="U503" i="8"/>
  <c r="U667" i="8"/>
  <c r="U720" i="8"/>
  <c r="U756" i="8"/>
  <c r="U782" i="8"/>
  <c r="U873" i="8"/>
  <c r="U905" i="8"/>
  <c r="U969" i="8"/>
  <c r="U991" i="8"/>
  <c r="U1035" i="8"/>
  <c r="U1117" i="8"/>
  <c r="U1206" i="8"/>
  <c r="U1385" i="8"/>
  <c r="U1476" i="8"/>
  <c r="U1741" i="8"/>
  <c r="U105" i="8"/>
  <c r="U343" i="8"/>
  <c r="U546" i="8"/>
  <c r="U820" i="8"/>
  <c r="U893" i="8"/>
  <c r="U1011" i="8"/>
  <c r="U1103" i="8"/>
  <c r="U1356" i="8"/>
  <c r="U1454" i="8"/>
  <c r="U1498" i="8"/>
  <c r="U1516" i="8"/>
  <c r="U674" i="8"/>
  <c r="U787" i="8"/>
  <c r="U883" i="8"/>
  <c r="U1131" i="8"/>
  <c r="U1305" i="8"/>
  <c r="U1317" i="8"/>
  <c r="U1363" i="8"/>
  <c r="U1467" i="8"/>
  <c r="U1678" i="8"/>
  <c r="U1705" i="8"/>
  <c r="U652" i="8"/>
  <c r="U684" i="8"/>
  <c r="U808" i="8"/>
  <c r="U1087" i="8"/>
  <c r="U1222" i="8"/>
  <c r="U1426" i="8"/>
  <c r="U1461" i="8"/>
  <c r="U1571" i="8"/>
  <c r="U1657" i="8"/>
  <c r="U1724" i="8"/>
  <c r="U4" i="8"/>
  <c r="U149" i="8"/>
  <c r="U513" i="8"/>
  <c r="U908" i="8"/>
  <c r="U1146" i="8"/>
  <c r="U1172" i="8"/>
  <c r="U1310" i="8"/>
  <c r="U1557" i="8"/>
  <c r="U1066" i="8"/>
  <c r="U1436" i="8"/>
  <c r="U1189" i="8"/>
  <c r="U938" i="8"/>
  <c r="U1445" i="8"/>
  <c r="U918" i="8"/>
  <c r="U1331" i="8"/>
  <c r="U199" i="8"/>
  <c r="U1623" i="8"/>
  <c r="U102" i="8"/>
  <c r="U396" i="8"/>
  <c r="U528" i="8"/>
  <c r="U195" i="8"/>
  <c r="U239" i="8"/>
  <c r="U467" i="8"/>
  <c r="U288" i="8"/>
  <c r="U305" i="8"/>
  <c r="U320" i="8"/>
  <c r="U374" i="8"/>
  <c r="U73" i="8"/>
  <c r="U116" i="8"/>
  <c r="U301" i="8"/>
  <c r="U340" i="8"/>
  <c r="U677" i="8"/>
  <c r="U1169" i="8"/>
  <c r="U1327" i="8"/>
  <c r="U1654" i="8"/>
  <c r="U420" i="8"/>
  <c r="U492" i="8"/>
  <c r="U587" i="8"/>
  <c r="U1000" i="8"/>
  <c r="U1031" i="8"/>
  <c r="U742" i="8"/>
  <c r="U988" i="8"/>
  <c r="U1160" i="8"/>
  <c r="U1494" i="8"/>
  <c r="U266" i="8"/>
  <c r="U1187" i="8"/>
  <c r="U1619" i="8"/>
  <c r="U732" i="8"/>
  <c r="U1266" i="8"/>
  <c r="U1721" i="8"/>
  <c r="U1738" i="8"/>
  <c r="U617" i="8"/>
  <c r="U1703" i="8"/>
  <c r="U32" i="8"/>
  <c r="U55" i="8"/>
  <c r="U65" i="8"/>
  <c r="U134" i="8"/>
  <c r="U220" i="8"/>
  <c r="U504" i="8"/>
  <c r="U7" i="8"/>
  <c r="U244" i="8"/>
  <c r="U440" i="8"/>
  <c r="U547" i="8"/>
  <c r="U151" i="8"/>
  <c r="U201" i="8"/>
  <c r="U376" i="8"/>
  <c r="U448" i="8"/>
  <c r="U20" i="8"/>
  <c r="U400" i="8"/>
  <c r="U473" i="8"/>
  <c r="U1014" i="8"/>
  <c r="U1106" i="8"/>
  <c r="U1300" i="8"/>
  <c r="U1306" i="8"/>
  <c r="U1311" i="8"/>
  <c r="U1408" i="8"/>
  <c r="U1572" i="8"/>
  <c r="U1706" i="8"/>
  <c r="U1191" i="8"/>
  <c r="U1319" i="8"/>
  <c r="U1481" i="8"/>
  <c r="U978" i="8"/>
  <c r="U1558" i="8"/>
  <c r="U1696" i="8"/>
  <c r="U1742" i="8"/>
  <c r="U653" i="8"/>
  <c r="U1285" i="8"/>
  <c r="U1334" i="8"/>
  <c r="U1377" i="8"/>
  <c r="U1395" i="8"/>
  <c r="U1607" i="8"/>
  <c r="U1002" i="8"/>
  <c r="U1500" i="8"/>
  <c r="U993" i="8"/>
  <c r="U1387" i="8"/>
  <c r="U1119" i="8"/>
  <c r="U1281" i="8"/>
  <c r="U1366" i="8"/>
  <c r="U1727" i="8"/>
  <c r="U1546" i="8"/>
  <c r="U28" i="8"/>
  <c r="U51" i="8"/>
  <c r="U215" i="8"/>
  <c r="U306" i="8"/>
  <c r="U339" i="8"/>
  <c r="U438" i="8"/>
  <c r="U544" i="8"/>
  <c r="U3" i="8"/>
  <c r="U72" i="8"/>
  <c r="U115" i="8"/>
  <c r="U131" i="8"/>
  <c r="U265" i="8"/>
  <c r="U321" i="8"/>
  <c r="U454" i="8"/>
  <c r="U491" i="8"/>
  <c r="U502" i="8"/>
  <c r="U520" i="8"/>
  <c r="U16" i="8"/>
  <c r="U177" i="8"/>
  <c r="U386" i="8"/>
  <c r="U446" i="8"/>
  <c r="U466" i="8"/>
  <c r="U664" i="8"/>
  <c r="U101" i="8"/>
  <c r="U290" i="8"/>
  <c r="U616" i="8"/>
  <c r="U676" i="8"/>
  <c r="U730" i="8"/>
  <c r="U740" i="8"/>
  <c r="U418" i="8"/>
  <c r="U585" i="8"/>
  <c r="U986" i="8"/>
  <c r="U1030" i="8"/>
  <c r="U1127" i="8"/>
  <c r="U1185" i="8"/>
  <c r="U1543" i="8"/>
  <c r="U1604" i="8"/>
  <c r="U1689" i="8"/>
  <c r="U372" i="8"/>
  <c r="U597" i="8"/>
  <c r="U1265" i="8"/>
  <c r="U1423" i="8"/>
  <c r="U1493" i="8"/>
  <c r="U1568" i="8"/>
  <c r="U1592" i="8"/>
  <c r="U1204" i="8"/>
  <c r="U1298" i="8"/>
  <c r="U1618" i="8"/>
  <c r="U1640" i="8"/>
  <c r="U196" i="8"/>
  <c r="U607" i="8"/>
  <c r="U147" i="8"/>
  <c r="U1073" i="8"/>
  <c r="U1163" i="8"/>
  <c r="U1168" i="8"/>
  <c r="U1309" i="8"/>
  <c r="U1737" i="8"/>
  <c r="U1116" i="8"/>
  <c r="U1473" i="8"/>
  <c r="U1589" i="8"/>
  <c r="U1653" i="8"/>
  <c r="U1675" i="8"/>
  <c r="U1100" i="8"/>
  <c r="U1362" i="8"/>
  <c r="U1702" i="8"/>
  <c r="U1373" i="8"/>
  <c r="U1719" i="8"/>
  <c r="U998" i="8"/>
  <c r="U161" i="8"/>
  <c r="U255" i="8"/>
  <c r="U410" i="8"/>
  <c r="U13" i="8"/>
  <c r="U26" i="8"/>
  <c r="U45" i="8"/>
  <c r="U694" i="8"/>
  <c r="U229" i="8"/>
  <c r="U175" i="8"/>
  <c r="U190" i="8"/>
  <c r="U831" i="8"/>
  <c r="U962" i="8"/>
  <c r="U1277" i="8"/>
  <c r="U1380" i="8"/>
  <c r="U935" i="8"/>
  <c r="U1049" i="8"/>
  <c r="U1081" i="8"/>
  <c r="U1219" i="8"/>
  <c r="U1243" i="8"/>
  <c r="U1539" i="8"/>
  <c r="U1582" i="8"/>
  <c r="U1060" i="8"/>
  <c r="U1198" i="8"/>
  <c r="U1024" i="8"/>
  <c r="U1230" i="8"/>
  <c r="U1614" i="8"/>
  <c r="U1636" i="8"/>
  <c r="U1650" i="8"/>
  <c r="U1155" i="8"/>
  <c r="U1345" i="8"/>
  <c r="U69" i="8"/>
  <c r="U1527" i="8"/>
  <c r="U1293" i="8"/>
  <c r="U1601" i="8"/>
  <c r="U237" i="8"/>
  <c r="U489" i="8"/>
  <c r="U95" i="8"/>
  <c r="U332" i="8"/>
  <c r="U337" i="8"/>
  <c r="U394" i="8"/>
  <c r="U417" i="8"/>
  <c r="U99" i="8"/>
  <c r="U583" i="8"/>
  <c r="U729" i="8"/>
  <c r="U194" i="8"/>
  <c r="U370" i="8"/>
  <c r="U543" i="8"/>
  <c r="U1161" i="8"/>
  <c r="U1255" i="8"/>
  <c r="U1264" i="8"/>
  <c r="U1701" i="8"/>
  <c r="U1736" i="8"/>
  <c r="U738" i="8"/>
  <c r="U1054" i="8"/>
  <c r="U1166" i="8"/>
  <c r="U1247" i="8"/>
  <c r="U1617" i="8"/>
  <c r="U1029" i="8"/>
  <c r="U1542" i="8"/>
  <c r="U1717" i="8"/>
  <c r="U130" i="8"/>
  <c r="U532" i="8"/>
  <c r="U1125" i="8"/>
  <c r="U464" i="8"/>
  <c r="U1831" i="8"/>
  <c r="U1835" i="8"/>
  <c r="U1839" i="8"/>
  <c r="U1843" i="8"/>
  <c r="U1834" i="8"/>
  <c r="U1840" i="8"/>
  <c r="U1845" i="8"/>
  <c r="U1849" i="8"/>
  <c r="U1853" i="8"/>
  <c r="U1857" i="8"/>
  <c r="U1861" i="8"/>
  <c r="U1865" i="8"/>
  <c r="U1869" i="8"/>
  <c r="U1873" i="8"/>
  <c r="U1877" i="8"/>
  <c r="U1881" i="8"/>
  <c r="U1885" i="8"/>
  <c r="U1889" i="8"/>
  <c r="U1893" i="8"/>
  <c r="U1897" i="8"/>
  <c r="U1901" i="8"/>
  <c r="U1905" i="8"/>
  <c r="U1909" i="8"/>
  <c r="U1913" i="8"/>
  <c r="U1917" i="8"/>
  <c r="U1921" i="8"/>
  <c r="U1925" i="8"/>
  <c r="U1929" i="8"/>
  <c r="U1933" i="8"/>
  <c r="U1937" i="8"/>
  <c r="U1941" i="8"/>
  <c r="U1945" i="8"/>
  <c r="U1949" i="8"/>
  <c r="U1953" i="8"/>
  <c r="U1957" i="8"/>
  <c r="U1961" i="8"/>
  <c r="U1965" i="8"/>
  <c r="U1969" i="8"/>
  <c r="U1973" i="8"/>
  <c r="U1977" i="8"/>
  <c r="U1981" i="8"/>
  <c r="U1985" i="8"/>
  <c r="U1989" i="8"/>
  <c r="U1993" i="8"/>
  <c r="U1997" i="8"/>
  <c r="U2001" i="8"/>
  <c r="U2005" i="8"/>
  <c r="U2009" i="8"/>
  <c r="U2013" i="8"/>
  <c r="U2017" i="8"/>
  <c r="U2021" i="8"/>
  <c r="U2025" i="8"/>
  <c r="U2029" i="8"/>
  <c r="U2033" i="8"/>
  <c r="U2037" i="8"/>
  <c r="U2041" i="8"/>
  <c r="U2045" i="8"/>
  <c r="U2049" i="8"/>
  <c r="U2053" i="8"/>
  <c r="U2057" i="8"/>
  <c r="U2061" i="8"/>
  <c r="U2065" i="8"/>
  <c r="U2069" i="8"/>
  <c r="U2073" i="8"/>
  <c r="U2077" i="8"/>
  <c r="U2081" i="8"/>
  <c r="U2085" i="8"/>
  <c r="U2089" i="8"/>
  <c r="U2093" i="8"/>
  <c r="U2097" i="8"/>
  <c r="U2101" i="8"/>
  <c r="U2105" i="8"/>
  <c r="U2109" i="8"/>
  <c r="U2113" i="8"/>
  <c r="U2117" i="8"/>
  <c r="U2121" i="8"/>
  <c r="U2125" i="8"/>
  <c r="U2129" i="8"/>
  <c r="U2133" i="8"/>
  <c r="U2137" i="8"/>
  <c r="U2141" i="8"/>
  <c r="U2145" i="8"/>
  <c r="U2149" i="8"/>
  <c r="U2153" i="8"/>
  <c r="U2157" i="8"/>
  <c r="U2161" i="8"/>
  <c r="U2165" i="8"/>
  <c r="U2169" i="8"/>
  <c r="U2173" i="8"/>
  <c r="U2177" i="8"/>
  <c r="U2181" i="8"/>
  <c r="U2185" i="8"/>
  <c r="U2189" i="8"/>
  <c r="U2193" i="8"/>
  <c r="U2026" i="8"/>
  <c r="U2034" i="8"/>
  <c r="U2042" i="8"/>
  <c r="U2050" i="8"/>
  <c r="U2058" i="8"/>
  <c r="U2066" i="8"/>
  <c r="U2074" i="8"/>
  <c r="U2082" i="8"/>
  <c r="U2090" i="8"/>
  <c r="U2098" i="8"/>
  <c r="U2106" i="8"/>
  <c r="U2114" i="8"/>
  <c r="U2122" i="8"/>
  <c r="U2130" i="8"/>
  <c r="U2138" i="8"/>
  <c r="U2146" i="8"/>
  <c r="U2154" i="8"/>
  <c r="U2162" i="8"/>
  <c r="U2170" i="8"/>
  <c r="U2178" i="8"/>
  <c r="U2186" i="8"/>
  <c r="U1830" i="8"/>
  <c r="U1836" i="8"/>
  <c r="U1841" i="8"/>
  <c r="U1846" i="8"/>
  <c r="U1850" i="8"/>
  <c r="U1854" i="8"/>
  <c r="U1858" i="8"/>
  <c r="U1862" i="8"/>
  <c r="U1866" i="8"/>
  <c r="U1870" i="8"/>
  <c r="U1874" i="8"/>
  <c r="U1878" i="8"/>
  <c r="U1882" i="8"/>
  <c r="U1886" i="8"/>
  <c r="U1890" i="8"/>
  <c r="U1894" i="8"/>
  <c r="U1898" i="8"/>
  <c r="U1902" i="8"/>
  <c r="U1906" i="8"/>
  <c r="U1910" i="8"/>
  <c r="U1914" i="8"/>
  <c r="U1918" i="8"/>
  <c r="U1922" i="8"/>
  <c r="U1926" i="8"/>
  <c r="U1930" i="8"/>
  <c r="U1934" i="8"/>
  <c r="U1938" i="8"/>
  <c r="U1942" i="8"/>
  <c r="U1946" i="8"/>
  <c r="U1950" i="8"/>
  <c r="U1954" i="8"/>
  <c r="U1958" i="8"/>
  <c r="U1962" i="8"/>
  <c r="U1966" i="8"/>
  <c r="U1970" i="8"/>
  <c r="U1974" i="8"/>
  <c r="U1978" i="8"/>
  <c r="U1982" i="8"/>
  <c r="U1986" i="8"/>
  <c r="U1990" i="8"/>
  <c r="U1994" i="8"/>
  <c r="U1998" i="8"/>
  <c r="U2002" i="8"/>
  <c r="U2006" i="8"/>
  <c r="U2010" i="8"/>
  <c r="U2014" i="8"/>
  <c r="U2018" i="8"/>
  <c r="U2022" i="8"/>
  <c r="U2030" i="8"/>
  <c r="U2038" i="8"/>
  <c r="U2046" i="8"/>
  <c r="U2054" i="8"/>
  <c r="U2062" i="8"/>
  <c r="U2070" i="8"/>
  <c r="U2078" i="8"/>
  <c r="U2086" i="8"/>
  <c r="U2094" i="8"/>
  <c r="U2102" i="8"/>
  <c r="U2110" i="8"/>
  <c r="U2118" i="8"/>
  <c r="U2126" i="8"/>
  <c r="U2134" i="8"/>
  <c r="U2142" i="8"/>
  <c r="U2150" i="8"/>
  <c r="U2158" i="8"/>
  <c r="U2166" i="8"/>
  <c r="U2174" i="8"/>
  <c r="U2182" i="8"/>
  <c r="U2190" i="8"/>
  <c r="U1832" i="8"/>
  <c r="U1842" i="8"/>
  <c r="U1851" i="8"/>
  <c r="U1859" i="8"/>
  <c r="U1867" i="8"/>
  <c r="U1875" i="8"/>
  <c r="U1883" i="8"/>
  <c r="U1891" i="8"/>
  <c r="U1899" i="8"/>
  <c r="U1907" i="8"/>
  <c r="U1915" i="8"/>
  <c r="U1923" i="8"/>
  <c r="U1931" i="8"/>
  <c r="U1939" i="8"/>
  <c r="U1947" i="8"/>
  <c r="U1955" i="8"/>
  <c r="U1963" i="8"/>
  <c r="U1971" i="8"/>
  <c r="U1979" i="8"/>
  <c r="U1987" i="8"/>
  <c r="U1995" i="8"/>
  <c r="U2003" i="8"/>
  <c r="U2011" i="8"/>
  <c r="U2019" i="8"/>
  <c r="U2027" i="8"/>
  <c r="U2035" i="8"/>
  <c r="U2043" i="8"/>
  <c r="U2051" i="8"/>
  <c r="U2059" i="8"/>
  <c r="U2067" i="8"/>
  <c r="U2075" i="8"/>
  <c r="U2083" i="8"/>
  <c r="U2091" i="8"/>
  <c r="U2099" i="8"/>
  <c r="U2107" i="8"/>
  <c r="U2115" i="8"/>
  <c r="U2123" i="8"/>
  <c r="U2131" i="8"/>
  <c r="U2139" i="8"/>
  <c r="U2147" i="8"/>
  <c r="U2155" i="8"/>
  <c r="U2163" i="8"/>
  <c r="U2171" i="8"/>
  <c r="U2179" i="8"/>
  <c r="U2187" i="8"/>
  <c r="U2156" i="8"/>
  <c r="U2172" i="8"/>
  <c r="U2188" i="8"/>
  <c r="U1837" i="8"/>
  <c r="U1855" i="8"/>
  <c r="U1863" i="8"/>
  <c r="U1879" i="8"/>
  <c r="U1895" i="8"/>
  <c r="U1911" i="8"/>
  <c r="U1927" i="8"/>
  <c r="U1943" i="8"/>
  <c r="U1959" i="8"/>
  <c r="U1975" i="8"/>
  <c r="U1991" i="8"/>
  <c r="U2007" i="8"/>
  <c r="U2023" i="8"/>
  <c r="U2039" i="8"/>
  <c r="U2055" i="8"/>
  <c r="U2071" i="8"/>
  <c r="U2087" i="8"/>
  <c r="U2103" i="8"/>
  <c r="U2119" i="8"/>
  <c r="U2135" i="8"/>
  <c r="U2151" i="8"/>
  <c r="U2167" i="8"/>
  <c r="U2183" i="8"/>
  <c r="U1838" i="8"/>
  <c r="U1848" i="8"/>
  <c r="U1856" i="8"/>
  <c r="U1872" i="8"/>
  <c r="U1888" i="8"/>
  <c r="U1904" i="8"/>
  <c r="U1920" i="8"/>
  <c r="U1936" i="8"/>
  <c r="U1952" i="8"/>
  <c r="U1968" i="8"/>
  <c r="U1984" i="8"/>
  <c r="U2000" i="8"/>
  <c r="U2016" i="8"/>
  <c r="U2032" i="8"/>
  <c r="U2048" i="8"/>
  <c r="U2064" i="8"/>
  <c r="U2080" i="8"/>
  <c r="U2096" i="8"/>
  <c r="U2112" i="8"/>
  <c r="U2128" i="8"/>
  <c r="U2144" i="8"/>
  <c r="U2160" i="8"/>
  <c r="U2176" i="8"/>
  <c r="U2192" i="8"/>
  <c r="U1833" i="8"/>
  <c r="U1844" i="8"/>
  <c r="U1852" i="8"/>
  <c r="U1860" i="8"/>
  <c r="U1868" i="8"/>
  <c r="U1876" i="8"/>
  <c r="U1884" i="8"/>
  <c r="U1892" i="8"/>
  <c r="U1900" i="8"/>
  <c r="U1908" i="8"/>
  <c r="U1916" i="8"/>
  <c r="U1924" i="8"/>
  <c r="U1932" i="8"/>
  <c r="U1940" i="8"/>
  <c r="U1948" i="8"/>
  <c r="U1956" i="8"/>
  <c r="U1964" i="8"/>
  <c r="U1972" i="8"/>
  <c r="U1980" i="8"/>
  <c r="U1988" i="8"/>
  <c r="U1996" i="8"/>
  <c r="U2004" i="8"/>
  <c r="U2012" i="8"/>
  <c r="U2020" i="8"/>
  <c r="U2028" i="8"/>
  <c r="U2036" i="8"/>
  <c r="U2044" i="8"/>
  <c r="U2052" i="8"/>
  <c r="U2060" i="8"/>
  <c r="U2068" i="8"/>
  <c r="U2076" i="8"/>
  <c r="U2084" i="8"/>
  <c r="U2092" i="8"/>
  <c r="U2100" i="8"/>
  <c r="U2108" i="8"/>
  <c r="U2116" i="8"/>
  <c r="U2124" i="8"/>
  <c r="U2132" i="8"/>
  <c r="U2140" i="8"/>
  <c r="U2148" i="8"/>
  <c r="U2164" i="8"/>
  <c r="U2180" i="8"/>
  <c r="U1847" i="8"/>
  <c r="U1871" i="8"/>
  <c r="U1887" i="8"/>
  <c r="U1903" i="8"/>
  <c r="U1919" i="8"/>
  <c r="U1935" i="8"/>
  <c r="U1951" i="8"/>
  <c r="U1967" i="8"/>
  <c r="U1983" i="8"/>
  <c r="U1999" i="8"/>
  <c r="U2015" i="8"/>
  <c r="U2031" i="8"/>
  <c r="U2047" i="8"/>
  <c r="U2063" i="8"/>
  <c r="U2079" i="8"/>
  <c r="U2095" i="8"/>
  <c r="U2111" i="8"/>
  <c r="U2127" i="8"/>
  <c r="U2143" i="8"/>
  <c r="U2159" i="8"/>
  <c r="U2175" i="8"/>
  <c r="U2191" i="8"/>
  <c r="U1864" i="8"/>
  <c r="U1880" i="8"/>
  <c r="U1896" i="8"/>
  <c r="U1912" i="8"/>
  <c r="U1928" i="8"/>
  <c r="U1944" i="8"/>
  <c r="U1960" i="8"/>
  <c r="U1976" i="8"/>
  <c r="U1992" i="8"/>
  <c r="U2008" i="8"/>
  <c r="U2024" i="8"/>
  <c r="U2040" i="8"/>
  <c r="U2056" i="8"/>
  <c r="U2072" i="8"/>
  <c r="U2088" i="8"/>
  <c r="U2104" i="8"/>
  <c r="U2120" i="8"/>
  <c r="U2136" i="8"/>
  <c r="U2152" i="8"/>
  <c r="U2168" i="8"/>
  <c r="U2184" i="8"/>
  <c r="U129" i="8"/>
  <c r="U319" i="8"/>
  <c r="U465" i="8"/>
  <c r="U100" i="8"/>
  <c r="U289" i="8"/>
  <c r="U304" i="8"/>
  <c r="U371" i="8"/>
  <c r="U71" i="8"/>
  <c r="U395" i="8"/>
  <c r="U675" i="8"/>
  <c r="U739" i="8"/>
  <c r="U238" i="8"/>
  <c r="U338" i="8"/>
  <c r="U416" i="8"/>
  <c r="U584" i="8"/>
  <c r="U490" i="8"/>
  <c r="U1422" i="8"/>
  <c r="U1492" i="8"/>
  <c r="U1671" i="8"/>
  <c r="U1162" i="8"/>
  <c r="U1588" i="8"/>
  <c r="U1167" i="8"/>
  <c r="U1325" i="8"/>
  <c r="U997" i="8"/>
  <c r="U1032" i="8"/>
  <c r="U1718" i="8"/>
  <c r="U985" i="8"/>
  <c r="U1126" i="8"/>
  <c r="U1652" i="8"/>
  <c r="U1674" i="8"/>
  <c r="U312" i="8"/>
  <c r="U1480" i="8"/>
  <c r="U1796" i="8"/>
  <c r="U1811" i="8"/>
  <c r="U1764" i="8"/>
  <c r="U1816" i="8"/>
  <c r="U1781" i="8"/>
  <c r="U1809" i="8"/>
  <c r="U1804" i="8"/>
  <c r="U47" i="8"/>
  <c r="U148" i="8"/>
  <c r="U197" i="8"/>
  <c r="U232" i="8"/>
  <c r="U260" i="8"/>
  <c r="U267" i="8"/>
  <c r="U291" i="8"/>
  <c r="U302" i="8"/>
  <c r="U512" i="8"/>
  <c r="U533" i="8"/>
  <c r="U104" i="8"/>
  <c r="U179" i="8"/>
  <c r="U342" i="8"/>
  <c r="U422" i="8"/>
  <c r="U564" i="8"/>
  <c r="U580" i="8"/>
  <c r="U64" i="8"/>
  <c r="U573" i="8"/>
  <c r="U588" i="8"/>
  <c r="U598" i="8"/>
  <c r="U744" i="8"/>
  <c r="U280" i="8"/>
  <c r="U307" i="8"/>
  <c r="U322" i="8"/>
  <c r="U468" i="8"/>
  <c r="U561" i="8"/>
  <c r="U612" i="8"/>
  <c r="U628" i="8"/>
  <c r="U650" i="8"/>
  <c r="U666" i="8"/>
  <c r="U683" i="8"/>
  <c r="U719" i="8"/>
  <c r="U761" i="8"/>
  <c r="U807" i="8"/>
  <c r="U164" i="8"/>
  <c r="U240" i="8"/>
  <c r="U619" i="8"/>
  <c r="U798" i="8"/>
  <c r="U819" i="8"/>
  <c r="U891" i="8"/>
  <c r="U1010" i="8"/>
  <c r="U1075" i="8"/>
  <c r="U1102" i="8"/>
  <c r="U1453" i="8"/>
  <c r="U1497" i="8"/>
  <c r="U1515" i="8"/>
  <c r="U1530" i="8"/>
  <c r="U1642" i="8"/>
  <c r="U1677" i="8"/>
  <c r="U217" i="8"/>
  <c r="U670" i="8"/>
  <c r="U679" i="8"/>
  <c r="U713" i="8"/>
  <c r="U757" i="8"/>
  <c r="U786" i="8"/>
  <c r="U954" i="8"/>
  <c r="U1086" i="8"/>
  <c r="U1171" i="8"/>
  <c r="U1417" i="8"/>
  <c r="U1444" i="8"/>
  <c r="U1460" i="8"/>
  <c r="U1556" i="8"/>
  <c r="U1622" i="8"/>
  <c r="U52" i="8"/>
  <c r="U353" i="8"/>
  <c r="U950" i="8"/>
  <c r="U1056" i="8"/>
  <c r="U1268" i="8"/>
  <c r="U1425" i="8"/>
  <c r="U1475" i="8"/>
  <c r="U1570" i="8"/>
  <c r="U1656" i="8"/>
  <c r="U1723" i="8"/>
  <c r="U272" i="8"/>
  <c r="U872" i="8"/>
  <c r="U913" i="8"/>
  <c r="U937" i="8"/>
  <c r="U990" i="8"/>
  <c r="U1065" i="8"/>
  <c r="U1435" i="8"/>
  <c r="U118" i="8"/>
  <c r="U333" i="8"/>
  <c r="U602" i="8"/>
  <c r="U645" i="8"/>
  <c r="U673" i="8"/>
  <c r="U781" i="8"/>
  <c r="U860" i="8"/>
  <c r="U1690" i="8"/>
  <c r="U827" i="8"/>
  <c r="U1740" i="8"/>
  <c r="U882" i="8"/>
  <c r="U904" i="8"/>
  <c r="U1034" i="8"/>
  <c r="U977" i="8"/>
  <c r="U1316" i="8"/>
  <c r="U1330" i="8"/>
  <c r="U966" i="8"/>
  <c r="U1164" i="8"/>
  <c r="U1406" i="8"/>
  <c r="U609" i="8"/>
  <c r="U1130" i="8"/>
  <c r="U1594" i="8"/>
  <c r="U377" i="8"/>
  <c r="U474" i="8"/>
  <c r="U283" i="8"/>
  <c r="U515" i="8"/>
  <c r="U402" i="8"/>
  <c r="U538" i="8"/>
  <c r="U548" i="8"/>
  <c r="U654" i="8"/>
  <c r="U783" i="8"/>
  <c r="U426" i="8"/>
  <c r="U589" i="8"/>
  <c r="U855" i="8"/>
  <c r="U933" i="8"/>
  <c r="U951" i="8"/>
  <c r="U1089" i="8"/>
  <c r="U1236" i="8"/>
  <c r="U1502" i="8"/>
  <c r="U1559" i="8"/>
  <c r="U79" i="8"/>
  <c r="U801" i="8"/>
  <c r="U1016" i="8"/>
  <c r="U1133" i="8"/>
  <c r="U1256" i="8"/>
  <c r="U1296" i="8"/>
  <c r="U1531" i="8"/>
  <c r="U1573" i="8"/>
  <c r="U703" i="8"/>
  <c r="U941" i="8"/>
  <c r="U1484" i="8"/>
  <c r="U261" i="8"/>
  <c r="U355" i="8"/>
  <c r="U955" i="8"/>
  <c r="U1291" i="8"/>
  <c r="U1627" i="8"/>
  <c r="U1743" i="8"/>
  <c r="U685" i="8"/>
  <c r="U1037" i="8"/>
  <c r="U1286" i="8"/>
  <c r="U1335" i="8"/>
  <c r="U1378" i="8"/>
  <c r="U1517" i="8"/>
  <c r="U1547" i="8"/>
  <c r="U1399" i="8"/>
  <c r="U1608" i="8"/>
  <c r="U1248" i="8"/>
  <c r="U1418" i="8"/>
  <c r="U817" i="8"/>
  <c r="U103" i="8"/>
  <c r="U1427" i="8"/>
  <c r="U15" i="8"/>
  <c r="U63" i="8"/>
  <c r="U510" i="8"/>
  <c r="U1324" i="8"/>
  <c r="U578" i="8"/>
  <c r="U1756" i="8"/>
  <c r="U41" i="8"/>
  <c r="U120" i="8"/>
  <c r="U222" i="8"/>
  <c r="U275" i="8"/>
  <c r="U284" i="8"/>
  <c r="U298" i="8"/>
  <c r="U403" i="8"/>
  <c r="U425" i="8"/>
  <c r="U475" i="8"/>
  <c r="U590" i="8"/>
  <c r="U822" i="8"/>
  <c r="U834" i="8"/>
  <c r="U952" i="8"/>
  <c r="U1038" i="8"/>
  <c r="U1090" i="8"/>
  <c r="U1120" i="8"/>
  <c r="U1134" i="8"/>
  <c r="U1174" i="8"/>
  <c r="U1209" i="8"/>
  <c r="U1237" i="8"/>
  <c r="U1336" i="8"/>
  <c r="U1410" i="8"/>
  <c r="U1415" i="8"/>
  <c r="U1483" i="8"/>
  <c r="U1574" i="8"/>
  <c r="U1609" i="8"/>
  <c r="U1628" i="8"/>
  <c r="U1660" i="8"/>
  <c r="U1744" i="8"/>
  <c r="U262" i="8"/>
  <c r="U378" i="8"/>
  <c r="U389" i="8"/>
  <c r="U449" i="8"/>
  <c r="U505" i="8"/>
  <c r="U723" i="8"/>
  <c r="U802" i="8"/>
  <c r="U920" i="8"/>
  <c r="U942" i="8"/>
  <c r="U1015" i="8"/>
  <c r="U1359" i="8"/>
  <c r="U1396" i="8"/>
  <c r="U1645" i="8"/>
  <c r="U56" i="8"/>
  <c r="U78" i="8"/>
  <c r="U88" i="8"/>
  <c r="U539" i="8"/>
  <c r="U702" i="8"/>
  <c r="U894" i="8"/>
  <c r="U1108" i="8"/>
  <c r="U1147" i="8"/>
  <c r="U1223" i="8"/>
  <c r="U1287" i="8"/>
  <c r="U1292" i="8"/>
  <c r="U1297" i="8"/>
  <c r="U1307" i="8"/>
  <c r="U1321" i="8"/>
  <c r="U1368" i="8"/>
  <c r="U1501" i="8"/>
  <c r="U1518" i="8"/>
  <c r="U1532" i="8"/>
  <c r="U1560" i="8"/>
  <c r="U66" i="8"/>
  <c r="U135" i="8"/>
  <c r="U152" i="8"/>
  <c r="U168" i="8"/>
  <c r="U183" i="8"/>
  <c r="U356" i="8"/>
  <c r="U441" i="8"/>
  <c r="U457" i="8"/>
  <c r="U514" i="8"/>
  <c r="U549" i="8"/>
  <c r="U686" i="8"/>
  <c r="U856" i="8"/>
  <c r="U862" i="8"/>
  <c r="U875" i="8"/>
  <c r="U1068" i="8"/>
  <c r="U1249" i="8"/>
  <c r="U1257" i="8"/>
  <c r="U1312" i="8"/>
  <c r="U1379" i="8"/>
  <c r="U1388" i="8"/>
  <c r="U1419" i="8"/>
  <c r="U1596" i="8"/>
  <c r="U1697" i="8"/>
  <c r="U9" i="8"/>
  <c r="U22" i="8"/>
  <c r="U34" i="8"/>
  <c r="U42" i="8"/>
  <c r="U169" i="8"/>
  <c r="U792" i="8"/>
  <c r="U857" i="8"/>
  <c r="U953" i="8"/>
  <c r="U974" i="8"/>
  <c r="U1110" i="8"/>
  <c r="U1137" i="8"/>
  <c r="U1194" i="8"/>
  <c r="U1224" i="8"/>
  <c r="U1239" i="8"/>
  <c r="U1389" i="8"/>
  <c r="U1520" i="8"/>
  <c r="U1533" i="8"/>
  <c r="U1576" i="8"/>
  <c r="U1661" i="8"/>
  <c r="U1680" i="8"/>
  <c r="U1707" i="8"/>
  <c r="U1745" i="8"/>
  <c r="U80" i="8"/>
  <c r="U224" i="8"/>
  <c r="U248" i="8"/>
  <c r="U345" i="8"/>
  <c r="U379" i="8"/>
  <c r="U458" i="8"/>
  <c r="U641" i="8"/>
  <c r="U646" i="8"/>
  <c r="U688" i="8"/>
  <c r="U1092" i="8"/>
  <c r="U1148" i="8"/>
  <c r="U1313" i="8"/>
  <c r="U1339" i="8"/>
  <c r="U185" i="8"/>
  <c r="U204" i="8"/>
  <c r="U603" i="8"/>
  <c r="U634" i="8"/>
  <c r="U709" i="8"/>
  <c r="U810" i="8"/>
  <c r="U864" i="8"/>
  <c r="U909" i="8"/>
  <c r="U1069" i="8"/>
  <c r="U1211" i="8"/>
  <c r="U1270" i="8"/>
  <c r="U1301" i="8"/>
  <c r="U1350" i="8"/>
  <c r="U1673" i="8"/>
  <c r="U57" i="8"/>
  <c r="U137" i="8"/>
  <c r="U153" i="8"/>
  <c r="U358" i="8"/>
  <c r="U428" i="8"/>
  <c r="U476" i="8"/>
  <c r="U610" i="8"/>
  <c r="U1040" i="8"/>
  <c r="U1401" i="8"/>
  <c r="U1411" i="8"/>
  <c r="U1420" i="8"/>
  <c r="U138" i="8"/>
  <c r="U479" i="8"/>
  <c r="U758" i="8"/>
  <c r="U1019" i="8"/>
  <c r="U1195" i="8"/>
  <c r="U1258" i="8"/>
  <c r="U1534" i="8"/>
  <c r="U1631" i="8"/>
  <c r="U1646" i="8"/>
  <c r="U205" i="8"/>
  <c r="U249" i="8"/>
  <c r="U1610" i="8"/>
  <c r="U155" i="8"/>
  <c r="U405" i="8"/>
  <c r="U979" i="8"/>
  <c r="U1709" i="8"/>
  <c r="U459" i="8"/>
  <c r="U724" i="8"/>
  <c r="U1250" i="8"/>
  <c r="U1521" i="8"/>
  <c r="U1597" i="8"/>
  <c r="U93" i="8"/>
  <c r="U97" i="8"/>
  <c r="U144" i="8"/>
  <c r="U256" i="8"/>
  <c r="U277" i="8"/>
  <c r="U335" i="8"/>
  <c r="U486" i="8"/>
  <c r="U534" i="8"/>
  <c r="U559" i="8"/>
  <c r="U755" i="8"/>
  <c r="U963" i="8"/>
  <c r="U1220" i="8"/>
  <c r="U1278" i="8"/>
  <c r="U1510" i="8"/>
  <c r="U1553" i="8"/>
  <c r="U1714" i="8"/>
  <c r="U1753" i="8"/>
  <c r="U112" i="8"/>
  <c r="U126" i="8"/>
  <c r="U286" i="8"/>
  <c r="U294" i="8"/>
  <c r="U413" i="8"/>
  <c r="U774" i="8"/>
  <c r="U837" i="8"/>
  <c r="U1053" i="8"/>
  <c r="U1061" i="8"/>
  <c r="U1231" i="8"/>
  <c r="U1253" i="8"/>
  <c r="U1491" i="8"/>
  <c r="U1540" i="8"/>
  <c r="U1602" i="8"/>
  <c r="U299" i="8"/>
  <c r="U498" i="8"/>
  <c r="U517" i="8"/>
  <c r="U660" i="8"/>
  <c r="U735" i="8"/>
  <c r="U848" i="8"/>
  <c r="U1026" i="8"/>
  <c r="U1072" i="8"/>
  <c r="U1156" i="8"/>
  <c r="U1199" i="8"/>
  <c r="U1352" i="8"/>
  <c r="U212" i="8"/>
  <c r="U235" i="8"/>
  <c r="U264" i="8"/>
  <c r="U316" i="8"/>
  <c r="U324" i="8"/>
  <c r="U348" i="8"/>
  <c r="U367" i="8"/>
  <c r="U435" i="8"/>
  <c r="U570" i="8"/>
  <c r="U593" i="8"/>
  <c r="U697" i="8"/>
  <c r="U824" i="8"/>
  <c r="U829" i="8"/>
  <c r="U833" i="8"/>
  <c r="U907" i="8"/>
  <c r="U972" i="8"/>
  <c r="U1179" i="8"/>
  <c r="U1261" i="8"/>
  <c r="U1528" i="8"/>
  <c r="U1651" i="8"/>
  <c r="U1732" i="8"/>
  <c r="U507" i="8"/>
  <c r="U1152" i="8"/>
  <c r="U1447" i="8"/>
  <c r="U1456" i="8"/>
  <c r="U1700" i="8"/>
  <c r="U10" i="8"/>
  <c r="U83" i="8"/>
  <c r="U253" i="8"/>
  <c r="U364" i="8"/>
  <c r="U381" i="8"/>
  <c r="U409" i="8"/>
  <c r="U432" i="8"/>
  <c r="U526" i="8"/>
  <c r="U555" i="8"/>
  <c r="U656" i="8"/>
  <c r="U847" i="8"/>
  <c r="U924" i="8"/>
  <c r="U1046" i="8"/>
  <c r="U1113" i="8"/>
  <c r="U1139" i="8"/>
  <c r="U1227" i="8"/>
  <c r="U1274" i="8"/>
  <c r="U1439" i="8"/>
  <c r="U1564" i="8"/>
  <c r="U391" i="8"/>
  <c r="U451" i="8"/>
  <c r="U483" i="8"/>
  <c r="U625" i="8"/>
  <c r="U692" i="8"/>
  <c r="U1431" i="8"/>
  <c r="U1463" i="8"/>
  <c r="U1488" i="8"/>
  <c r="U1507" i="8"/>
  <c r="U1580" i="8"/>
  <c r="U1693" i="8"/>
  <c r="U1713" i="8"/>
  <c r="U1751" i="8"/>
  <c r="U89" i="8"/>
  <c r="U443" i="8"/>
  <c r="U461" i="8"/>
  <c r="U497" i="8"/>
  <c r="U749" i="8"/>
  <c r="U803" i="8"/>
  <c r="U812" i="8"/>
  <c r="U869" i="8"/>
  <c r="U880" i="8"/>
  <c r="U887" i="8"/>
  <c r="U898" i="8"/>
  <c r="U947" i="8"/>
  <c r="U1216" i="8"/>
  <c r="U1369" i="8"/>
  <c r="U1686" i="8"/>
  <c r="U171" i="8"/>
  <c r="U429" i="8"/>
  <c r="U576" i="8"/>
  <c r="U621" i="8"/>
  <c r="U681" i="8"/>
  <c r="U835" i="8"/>
  <c r="U895" i="8"/>
  <c r="U982" i="8"/>
  <c r="U1272" i="8"/>
  <c r="U1524" i="8"/>
  <c r="U1578" i="8"/>
  <c r="U1711" i="8"/>
  <c r="U1729" i="8"/>
  <c r="U107" i="8"/>
  <c r="U207" i="8"/>
  <c r="U226" i="8"/>
  <c r="U252" i="8"/>
  <c r="U329" i="8"/>
  <c r="U347" i="8"/>
  <c r="U649" i="8"/>
  <c r="U866" i="8"/>
  <c r="U1094" i="8"/>
  <c r="U1259" i="8"/>
  <c r="U1749" i="8"/>
  <c r="U140" i="8"/>
  <c r="U156" i="8"/>
  <c r="U187" i="8"/>
  <c r="U480" i="8"/>
  <c r="U552" i="8"/>
  <c r="U934" i="8"/>
  <c r="U943" i="8"/>
  <c r="U1251" i="8"/>
  <c r="U1341" i="8"/>
  <c r="U1402" i="8"/>
  <c r="U1549" i="8"/>
  <c r="U1563" i="8"/>
  <c r="U1633" i="8"/>
  <c r="U1664" i="8"/>
  <c r="U1682" i="8"/>
  <c r="U122" i="8"/>
  <c r="U406" i="8"/>
  <c r="U794" i="8"/>
  <c r="U839" i="8"/>
  <c r="U845" i="8"/>
  <c r="U878" i="8"/>
  <c r="U884" i="8"/>
  <c r="U921" i="8"/>
  <c r="U1044" i="8"/>
  <c r="U1505" i="8"/>
  <c r="U139" i="8"/>
  <c r="U251" i="8"/>
  <c r="U263" i="8"/>
  <c r="U553" i="8"/>
  <c r="U622" i="8"/>
  <c r="U836" i="8"/>
  <c r="U840" i="8"/>
  <c r="U867" i="8"/>
  <c r="U885" i="8"/>
  <c r="U1252" i="8"/>
  <c r="U1260" i="8"/>
  <c r="U1273" i="8"/>
  <c r="U1523" i="8"/>
  <c r="U1536" i="8"/>
  <c r="U1562" i="8"/>
  <c r="U1579" i="8"/>
  <c r="U1665" i="8"/>
  <c r="U1698" i="8"/>
  <c r="U123" i="8"/>
  <c r="U362" i="8"/>
  <c r="U390" i="8"/>
  <c r="U407" i="8"/>
  <c r="U460" i="8"/>
  <c r="U481" i="8"/>
  <c r="U506" i="8"/>
  <c r="U605" i="8"/>
  <c r="U846" i="8"/>
  <c r="U958" i="8"/>
  <c r="U1095" i="8"/>
  <c r="U1150" i="8"/>
  <c r="U1175" i="8"/>
  <c r="U1213" i="8"/>
  <c r="U1468" i="8"/>
  <c r="U1486" i="8"/>
  <c r="U1584" i="8"/>
  <c r="U1598" i="8"/>
  <c r="U1611" i="8"/>
  <c r="U1632" i="8"/>
  <c r="U1683" i="8"/>
  <c r="U1712" i="8"/>
  <c r="U108" i="8"/>
  <c r="U157" i="8"/>
  <c r="U186" i="8"/>
  <c r="U524" i="8"/>
  <c r="U668" i="8"/>
  <c r="U682" i="8"/>
  <c r="U896" i="8"/>
  <c r="U922" i="8"/>
  <c r="U930" i="8"/>
  <c r="U981" i="8"/>
  <c r="U1021" i="8"/>
  <c r="U1071" i="8"/>
  <c r="U1226" i="8"/>
  <c r="U1504" i="8"/>
  <c r="U1730" i="8"/>
  <c r="U208" i="8"/>
  <c r="U225" i="8"/>
  <c r="U330" i="8"/>
  <c r="U380" i="8"/>
  <c r="U430" i="8"/>
  <c r="U442" i="8"/>
  <c r="U450" i="8"/>
  <c r="U691" i="8"/>
  <c r="U879" i="8"/>
  <c r="U944" i="8"/>
  <c r="U1043" i="8"/>
  <c r="U1080" i="8"/>
  <c r="U1122" i="8"/>
  <c r="U1471" i="8"/>
  <c r="U1647" i="8"/>
  <c r="U1748" i="8"/>
  <c r="U241" i="8"/>
  <c r="U341" i="8"/>
  <c r="U397" i="8"/>
  <c r="U421" i="8"/>
  <c r="U469" i="8"/>
  <c r="U493" i="8"/>
  <c r="U529" i="8"/>
  <c r="U545" i="8"/>
  <c r="U601" i="8"/>
  <c r="U665" i="8"/>
  <c r="U669" i="8"/>
  <c r="U721" i="8"/>
  <c r="U733" i="8"/>
  <c r="U785" i="8"/>
  <c r="U797" i="8"/>
  <c r="U881" i="8"/>
  <c r="U917" i="8"/>
  <c r="U965" i="8"/>
  <c r="U989" i="8"/>
  <c r="U1001" i="8"/>
  <c r="U1009" i="8"/>
  <c r="U1033" i="8"/>
  <c r="U1085" i="8"/>
  <c r="U1101" i="8"/>
  <c r="U1129" i="8"/>
  <c r="U74" i="8"/>
  <c r="U178" i="8"/>
  <c r="U198" i="8"/>
  <c r="U618" i="8"/>
  <c r="U678" i="8"/>
  <c r="U806" i="8"/>
  <c r="U818" i="8"/>
  <c r="U826" i="8"/>
  <c r="U854" i="8"/>
  <c r="U874" i="8"/>
  <c r="U1006" i="8"/>
  <c r="U1170" i="8"/>
  <c r="U1290" i="8"/>
  <c r="U1374" i="8"/>
  <c r="U1434" i="8"/>
  <c r="U1470" i="8"/>
  <c r="U1474" i="8"/>
  <c r="U1514" i="8"/>
  <c r="U1722" i="8"/>
  <c r="U1267" i="8"/>
  <c r="U1283" i="8"/>
  <c r="U1295" i="8"/>
  <c r="U1315" i="8"/>
  <c r="U1355" i="8"/>
  <c r="U1443" i="8"/>
  <c r="U1459" i="8"/>
  <c r="U1555" i="8"/>
  <c r="U1655" i="8"/>
  <c r="U1739" i="8"/>
  <c r="U511" i="8"/>
  <c r="U579" i="8"/>
  <c r="U631" i="8"/>
  <c r="U651" i="8"/>
  <c r="U743" i="8"/>
  <c r="U859" i="8"/>
  <c r="U903" i="8"/>
  <c r="U132" i="8"/>
  <c r="U216" i="8"/>
  <c r="U352" i="8"/>
  <c r="U536" i="8"/>
  <c r="U572" i="8"/>
  <c r="U608" i="8"/>
  <c r="U644" i="8"/>
  <c r="U700" i="8"/>
  <c r="U760" i="8"/>
  <c r="U772" i="8"/>
  <c r="U780" i="8"/>
  <c r="U844" i="8"/>
  <c r="U892" i="8"/>
  <c r="U936" i="8"/>
  <c r="U968" i="8"/>
  <c r="U1064" i="8"/>
  <c r="U1188" i="8"/>
  <c r="U1304" i="8"/>
  <c r="U1348" i="8"/>
  <c r="U1384" i="8"/>
  <c r="U1392" i="8"/>
  <c r="U1416" i="8"/>
  <c r="U1424" i="8"/>
  <c r="U1452" i="8"/>
  <c r="U1496" i="8"/>
  <c r="U1544" i="8"/>
  <c r="U1676" i="8"/>
  <c r="U1704" i="8"/>
  <c r="U1145" i="8"/>
  <c r="U1205" i="8"/>
  <c r="U1329" i="8"/>
  <c r="U1405" i="8"/>
  <c r="U1529" i="8"/>
  <c r="U1569" i="8"/>
  <c r="U1585" i="8"/>
  <c r="U1593" i="8"/>
  <c r="U1605" i="8"/>
  <c r="U1621" i="8"/>
  <c r="U1641" i="8"/>
  <c r="U1801" i="8"/>
  <c r="U1798" i="8"/>
  <c r="U1813" i="8"/>
  <c r="U1818" i="8"/>
  <c r="U1794" i="8"/>
  <c r="U1766" i="8"/>
  <c r="U1814" i="8"/>
  <c r="U1826" i="8"/>
  <c r="U1771" i="8"/>
  <c r="U1803" i="8"/>
  <c r="U1819" i="8"/>
  <c r="U1768" i="8"/>
  <c r="U1780" i="8"/>
  <c r="U1812" i="8"/>
  <c r="U1824" i="8"/>
  <c r="U1828" i="8"/>
  <c r="U2" i="8"/>
</calcChain>
</file>

<file path=xl/sharedStrings.xml><?xml version="1.0" encoding="utf-8"?>
<sst xmlns="http://schemas.openxmlformats.org/spreadsheetml/2006/main" count="21137" uniqueCount="1936">
  <si>
    <t>Razón social cliente factura</t>
  </si>
  <si>
    <t>Fecha</t>
  </si>
  <si>
    <t>Estado movto.</t>
  </si>
  <si>
    <t>Cant. pedida</t>
  </si>
  <si>
    <t>Cant. pendiente</t>
  </si>
  <si>
    <t>Referencia</t>
  </si>
  <si>
    <t>Desc. detalle ext. 1</t>
  </si>
  <si>
    <t>Cliente factura</t>
  </si>
  <si>
    <t>Desc. ciudad</t>
  </si>
  <si>
    <t>SUPERMOTOS DE GIRARDOT S.A.S.</t>
  </si>
  <si>
    <t xml:space="preserve">CB 190R                                           </t>
  </si>
  <si>
    <t>NEGRO ONI</t>
  </si>
  <si>
    <t>CHAPARRAL</t>
  </si>
  <si>
    <t>ROJO NEGR</t>
  </si>
  <si>
    <t xml:space="preserve">*CB-110                                           </t>
  </si>
  <si>
    <t>AZUL FIJI</t>
  </si>
  <si>
    <t xml:space="preserve">NEGRO    </t>
  </si>
  <si>
    <t>ROJO SPOR</t>
  </si>
  <si>
    <t xml:space="preserve">*INVICTA                                          </t>
  </si>
  <si>
    <t>ROJO SIEN</t>
  </si>
  <si>
    <t xml:space="preserve">DREAM NEO                                         </t>
  </si>
  <si>
    <t xml:space="preserve">*WAVE 110                                         </t>
  </si>
  <si>
    <t>AZUL GEMI</t>
  </si>
  <si>
    <t xml:space="preserve">CLICK 125i                                        </t>
  </si>
  <si>
    <t>NEGRO AST</t>
  </si>
  <si>
    <t xml:space="preserve">DIO 110                                           </t>
  </si>
  <si>
    <t>NEGRO BLA</t>
  </si>
  <si>
    <t xml:space="preserve">*XR 150L                                          </t>
  </si>
  <si>
    <t xml:space="preserve">*CBF-125 pt                                       </t>
  </si>
  <si>
    <t>ESPINAL</t>
  </si>
  <si>
    <t>GRIS META</t>
  </si>
  <si>
    <t>AZUL BLAN</t>
  </si>
  <si>
    <t>NEGRO ROJ</t>
  </si>
  <si>
    <t>BELTRAN OTALORA ALBERTO</t>
  </si>
  <si>
    <t>GUAMO</t>
  </si>
  <si>
    <t>MENDEZ PARRA MANUEL RICARDO</t>
  </si>
  <si>
    <t>HONDA</t>
  </si>
  <si>
    <t>SUPERMOTOS DEL TOLIMA S.A.S</t>
  </si>
  <si>
    <t>LIBANO</t>
  </si>
  <si>
    <t>MARIQUITA</t>
  </si>
  <si>
    <t>MELGAR</t>
  </si>
  <si>
    <t>PURIFICACION</t>
  </si>
  <si>
    <t>CALI</t>
  </si>
  <si>
    <t>SUPERMOTOS DE CALI S.A.S.</t>
  </si>
  <si>
    <t>BLANCO PE</t>
  </si>
  <si>
    <t>SUPERMOTOS DEL PACIFICO S.A.S</t>
  </si>
  <si>
    <t>GRUPO EMPRESARIAL DISTRITO SAS</t>
  </si>
  <si>
    <t>BUENAVENTURA</t>
  </si>
  <si>
    <t>MOTO PREMIUM DE OCCIDENTE S.A.S.</t>
  </si>
  <si>
    <t>CAICEDONIA</t>
  </si>
  <si>
    <t>SHAIK OSPINA CARLOS ANDRES</t>
  </si>
  <si>
    <t>CANDELARIA</t>
  </si>
  <si>
    <t>SUPERMOTOS DEL CAFE S.A.S.</t>
  </si>
  <si>
    <t>CARTAGO</t>
  </si>
  <si>
    <t>FLORIDA</t>
  </si>
  <si>
    <t>JAMUNDI</t>
  </si>
  <si>
    <t>LA UNION</t>
  </si>
  <si>
    <t>SUPERMOTOS DEL VALLE S.A.S.</t>
  </si>
  <si>
    <t>PALMIRA</t>
  </si>
  <si>
    <t>TULUA MOTOS S. A.</t>
  </si>
  <si>
    <t>TULUA</t>
  </si>
  <si>
    <t>COMERCIAL ELECTRO MUEBLES LTDA</t>
  </si>
  <si>
    <t>ARAUCA</t>
  </si>
  <si>
    <t>ARAUQUITA</t>
  </si>
  <si>
    <t>SARAVENA</t>
  </si>
  <si>
    <t>TAME</t>
  </si>
  <si>
    <t>INVERSIONES LOPEZ CADAVID Y COMPAÑIA LTDA</t>
  </si>
  <si>
    <t>YOPAL</t>
  </si>
  <si>
    <t>TORRES ESTEPA FREDDY HUMBERTO</t>
  </si>
  <si>
    <t>CHAVES CADENA JAIRO LEON</t>
  </si>
  <si>
    <t>MOCOA</t>
  </si>
  <si>
    <t>CABRERA  EVERT</t>
  </si>
  <si>
    <t>CABRERA EVERT</t>
  </si>
  <si>
    <t>PUERTO ASIS</t>
  </si>
  <si>
    <t>SALAZAR ACOSTA EDWIN ARTURO</t>
  </si>
  <si>
    <t>CREDITOS PARRA Y CIA S.A.S</t>
  </si>
  <si>
    <t>LETICIA</t>
  </si>
  <si>
    <t>RUGE PINZON JORGE HERNAN</t>
  </si>
  <si>
    <t>CASA YOJE S.A.S.</t>
  </si>
  <si>
    <t>LA PRIMAVERA</t>
  </si>
  <si>
    <t>NEIVA</t>
  </si>
  <si>
    <t>SUPERMOTOS DEL HUILA SAS</t>
  </si>
  <si>
    <t>GARZON</t>
  </si>
  <si>
    <t>LA PLATA</t>
  </si>
  <si>
    <t>PITALITO</t>
  </si>
  <si>
    <t>SUPERMOTOS DEL MAGDALENA S.A.S</t>
  </si>
  <si>
    <t>SANTA MARTA</t>
  </si>
  <si>
    <t>RUBE MOTOS S.A.S.</t>
  </si>
  <si>
    <t>EL BANCO</t>
  </si>
  <si>
    <t>MOTOS IBC S.A.S</t>
  </si>
  <si>
    <t>FUNDACION</t>
  </si>
  <si>
    <t>LOPEZ NARVAEZ JOSE DAVID</t>
  </si>
  <si>
    <t>GUAMAL</t>
  </si>
  <si>
    <t>MOTO HIT LTDA</t>
  </si>
  <si>
    <t>PLATO</t>
  </si>
  <si>
    <t>MOTO SUPER S.A.S</t>
  </si>
  <si>
    <t>SAN SEBASTIAN BUENAVIST</t>
  </si>
  <si>
    <t>DISTRIGON LIMITADA</t>
  </si>
  <si>
    <t>SANTA ANA</t>
  </si>
  <si>
    <t>YOKO MOTOS S.A.S.</t>
  </si>
  <si>
    <t>VILLAVICENCIO</t>
  </si>
  <si>
    <t>COMERCIALIZADORA ALCALA MOTOR S.A.S.</t>
  </si>
  <si>
    <t>CABALLERO BUENO CLEOMEDES JOSE</t>
  </si>
  <si>
    <t>CHAVES BONILLA CONCESIONARIOS SAS</t>
  </si>
  <si>
    <t>ACACIAS</t>
  </si>
  <si>
    <t>GRANADA</t>
  </si>
  <si>
    <t>PASTO</t>
  </si>
  <si>
    <t>MAQUINAGRO S.A</t>
  </si>
  <si>
    <t>SUPERMOTOS DE NARIÑO SAS</t>
  </si>
  <si>
    <t>CARDENAS URBANO CARLOS EDUARDO</t>
  </si>
  <si>
    <t>SAMANIEGO</t>
  </si>
  <si>
    <t>CALVACHE ORTEGA LUZ AIDEE</t>
  </si>
  <si>
    <t>SAN PABLO</t>
  </si>
  <si>
    <t>TUMACO</t>
  </si>
  <si>
    <t>SUPERMOTOS DEL ORIENTE S.A.S.</t>
  </si>
  <si>
    <t>CUCUTA</t>
  </si>
  <si>
    <t>OSORIO RIVERO CIRO ALFONSO</t>
  </si>
  <si>
    <t>OCAÑA</t>
  </si>
  <si>
    <t>ARMENIA</t>
  </si>
  <si>
    <t>CALARCA</t>
  </si>
  <si>
    <t>QUIMBAYA</t>
  </si>
  <si>
    <t>PEREIRA</t>
  </si>
  <si>
    <t>DOS QUEBRADAS</t>
  </si>
  <si>
    <t>LA VIRGINIA</t>
  </si>
  <si>
    <t>SANTA ROSA DE CABAL</t>
  </si>
  <si>
    <t>SUPERMOTOS DE SANTANDER S.A.S</t>
  </si>
  <si>
    <t>BUCARAMANGA</t>
  </si>
  <si>
    <t>MACANA  MARTHA ROCIO</t>
  </si>
  <si>
    <t>BARBOSA</t>
  </si>
  <si>
    <t>DISMOTOS HONDA S.A.S.</t>
  </si>
  <si>
    <t>CIMITARRA</t>
  </si>
  <si>
    <t>CENTRALMOTOS LEBRIJA S.A.S.</t>
  </si>
  <si>
    <t>FLORIDABLANCA</t>
  </si>
  <si>
    <t>ABRIL RODRIGUEZ HELBER MAURICIO</t>
  </si>
  <si>
    <t>GIRON</t>
  </si>
  <si>
    <t>TIRIA MORENO TERESA DE JESUS</t>
  </si>
  <si>
    <t>AVILA VERA BLANCA STELLA</t>
  </si>
  <si>
    <t>SAN GIL</t>
  </si>
  <si>
    <t>SUFIMOTOS S.A.S.</t>
  </si>
  <si>
    <t>SINCELEJO</t>
  </si>
  <si>
    <t>SUPERMOTOS DE CORDOBA S.A</t>
  </si>
  <si>
    <t>COROZAL</t>
  </si>
  <si>
    <t>CASTILLO NOGUERA LEIDY ALEJANDRA</t>
  </si>
  <si>
    <t>MAJAGUAL</t>
  </si>
  <si>
    <t>MOTO HOGAR C.L.R. S.A.S.</t>
  </si>
  <si>
    <t>SAMPUES</t>
  </si>
  <si>
    <t>PADILLA FLOREZ MARIO LUIS</t>
  </si>
  <si>
    <t>SAN MARCOS</t>
  </si>
  <si>
    <t>IBAGUE</t>
  </si>
  <si>
    <t>SUPERMOTOS DE MEDELLIN S.A.S.</t>
  </si>
  <si>
    <t>MEDELLIN</t>
  </si>
  <si>
    <t>SUPERMOTOS DE ANTIOQUIA S.A.</t>
  </si>
  <si>
    <t>CANOMOTOS ANDES S.A.S</t>
  </si>
  <si>
    <t>ANDES</t>
  </si>
  <si>
    <t>ESCUDERO CANO ELIZABETH</t>
  </si>
  <si>
    <t>SANTAFE DE ANTIOQUIA</t>
  </si>
  <si>
    <t>ZUPERMOTOS DEL GOLFO SAS</t>
  </si>
  <si>
    <t>APARTADO</t>
  </si>
  <si>
    <t>ARBOLETES</t>
  </si>
  <si>
    <t>HONDA SUPER NORTE S.A.S.</t>
  </si>
  <si>
    <t>BELLO</t>
  </si>
  <si>
    <t>SUROMOTOS S.A.</t>
  </si>
  <si>
    <t>CIUDAD BOLIVAR</t>
  </si>
  <si>
    <t>HONDA-SUR MOTOS Y REPUESTOS S.A.S.</t>
  </si>
  <si>
    <t>CALDAS</t>
  </si>
  <si>
    <t>ZUPERMOTO S.A.</t>
  </si>
  <si>
    <t>CAUCASIA</t>
  </si>
  <si>
    <t>COPACABANA</t>
  </si>
  <si>
    <t>ENVIGADO</t>
  </si>
  <si>
    <t>MOTOS LA FRONTERA S.A.</t>
  </si>
  <si>
    <t>PUERTO BERRIO</t>
  </si>
  <si>
    <t>RIONEGRO</t>
  </si>
  <si>
    <t>ESTRADA RESTREPO JESUS DAVID</t>
  </si>
  <si>
    <t>SANTA ROSA DE OSOS</t>
  </si>
  <si>
    <t>VILLA PEREZ JESUS DAVID</t>
  </si>
  <si>
    <t>SEGOVIA</t>
  </si>
  <si>
    <t>TURBO</t>
  </si>
  <si>
    <t>YARUMAL</t>
  </si>
  <si>
    <t>SUPERMOTOS DEL ATLANTICO S.A.S</t>
  </si>
  <si>
    <t>BARRANQUILLA</t>
  </si>
  <si>
    <t>INVERSIONES HERNANDEZ SINNING H&amp;S S.A.S</t>
  </si>
  <si>
    <t>SABANALARGA</t>
  </si>
  <si>
    <t>BICIMOTOS Y REPUESTOS S.A.S</t>
  </si>
  <si>
    <t>SOLEDAD</t>
  </si>
  <si>
    <t>BOGOTA D.C.</t>
  </si>
  <si>
    <t>EN MOTO.COM SAS</t>
  </si>
  <si>
    <t>SUPERMOTOS DE CUNDINAMARCA S.A.S</t>
  </si>
  <si>
    <t>CCS MOTOR S A S</t>
  </si>
  <si>
    <t>MOTOR CITY HERO S.A.S</t>
  </si>
  <si>
    <t>SUPERMOTOS DE BOGOTA S.A.S.</t>
  </si>
  <si>
    <t>CORTES VELASQUEZ OMAR HENRY</t>
  </si>
  <si>
    <t>SAINEA PUERTO LUIS ALBERTO</t>
  </si>
  <si>
    <t>CASAMOTO S A S</t>
  </si>
  <si>
    <t>SUPERMOTOS DE BOLIVAR S.A.S.</t>
  </si>
  <si>
    <t>CARTAGENA</t>
  </si>
  <si>
    <t>MOTOMAS DE LA COSTA LTDA</t>
  </si>
  <si>
    <t>MAGANGUE</t>
  </si>
  <si>
    <t>JISSEN HANNA SIRENE</t>
  </si>
  <si>
    <t>MOMPOS</t>
  </si>
  <si>
    <t>AGRO HONDA LA S.A.S</t>
  </si>
  <si>
    <t>ROMERO COCA JORGE ALBERTO</t>
  </si>
  <si>
    <t>SANTA ROSA DEL SUR</t>
  </si>
  <si>
    <t>TUNJA</t>
  </si>
  <si>
    <t>HONDA MOTOBOY S.A.S.</t>
  </si>
  <si>
    <t>PUERTO BOYACA</t>
  </si>
  <si>
    <t>SOGAMOSO</t>
  </si>
  <si>
    <t>MANIZALES</t>
  </si>
  <si>
    <t>LA DORADA</t>
  </si>
  <si>
    <t>CEVECO S.A.S.</t>
  </si>
  <si>
    <t>RIOSUCIO</t>
  </si>
  <si>
    <t>FLORENCIA</t>
  </si>
  <si>
    <t>ROSAS ESCANDON GUSTAVO ADOLFO</t>
  </si>
  <si>
    <t>POSADA OSPINA HOFFERMANM</t>
  </si>
  <si>
    <t>EL DONCELLO</t>
  </si>
  <si>
    <t>SAN VICENTE DEL CAGUAN</t>
  </si>
  <si>
    <t>SUPERMOTOS DEL CAUCA SAS</t>
  </si>
  <si>
    <t>POPAYAN</t>
  </si>
  <si>
    <t>GUAJI  ARACELY</t>
  </si>
  <si>
    <t>ARGELIA</t>
  </si>
  <si>
    <t>ROSAS BAZANTE JORGE ANDRES</t>
  </si>
  <si>
    <t>PATIA(EL BORDO)</t>
  </si>
  <si>
    <t>MONJE MORCILLO EDWARD FELIPE</t>
  </si>
  <si>
    <t>PIENDAMO</t>
  </si>
  <si>
    <t>MICOLTA FRANCO ALEXANDER</t>
  </si>
  <si>
    <t>PUERTO TEJADA</t>
  </si>
  <si>
    <t>SANTANDER DE QUILICHAO</t>
  </si>
  <si>
    <t>TIMBIO</t>
  </si>
  <si>
    <t>SUPERMOTOS DEL CESAR S.A.S.</t>
  </si>
  <si>
    <t>VALLEDUPAR</t>
  </si>
  <si>
    <t>RODRIGUEZ ROSA CECILIA</t>
  </si>
  <si>
    <t>BOSCONIA</t>
  </si>
  <si>
    <t>MOTOS GAP S.A.S.</t>
  </si>
  <si>
    <t>CURUMANI</t>
  </si>
  <si>
    <t>MONTERIA</t>
  </si>
  <si>
    <t>MOTO AGRO DEL SINU S.A.S.</t>
  </si>
  <si>
    <t>CERETE</t>
  </si>
  <si>
    <t>CHINU</t>
  </si>
  <si>
    <t>CIENAGA DE ORO</t>
  </si>
  <si>
    <t>LORICA</t>
  </si>
  <si>
    <t>MOTOCENTRO HONDA S.A.</t>
  </si>
  <si>
    <t>MONTELIBANO</t>
  </si>
  <si>
    <t>LA BUENA HONDA DE LA SABANA S.A.S.</t>
  </si>
  <si>
    <t>PLANETA RICA</t>
  </si>
  <si>
    <t>SAHAGUN</t>
  </si>
  <si>
    <t>HONDA STORE S.A.S.</t>
  </si>
  <si>
    <t>SAN ANDRES DE SOTAVENTO</t>
  </si>
  <si>
    <t>REGUEMOTOS S.A.S.</t>
  </si>
  <si>
    <t>SAN ANTERO</t>
  </si>
  <si>
    <t>SAN BERNARDO DEL VIENTO</t>
  </si>
  <si>
    <t>SAN PELAYO</t>
  </si>
  <si>
    <t>TIERRALTA</t>
  </si>
  <si>
    <t>MONJE CAMPO HUGO HERNAN</t>
  </si>
  <si>
    <t>SERVI-MOTOS CHIA</t>
  </si>
  <si>
    <t>CHIA</t>
  </si>
  <si>
    <t>FACATATIVA</t>
  </si>
  <si>
    <t>FUSAGASUGA</t>
  </si>
  <si>
    <t>GIRARDOT</t>
  </si>
  <si>
    <t>MADRID</t>
  </si>
  <si>
    <t>ACOSTA TINOCO ALCIRA</t>
  </si>
  <si>
    <t>VILLETA</t>
  </si>
  <si>
    <t>MERCAMOTOS S.A.S</t>
  </si>
  <si>
    <t>ZIPAQUIRA</t>
  </si>
  <si>
    <t>DROSSOS AUBAD IOANNIS</t>
  </si>
  <si>
    <t>QUIBDO</t>
  </si>
  <si>
    <t>Total general</t>
  </si>
  <si>
    <t>Suma de Cant. pendiente</t>
  </si>
  <si>
    <t>MOTOS PRADERA S.A.S.</t>
  </si>
  <si>
    <t>SUROMOTOS</t>
  </si>
  <si>
    <t>RYA LOS MINEROS S.A.S.</t>
  </si>
  <si>
    <t>SERVIMOTOS HONDA LIBERTADORES S.A.S.</t>
  </si>
  <si>
    <t>MOTO KING EL REY DE LAS MOTOS S.A.S.</t>
  </si>
  <si>
    <t>MOTOCEL COMPANY S.A.S</t>
  </si>
  <si>
    <t>SERVIMOTOS URRAO S.A.S</t>
  </si>
  <si>
    <t>CORREDOR PACHON LUIS ANTONIO</t>
  </si>
  <si>
    <t>ELECTRO RAMOS CREDITOS S.A.S</t>
  </si>
  <si>
    <t>NORTE</t>
  </si>
  <si>
    <t>CENTRO</t>
  </si>
  <si>
    <t>BEST BIKE S.A.S</t>
  </si>
  <si>
    <t>GRIMALDOS JURADO JOSE ANTONIO</t>
  </si>
  <si>
    <t>MAQUINAGRO S.A.</t>
  </si>
  <si>
    <t>LA BUENA HONDA DEL CARIBE S.A.</t>
  </si>
  <si>
    <t>SUPERMOTOS DEL HUILA S.A.S.</t>
  </si>
  <si>
    <t>Cantidad</t>
  </si>
  <si>
    <t>Disponibilidad</t>
  </si>
  <si>
    <t>Programación</t>
  </si>
  <si>
    <t>CLASE DE CLIENTE</t>
  </si>
  <si>
    <t>ZONAS</t>
  </si>
  <si>
    <t>Desc. sucursal factura</t>
  </si>
  <si>
    <t>Fecha entrega</t>
  </si>
  <si>
    <t>CLIENTE</t>
  </si>
  <si>
    <t>CIUDAD</t>
  </si>
  <si>
    <t>ZONA</t>
  </si>
  <si>
    <t>RUTA</t>
  </si>
  <si>
    <t>ARDILA MIRANDA DANIEL</t>
  </si>
  <si>
    <t>3.1</t>
  </si>
  <si>
    <t>1.1</t>
  </si>
  <si>
    <t>3.2</t>
  </si>
  <si>
    <t>COLVENTAS S.A.</t>
  </si>
  <si>
    <t>BARBOSA SANTANDER</t>
  </si>
  <si>
    <t>CHIQUINQUIRA</t>
  </si>
  <si>
    <t>DELCO S.A.S</t>
  </si>
  <si>
    <t>CIENAGA</t>
  </si>
  <si>
    <t>PIVIJAY</t>
  </si>
  <si>
    <t>DIRCOMOTOS LTDA.</t>
  </si>
  <si>
    <t>1.3</t>
  </si>
  <si>
    <t>RIOHACHA</t>
  </si>
  <si>
    <t>ASTREA</t>
  </si>
  <si>
    <t>2.2</t>
  </si>
  <si>
    <t>FRIO Y CALOR S.A</t>
  </si>
  <si>
    <t>BARRANCABERMEJA</t>
  </si>
  <si>
    <t>G Y D MOTOS SAS</t>
  </si>
  <si>
    <t>GOMEZ GUERRERO MAURICIO</t>
  </si>
  <si>
    <t>SOCORRO</t>
  </si>
  <si>
    <t>SAN ALBERTO</t>
  </si>
  <si>
    <t>1.2</t>
  </si>
  <si>
    <t>GUERRA MONTES PEDRO ANTONIO</t>
  </si>
  <si>
    <t>VALENCIA</t>
  </si>
  <si>
    <t>3.3</t>
  </si>
  <si>
    <t>LA BUENA HONDA DEL CARIBE S.A.S.</t>
  </si>
  <si>
    <t>SAN JUAN DEL CESAR</t>
  </si>
  <si>
    <t>PAMPLONA</t>
  </si>
  <si>
    <t>ABREGO</t>
  </si>
  <si>
    <t>MALAGA</t>
  </si>
  <si>
    <t>2.1</t>
  </si>
  <si>
    <t>CIRCASIA</t>
  </si>
  <si>
    <t>MOTOCARIBE S.A.S.</t>
  </si>
  <si>
    <t>EL CARMEN DE BOLIVAR</t>
  </si>
  <si>
    <t>PUERTO LIBERTADOR</t>
  </si>
  <si>
    <t>AYAPEL</t>
  </si>
  <si>
    <t>TARAZA</t>
  </si>
  <si>
    <t>MOTOMAYORISTA S.A.S.</t>
  </si>
  <si>
    <t>ITAGUI</t>
  </si>
  <si>
    <t>FUNZA</t>
  </si>
  <si>
    <t>PRADERA</t>
  </si>
  <si>
    <t>PEREZ RODRIGUEZ GUSTAVO ANDRES</t>
  </si>
  <si>
    <t>PROCESOS ENERGETICOS INTEGRALES LIMITADA</t>
  </si>
  <si>
    <t>DUITAMA</t>
  </si>
  <si>
    <t>RT MOTOS S.A.S</t>
  </si>
  <si>
    <t>UBATE</t>
  </si>
  <si>
    <t>NECOCLI</t>
  </si>
  <si>
    <t>ITSMINA</t>
  </si>
  <si>
    <t>URRAO</t>
  </si>
  <si>
    <t>(Varios elementos)</t>
  </si>
  <si>
    <t>Precio unit.</t>
  </si>
  <si>
    <t>SAN ROQUE</t>
  </si>
  <si>
    <t>Etiquetas de fila</t>
  </si>
  <si>
    <t>NIT</t>
  </si>
  <si>
    <t>CONTADO A HOY</t>
  </si>
  <si>
    <t>Costo del pedido</t>
  </si>
  <si>
    <t>CUPO CONTADO</t>
  </si>
  <si>
    <t>CUPO CREDITO</t>
  </si>
  <si>
    <t>Máx. de CUPO CONTADO</t>
  </si>
  <si>
    <t>Máx. de CUPO CREDITO</t>
  </si>
  <si>
    <t>Máx. de Disponibilidad</t>
  </si>
  <si>
    <t xml:space="preserve">CB 160F DLX                                       </t>
  </si>
  <si>
    <t>NEGRO PER</t>
  </si>
  <si>
    <t>Referencia-Color</t>
  </si>
  <si>
    <t>Costo Programado</t>
  </si>
  <si>
    <t># Viaje</t>
  </si>
  <si>
    <t>Concatenar</t>
  </si>
  <si>
    <t>Cant. Programada</t>
  </si>
  <si>
    <t>Suma de Cant. Programada</t>
  </si>
  <si>
    <t>Condición de pago</t>
  </si>
  <si>
    <t>EMPRESA</t>
  </si>
  <si>
    <t>ENTREGAS</t>
  </si>
  <si>
    <t>CODIGO</t>
  </si>
  <si>
    <t>E</t>
  </si>
  <si>
    <t>TIPO CAMION</t>
  </si>
  <si>
    <t>SENCILLO PEQUEÑO</t>
  </si>
  <si>
    <t>SENCILLO GRANDE</t>
  </si>
  <si>
    <t>SP</t>
  </si>
  <si>
    <t>SG</t>
  </si>
  <si>
    <t>TG</t>
  </si>
  <si>
    <t>ESTRUCTURA DEL CODIGO</t>
  </si>
  <si>
    <t>CONCECUTIVO DEL DIA</t>
  </si>
  <si>
    <t>DIA</t>
  </si>
  <si>
    <t>MES</t>
  </si>
  <si>
    <t>TIPO DE CAMION</t>
  </si>
  <si>
    <t>HORARIO</t>
  </si>
  <si>
    <t>CONDICION DE PAGO</t>
  </si>
  <si>
    <t>CONTADO</t>
  </si>
  <si>
    <t>CREDITO</t>
  </si>
  <si>
    <t>Tiene Cupo</t>
  </si>
  <si>
    <t>A</t>
  </si>
  <si>
    <t>TURBO PEQUEÑA</t>
  </si>
  <si>
    <t>TURBO GRANDE</t>
  </si>
  <si>
    <t>TP</t>
  </si>
  <si>
    <t>01:00:00 p.m</t>
  </si>
  <si>
    <t>60E</t>
  </si>
  <si>
    <t>90D</t>
  </si>
  <si>
    <t>TAURAMENA</t>
  </si>
  <si>
    <t>Valores</t>
  </si>
  <si>
    <t>Máx. de Condición de pago</t>
  </si>
  <si>
    <t>FRIO Y CALOR</t>
  </si>
  <si>
    <t>Columna2</t>
  </si>
  <si>
    <t>GRUPO DOS RUEDAS SAS</t>
  </si>
  <si>
    <t>2.7</t>
  </si>
  <si>
    <t>SAN ANDRES</t>
  </si>
  <si>
    <t>SUPREMOTOS S.A.S.</t>
  </si>
  <si>
    <t>2.8</t>
  </si>
  <si>
    <t>2.3</t>
  </si>
  <si>
    <t>POSADA  ROMUALDO</t>
  </si>
  <si>
    <t>URREGO ACOSTA CARLOS JAVIER</t>
  </si>
  <si>
    <t>2.4</t>
  </si>
  <si>
    <t>2.5</t>
  </si>
  <si>
    <t>2.6</t>
  </si>
  <si>
    <t>INIRIDA</t>
  </si>
  <si>
    <t>LEBRIJA</t>
  </si>
  <si>
    <t>3.4</t>
  </si>
  <si>
    <t>3.5</t>
  </si>
  <si>
    <t>C MOTO STORE S.A.S.</t>
  </si>
  <si>
    <t>HATO NUEVO</t>
  </si>
  <si>
    <t>VILLANUEVA</t>
  </si>
  <si>
    <t>2-sr</t>
  </si>
  <si>
    <t>1-sr</t>
  </si>
  <si>
    <t>LA APARTADA</t>
  </si>
  <si>
    <t>3-sr</t>
  </si>
  <si>
    <t>CUPO DE CREDITO FANALCA</t>
  </si>
  <si>
    <t>CUPO DE CREDITO FACTORING</t>
  </si>
  <si>
    <t>TOTAL CREDITO</t>
  </si>
  <si>
    <t>PVT-00086145</t>
  </si>
  <si>
    <t>PVT-00086111</t>
  </si>
  <si>
    <t>PVT-00086088</t>
  </si>
  <si>
    <t>PVT-00086093</t>
  </si>
  <si>
    <t>PVT-00086077</t>
  </si>
  <si>
    <t>PVT-00086112</t>
  </si>
  <si>
    <t>PVT-00086171</t>
  </si>
  <si>
    <t>PVT-00086098</t>
  </si>
  <si>
    <t>PVT-00086106</t>
  </si>
  <si>
    <t>PVT-00086099</t>
  </si>
  <si>
    <t>PVT-00086102</t>
  </si>
  <si>
    <t>PVT-00086060</t>
  </si>
  <si>
    <t>PVT-00086078</t>
  </si>
  <si>
    <t>PVT-00086065</t>
  </si>
  <si>
    <t>PVT-00086174</t>
  </si>
  <si>
    <t>PVT-00086094</t>
  </si>
  <si>
    <t>PVT-00086151</t>
  </si>
  <si>
    <t>PVT-00086173</t>
  </si>
  <si>
    <t>PVT-00086172</t>
  </si>
  <si>
    <t>PVT-00086110</t>
  </si>
  <si>
    <t>PVT-00086115</t>
  </si>
  <si>
    <t>PVT-00086144</t>
  </si>
  <si>
    <t>PVT-00086154</t>
  </si>
  <si>
    <t>PVT-00086125</t>
  </si>
  <si>
    <t>PVT-00086128</t>
  </si>
  <si>
    <t>PVT-00086127</t>
  </si>
  <si>
    <t>PVT-00086130</t>
  </si>
  <si>
    <t>PVT-00086076</t>
  </si>
  <si>
    <t>PVT-00086071</t>
  </si>
  <si>
    <t>PVT-00086113</t>
  </si>
  <si>
    <t>PVT-00086135</t>
  </si>
  <si>
    <t>PVT-00086058</t>
  </si>
  <si>
    <t>PVT-00086139</t>
  </si>
  <si>
    <t>PVT-00086137</t>
  </si>
  <si>
    <t>Nro documento</t>
  </si>
  <si>
    <t>PVT-00086177</t>
  </si>
  <si>
    <t>PVT-00086179</t>
  </si>
  <si>
    <t>PVT-00086181</t>
  </si>
  <si>
    <t>PVT-00086200</t>
  </si>
  <si>
    <t>SUPERMOTOS DE CALI S.A.S. PPAL</t>
  </si>
  <si>
    <t>PVT-00086175</t>
  </si>
  <si>
    <t>PVT-00086176</t>
  </si>
  <si>
    <t>PVT-00086280</t>
  </si>
  <si>
    <t>PVT-00086282</t>
  </si>
  <si>
    <t>PVT-00086283</t>
  </si>
  <si>
    <t>PVT-00086287</t>
  </si>
  <si>
    <t>PVT-00086285</t>
  </si>
  <si>
    <t>PVT-00086278</t>
  </si>
  <si>
    <t>PVT-00086281</t>
  </si>
  <si>
    <t>PVT-00086279</t>
  </si>
  <si>
    <t>PVT-00086239</t>
  </si>
  <si>
    <t>PVT-00086303</t>
  </si>
  <si>
    <t>PVT-00086243</t>
  </si>
  <si>
    <t>PVT-00086335</t>
  </si>
  <si>
    <t>NARANJA N</t>
  </si>
  <si>
    <t>QUINTERO RODRIGUEZ MARISOL</t>
  </si>
  <si>
    <t>PVT-00086448</t>
  </si>
  <si>
    <t>PVT-00086450</t>
  </si>
  <si>
    <t>PVT-00086580</t>
  </si>
  <si>
    <t>PVT-00086594</t>
  </si>
  <si>
    <t>PVT-00086595</t>
  </si>
  <si>
    <t>PVT-00086581</t>
  </si>
  <si>
    <t>SONSON</t>
  </si>
  <si>
    <t>PVT-00086722</t>
  </si>
  <si>
    <t>PVT-00086700</t>
  </si>
  <si>
    <t>10-20-1-E-TG-3</t>
  </si>
  <si>
    <t>11-20-1-J-SG-3</t>
  </si>
  <si>
    <t>12-20-1-E-TG-3</t>
  </si>
  <si>
    <t>13-20-1-V-SP-2</t>
  </si>
  <si>
    <t>14-20-1-A-TG-3</t>
  </si>
  <si>
    <t>15-20-1-E-TP-2</t>
  </si>
  <si>
    <t>Trasportador</t>
  </si>
  <si>
    <t>Tipo de camion</t>
  </si>
  <si>
    <t>Cantidad Motos</t>
  </si>
  <si>
    <t>Hora de cargue</t>
  </si>
  <si>
    <t>Total</t>
  </si>
  <si>
    <t>02-20-1-O-SP-1</t>
  </si>
  <si>
    <t>3</t>
  </si>
  <si>
    <t>09-20-1-E-SG-2</t>
  </si>
  <si>
    <t>01-20-1-J-SG-1</t>
  </si>
  <si>
    <t>08-20-1-E-TG-3</t>
  </si>
  <si>
    <t>07-20-1-A-SP-2</t>
  </si>
  <si>
    <t>06-20-1-E-TG-3</t>
  </si>
  <si>
    <t>05-20-1-E-TP-1</t>
  </si>
  <si>
    <t>04-20-1-E-SG-2</t>
  </si>
  <si>
    <t>1</t>
  </si>
  <si>
    <t>2</t>
  </si>
  <si>
    <t>03-20-1-V-TG-1</t>
  </si>
  <si>
    <t>Empresa transportadora</t>
  </si>
  <si>
    <t>Cantidad de motos</t>
  </si>
  <si>
    <t>Hora de Cargue</t>
  </si>
  <si>
    <t>Conductor</t>
  </si>
  <si>
    <t>Código del Viaje</t>
  </si>
  <si>
    <t>Tipo de Camión</t>
  </si>
  <si>
    <t>COPIAR Y PEGAR (TABLA DE ARRIBA)</t>
  </si>
  <si>
    <t>Suma de Total</t>
  </si>
  <si>
    <t>FORMULADO</t>
  </si>
  <si>
    <t>Programacion dia anterior</t>
  </si>
  <si>
    <t>Disponibilidad Real</t>
  </si>
  <si>
    <t>gran total</t>
  </si>
  <si>
    <t>PEGRA TABLA PARA DESCONTAR MOTOS</t>
  </si>
  <si>
    <t>Columna1</t>
  </si>
  <si>
    <t>Modelo-Color</t>
  </si>
  <si>
    <t xml:space="preserve">Modelo </t>
  </si>
  <si>
    <t>Color</t>
  </si>
  <si>
    <t>CODIGO2</t>
  </si>
  <si>
    <t>TRANSPORTADOR</t>
  </si>
  <si>
    <t>GERENTE VENTAS</t>
  </si>
  <si>
    <t>GERENTE REGIONAL</t>
  </si>
  <si>
    <t>REGION<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</si>
  <si>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</si>
  <si>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</si>
  <si>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</si>
  <si>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</si>
  <si>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</si>
  <si>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VENTA (AAA, AA, A)</t>
  </si>
  <si>
    <t>NIT (sin codigo verificacion)</t>
  </si>
  <si>
    <t>NOMBRE  AGENCIA</t>
  </si>
  <si>
    <t>DEPARTAMENTO</t>
  </si>
  <si>
    <t>DIRECCION</t>
  </si>
  <si>
    <t xml:space="preserve">LÍDER DE PUNTO O RESPONSABLE DE AGENCIA </t>
  </si>
  <si>
    <t>CORREOXSUC</t>
  </si>
  <si>
    <t>OSCAR JOERNS  310 4750173</t>
  </si>
  <si>
    <t>TIMY VANOY 311 3001934</t>
  </si>
  <si>
    <t>R1</t>
  </si>
  <si>
    <t>ALCALA MOTOR S.A.S</t>
  </si>
  <si>
    <t>Fabio Molina Lopez</t>
  </si>
  <si>
    <t>AAA</t>
  </si>
  <si>
    <t>Agencia Villavicencio</t>
  </si>
  <si>
    <t>Villavicencio</t>
  </si>
  <si>
    <t>Meta</t>
  </si>
  <si>
    <t>Boyacá</t>
  </si>
  <si>
    <t>Jorge Uribe</t>
  </si>
  <si>
    <t>Agencia Bogotá</t>
  </si>
  <si>
    <t>Bogota</t>
  </si>
  <si>
    <t>Cundinamarca</t>
  </si>
  <si>
    <t>Jorge  Uribe</t>
  </si>
  <si>
    <t>Andres Meza</t>
  </si>
  <si>
    <t>316 854 7535</t>
  </si>
  <si>
    <t>AA</t>
  </si>
  <si>
    <t xml:space="preserve">Andres Meza / Jorge Teran </t>
  </si>
  <si>
    <t xml:space="preserve">Carlos   Calderon </t>
  </si>
  <si>
    <t xml:space="preserve">Bogotá </t>
  </si>
  <si>
    <t>Carlos Calderon</t>
  </si>
  <si>
    <t>ROMMOTOS</t>
  </si>
  <si>
    <t>Miguel Chaves</t>
  </si>
  <si>
    <t xml:space="preserve">Villavicencio </t>
  </si>
  <si>
    <t>Miguel Chaves//Rocio Bonilla</t>
  </si>
  <si>
    <t>Libardo Ruiz</t>
  </si>
  <si>
    <t xml:space="preserve">311 219 69 78 </t>
  </si>
  <si>
    <t>Bogotá</t>
  </si>
  <si>
    <t>Yesid Darío Ruiz</t>
  </si>
  <si>
    <t>DISTRIBUIDORA HERCA</t>
  </si>
  <si>
    <t>Ricardo Caballero</t>
  </si>
  <si>
    <t>310 267 49 43</t>
  </si>
  <si>
    <t>Rafael Armando Morales Ardila</t>
  </si>
  <si>
    <t>Jose Duval Ruiz</t>
  </si>
  <si>
    <t>315 475 77 71</t>
  </si>
  <si>
    <t>Agencia Zipaquira</t>
  </si>
  <si>
    <t>Zipaquira</t>
  </si>
  <si>
    <t>Juan Valenzuela</t>
  </si>
  <si>
    <t>LUIS ALBERTO SAINEA</t>
  </si>
  <si>
    <t>MOTOSERVI</t>
  </si>
  <si>
    <t xml:space="preserve">Luis Alberto Sainea </t>
  </si>
  <si>
    <t>311 521 0810</t>
  </si>
  <si>
    <t>Agencia Soacha</t>
  </si>
  <si>
    <t>Soacha</t>
  </si>
  <si>
    <t>gustavo sainea camargo</t>
  </si>
  <si>
    <t>MOTOMUNDIAL</t>
  </si>
  <si>
    <t>Omar Cortes</t>
  </si>
  <si>
    <t>317 648 5552</t>
  </si>
  <si>
    <t xml:space="preserve">Bogota </t>
  </si>
  <si>
    <t>Jonathan Gutierrez Salinas</t>
  </si>
  <si>
    <t>Omar Robayo</t>
  </si>
  <si>
    <t>311 540 7114</t>
  </si>
  <si>
    <t>Agencia Ubate</t>
  </si>
  <si>
    <t>Ubate</t>
  </si>
  <si>
    <t>Hugo Hernan Monje Campo</t>
  </si>
  <si>
    <t>320 838 8981</t>
  </si>
  <si>
    <t>Agencia Chia</t>
  </si>
  <si>
    <t xml:space="preserve">Chia  </t>
  </si>
  <si>
    <t>Maria Paola del Castillo</t>
  </si>
  <si>
    <t>314 828 31 80</t>
  </si>
  <si>
    <t>Agencia Apartado</t>
  </si>
  <si>
    <t>Apartadó</t>
  </si>
  <si>
    <t>Antioquia</t>
  </si>
  <si>
    <t>Yuermilse Mejía Cardona</t>
  </si>
  <si>
    <t>MOTORCYCLE MARKET</t>
  </si>
  <si>
    <t>Miguel Saenz</t>
  </si>
  <si>
    <t>Agencia Funza</t>
  </si>
  <si>
    <t>Diego Betancourt</t>
  </si>
  <si>
    <t>SUPERMOTOS DEL GUALIVA</t>
  </si>
  <si>
    <t>Alcira Acosta Tinoco</t>
  </si>
  <si>
    <t>Agencia Villeta</t>
  </si>
  <si>
    <t>Villeta</t>
  </si>
  <si>
    <t>R2</t>
  </si>
  <si>
    <t>CENTROMOTOS</t>
  </si>
  <si>
    <t>Edwin Salazar Acsta</t>
  </si>
  <si>
    <t>Centromotos</t>
  </si>
  <si>
    <t>Hormiga</t>
  </si>
  <si>
    <t>Putumayo</t>
  </si>
  <si>
    <t>Carolina Guerra</t>
  </si>
  <si>
    <t xml:space="preserve">AAA </t>
  </si>
  <si>
    <t>GUSTAMOTOS HONDA</t>
  </si>
  <si>
    <t>Gustavo Adolfo Rosas</t>
  </si>
  <si>
    <t>312 585 2076</t>
  </si>
  <si>
    <t>Gustamotos Honda</t>
  </si>
  <si>
    <t>Florencia</t>
  </si>
  <si>
    <t>Caquetá</t>
  </si>
  <si>
    <t>Leydi Caicedo</t>
  </si>
  <si>
    <t>HOFFERMANM POSADA</t>
  </si>
  <si>
    <t>Hofferman Posada</t>
  </si>
  <si>
    <t>311 477 55 70</t>
  </si>
  <si>
    <t>Motosport</t>
  </si>
  <si>
    <t xml:space="preserve">Doncello </t>
  </si>
  <si>
    <t>Hoffermanm Posada Ospina</t>
  </si>
  <si>
    <t>HONDA MAQUINAGRO</t>
  </si>
  <si>
    <t>Jairo Leon Chaves</t>
  </si>
  <si>
    <t xml:space="preserve">315 821 9458 </t>
  </si>
  <si>
    <t>Honda Maquinagro</t>
  </si>
  <si>
    <t>Yina Griseth Rojas C.</t>
  </si>
  <si>
    <t>Neiva</t>
  </si>
  <si>
    <t>Huila</t>
  </si>
  <si>
    <t>MOTO HONDA</t>
  </si>
  <si>
    <t>Evert Cabrera</t>
  </si>
  <si>
    <t>Moto Honda</t>
  </si>
  <si>
    <t xml:space="preserve">Puerto Asís </t>
  </si>
  <si>
    <t>Mauricio Santos</t>
  </si>
  <si>
    <t>MUNDO HONDA</t>
  </si>
  <si>
    <t>Alberto Beltran Otalora</t>
  </si>
  <si>
    <t>310 619 2666</t>
  </si>
  <si>
    <t>Mundo Honda Guamo</t>
  </si>
  <si>
    <t>Guamo</t>
  </si>
  <si>
    <t>Tolima</t>
  </si>
  <si>
    <t>Deysi Diaz</t>
  </si>
  <si>
    <t>SUPERMOTOS MYM</t>
  </si>
  <si>
    <t>Oscar Ivan Mendez Parra / Manuel Ricardo Mendez</t>
  </si>
  <si>
    <t>313 326 45 47</t>
  </si>
  <si>
    <t>Supermotos MYM Fusa</t>
  </si>
  <si>
    <t>Fusagasuga</t>
  </si>
  <si>
    <t>Oscar Ivan Mendez Parra</t>
  </si>
  <si>
    <t>Dora Luz Gomez</t>
  </si>
  <si>
    <t>314 821 03 09</t>
  </si>
  <si>
    <t>Honda Motoboy Puerto Boyaca</t>
  </si>
  <si>
    <t xml:space="preserve">Pto Boyacá  </t>
  </si>
  <si>
    <t>Sandra Bernal</t>
  </si>
  <si>
    <t>Caldas</t>
  </si>
  <si>
    <t>IVAN DARIO RAMIREZ  312 8986843</t>
  </si>
  <si>
    <t>R3</t>
  </si>
  <si>
    <t>BICIMOTOS INIRIDA</t>
  </si>
  <si>
    <t>Jorge Ruge</t>
  </si>
  <si>
    <t>311 475 8225</t>
  </si>
  <si>
    <t>Inirida</t>
  </si>
  <si>
    <t>Guainia</t>
  </si>
  <si>
    <t>Mary Montes</t>
  </si>
  <si>
    <t xml:space="preserve">Jeiver Yobany Sanchez </t>
  </si>
  <si>
    <t>314 357 97 14</t>
  </si>
  <si>
    <t>La Primavera</t>
  </si>
  <si>
    <t>Vichada</t>
  </si>
  <si>
    <t>Horquin Rolon Cardenas</t>
  </si>
  <si>
    <t>310 808 27 98</t>
  </si>
  <si>
    <t xml:space="preserve">Arauca </t>
  </si>
  <si>
    <t>Arauca</t>
  </si>
  <si>
    <t>Gloria Elena Reyes</t>
  </si>
  <si>
    <t>Saravena</t>
  </si>
  <si>
    <t>CREDIMOTOS OCAÑA</t>
  </si>
  <si>
    <t>Ciro Alonso Osorio</t>
  </si>
  <si>
    <t xml:space="preserve">315 702 0525  </t>
  </si>
  <si>
    <t>Ocaña</t>
  </si>
  <si>
    <t xml:space="preserve">Ocaña   </t>
  </si>
  <si>
    <t>Norte de Santander</t>
  </si>
  <si>
    <t>Legdy Johanna Restrepo</t>
  </si>
  <si>
    <t>SERVIREPUESTOS ARDILA</t>
  </si>
  <si>
    <t>DANIEL ARDILA MIRANDA</t>
  </si>
  <si>
    <t>Daniel Ardila Miranda</t>
  </si>
  <si>
    <t>310 276 44 69</t>
  </si>
  <si>
    <t>Maria Cristina Rodriguez</t>
  </si>
  <si>
    <t>MOTO KING</t>
  </si>
  <si>
    <t>Jairo Sandoval</t>
  </si>
  <si>
    <t>315 676 2321</t>
  </si>
  <si>
    <t>OFICINAS</t>
  </si>
  <si>
    <t>Oficina (Cucuta)</t>
  </si>
  <si>
    <t>Cucuta</t>
  </si>
  <si>
    <t>Yuli Mileni  Galvis Rubio</t>
  </si>
  <si>
    <t>Santander</t>
  </si>
  <si>
    <t xml:space="preserve">Fanny Edilsa Baron Baenz  </t>
  </si>
  <si>
    <t>311 2516973 - 312 3923284</t>
  </si>
  <si>
    <t>Libertadores</t>
  </si>
  <si>
    <t>Cucutá</t>
  </si>
  <si>
    <t>Fanny Baron</t>
  </si>
  <si>
    <t>MIGUEL BURGOS 312 457 1196</t>
  </si>
  <si>
    <t>HUGO MARTINEZ    314 8300659</t>
  </si>
  <si>
    <t>Walter Jose Cano Agudelo</t>
  </si>
  <si>
    <t>320 797 51 99</t>
  </si>
  <si>
    <t xml:space="preserve">Andes </t>
  </si>
  <si>
    <t>Cl.audia Peña</t>
  </si>
  <si>
    <t>ELIZABETH ESCUDERO CANO</t>
  </si>
  <si>
    <t>CURUME MOTOS</t>
  </si>
  <si>
    <t>Juan David Escudero Cano</t>
  </si>
  <si>
    <t>054 8533605   -   317 437 3788</t>
  </si>
  <si>
    <t>Santa Fé de Antioquia</t>
  </si>
  <si>
    <t>Yeison Ramos</t>
  </si>
  <si>
    <t>312 757 7060</t>
  </si>
  <si>
    <t>San Roque</t>
  </si>
  <si>
    <t>HONDA CHOCÓ</t>
  </si>
  <si>
    <t>Yeny Andrea García</t>
  </si>
  <si>
    <t>310 425 6214</t>
  </si>
  <si>
    <t>Quibdó</t>
  </si>
  <si>
    <t>Quibdo</t>
  </si>
  <si>
    <t>Chocó</t>
  </si>
  <si>
    <t xml:space="preserve">Beatriz Elena García </t>
  </si>
  <si>
    <t>318 844 83 42</t>
  </si>
  <si>
    <t>Barbosa</t>
  </si>
  <si>
    <t>Rubiela García</t>
  </si>
  <si>
    <t>312 200 61 05</t>
  </si>
  <si>
    <t>Sabaneta</t>
  </si>
  <si>
    <t xml:space="preserve">Caldas    </t>
  </si>
  <si>
    <t>Federico Palomo</t>
  </si>
  <si>
    <t>300 5285266</t>
  </si>
  <si>
    <t>San Andres De Sotavento</t>
  </si>
  <si>
    <t>Córdoba</t>
  </si>
  <si>
    <t>Cordoba</t>
  </si>
  <si>
    <t>Angela M. Zuñiga</t>
  </si>
  <si>
    <t>310 513 7823</t>
  </si>
  <si>
    <t xml:space="preserve">Planeta Rica </t>
  </si>
  <si>
    <t>Angela Ma. Zuñiga</t>
  </si>
  <si>
    <t>MOTOAGRO DEL SINU S.A.S.</t>
  </si>
  <si>
    <t>Maria Victoria Diaz</t>
  </si>
  <si>
    <t>312 6601258</t>
  </si>
  <si>
    <t>Cereté</t>
  </si>
  <si>
    <t>Maria Victoria Diaz M</t>
  </si>
  <si>
    <t>Lucia Zuñiga</t>
  </si>
  <si>
    <t>321 540 6701</t>
  </si>
  <si>
    <t>La Apartada</t>
  </si>
  <si>
    <t>Olier Cura</t>
  </si>
  <si>
    <t>JESUS DAVID ESTRADA RESTREPO</t>
  </si>
  <si>
    <t>MOTO ESTRADA</t>
  </si>
  <si>
    <t>Jesus David Contreras</t>
  </si>
  <si>
    <t>300 490 3887</t>
  </si>
  <si>
    <t xml:space="preserve">Yarumal </t>
  </si>
  <si>
    <t>Alberto Maya</t>
  </si>
  <si>
    <t>321 696 81 28</t>
  </si>
  <si>
    <t>Magdalena</t>
  </si>
  <si>
    <t>Solvia Doria Arteaga</t>
  </si>
  <si>
    <t xml:space="preserve">San Marcos </t>
  </si>
  <si>
    <t>Sucre</t>
  </si>
  <si>
    <t>Turbo</t>
  </si>
  <si>
    <t>Magangué</t>
  </si>
  <si>
    <t>Bolivar</t>
  </si>
  <si>
    <t>Roberto Carlos Roqueme</t>
  </si>
  <si>
    <t>314 524 80 63</t>
  </si>
  <si>
    <t>San Pelayo</t>
  </si>
  <si>
    <t>Carlos Portillo</t>
  </si>
  <si>
    <t>Sampues</t>
  </si>
  <si>
    <t>Manuel Beltran</t>
  </si>
  <si>
    <t>Ana Maria Fajardo Zuñiga</t>
  </si>
  <si>
    <t>313 644 91 05</t>
  </si>
  <si>
    <t>Puerto Berrio</t>
  </si>
  <si>
    <t>Catalina Ramos Hernandez</t>
  </si>
  <si>
    <t xml:space="preserve">MOTO RACER </t>
  </si>
  <si>
    <t>MOTO RACER</t>
  </si>
  <si>
    <t>Jesus David Villa Perez</t>
  </si>
  <si>
    <t>Segovia</t>
  </si>
  <si>
    <t>MOTOVALE</t>
  </si>
  <si>
    <t>Pedro Guerra Montes</t>
  </si>
  <si>
    <t>310 728 31 57</t>
  </si>
  <si>
    <t xml:space="preserve">Valencia </t>
  </si>
  <si>
    <t>Lucelly Castillo</t>
  </si>
  <si>
    <t>300 611 2570</t>
  </si>
  <si>
    <t xml:space="preserve">Itagüi  </t>
  </si>
  <si>
    <t>RESTREPO JIMENES LUIS EDUARDO</t>
  </si>
  <si>
    <t>RYA DISTRIBUCIONES</t>
  </si>
  <si>
    <t>Luis Eduardo Restrepo</t>
  </si>
  <si>
    <t>313 606 57 13</t>
  </si>
  <si>
    <t>Istmina</t>
  </si>
  <si>
    <t>Erika Galvan</t>
  </si>
  <si>
    <t>Ricardo Viveros Olarte</t>
  </si>
  <si>
    <t>315 2630426</t>
  </si>
  <si>
    <t>San Antero</t>
  </si>
  <si>
    <t xml:space="preserve">Córdoba </t>
  </si>
  <si>
    <t>Ivenlina Gómez Correa</t>
  </si>
  <si>
    <t>SERVIMOTOS URRAO</t>
  </si>
  <si>
    <t>Carlos Javier Urrego Acosta</t>
  </si>
  <si>
    <t>313 767 3231</t>
  </si>
  <si>
    <t>Urrao</t>
  </si>
  <si>
    <t>Diana Trejos</t>
  </si>
  <si>
    <t>SUROMOTOS S.A.S.</t>
  </si>
  <si>
    <t>Carlos Eduardo González</t>
  </si>
  <si>
    <t>313 683 57 55</t>
  </si>
  <si>
    <t>Ciudad Bolivar</t>
  </si>
  <si>
    <t>Roberto González</t>
  </si>
  <si>
    <t>Elizabeth Zuñiga</t>
  </si>
  <si>
    <t>Elizabeth Zuñiga Zuñiga</t>
  </si>
  <si>
    <t>Zaragoza</t>
  </si>
  <si>
    <t>Patricia Eugenia Zuñiga Perea</t>
  </si>
  <si>
    <t>312 884 6908</t>
  </si>
  <si>
    <t>omar dario rubio rada</t>
  </si>
  <si>
    <t>Jhon Alexander Poveda Triana</t>
  </si>
  <si>
    <t>311 497 0694; 310 887 4815</t>
  </si>
  <si>
    <t>San Pablo</t>
  </si>
  <si>
    <t>Luis Londoño</t>
  </si>
  <si>
    <t>CASTILLO LEYDI ALEJANDRA</t>
  </si>
  <si>
    <t>ARTURO MOTOS</t>
  </si>
  <si>
    <t>Leidy Castillo</t>
  </si>
  <si>
    <t>Majagual</t>
  </si>
  <si>
    <t>AJ DISTRIBUIDORA DEL SUR</t>
  </si>
  <si>
    <t>Jorge Alberto Romero Coca</t>
  </si>
  <si>
    <t>316 267 95 20</t>
  </si>
  <si>
    <t>Santa Rosa del Sur</t>
  </si>
  <si>
    <t>Arnaldo Parra Jimenez</t>
  </si>
  <si>
    <t xml:space="preserve">MOTOS Y REPUESTOS DE LA COSTA </t>
  </si>
  <si>
    <t>Horacio Otero Prada</t>
  </si>
  <si>
    <t>312 621 8588</t>
  </si>
  <si>
    <t>Soledad</t>
  </si>
  <si>
    <t>Atlantico</t>
  </si>
  <si>
    <t>Renhy Ruiz</t>
  </si>
  <si>
    <t>ALMACEN MOTOTEFY</t>
  </si>
  <si>
    <t>Mario Luis Padilla Florez</t>
  </si>
  <si>
    <t>320 513 65 78  -  310 350 51 06  -  300 397 23 47</t>
  </si>
  <si>
    <t>San Marcos</t>
  </si>
  <si>
    <t>Mario Padilla</t>
  </si>
  <si>
    <t>JHON ACOSTA  311 6355410</t>
  </si>
  <si>
    <t>COLVENTAS</t>
  </si>
  <si>
    <t>Reinaldo Ogliastri</t>
  </si>
  <si>
    <t>Santa Marta</t>
  </si>
  <si>
    <t>Barranquilla</t>
  </si>
  <si>
    <t>Bosconia</t>
  </si>
  <si>
    <t>Cesar</t>
  </si>
  <si>
    <t>321 424 444</t>
  </si>
  <si>
    <t>William Cepeda</t>
  </si>
  <si>
    <t>DELCO S.A.S.</t>
  </si>
  <si>
    <t>DELCO SAS</t>
  </si>
  <si>
    <t>Jaime Ruiz Botero</t>
  </si>
  <si>
    <t>319 424 5555</t>
  </si>
  <si>
    <t>Mompos</t>
  </si>
  <si>
    <t>Arnond Tettr Martinez</t>
  </si>
  <si>
    <t>DIRCOMOTO LTDA</t>
  </si>
  <si>
    <t xml:space="preserve"> Sebastian Romero</t>
  </si>
  <si>
    <t>San Andres</t>
  </si>
  <si>
    <t>San Andrés</t>
  </si>
  <si>
    <t>Sebastian Romero</t>
  </si>
  <si>
    <t>Luis Carlos Grandett González</t>
  </si>
  <si>
    <t>310 706 6330</t>
  </si>
  <si>
    <t>Maicao</t>
  </si>
  <si>
    <t>Guajira</t>
  </si>
  <si>
    <t>Johan Grandett</t>
  </si>
  <si>
    <t>Santa Ana</t>
  </si>
  <si>
    <t>INVERSIONES H&amp;S</t>
  </si>
  <si>
    <t>fabio Alberto Hernandez</t>
  </si>
  <si>
    <t>310 357 2684         -        320 657 4764</t>
  </si>
  <si>
    <t>Zenith Maria Sinning</t>
  </si>
  <si>
    <t>Santo Tomas</t>
  </si>
  <si>
    <t xml:space="preserve">Santo Tonas </t>
  </si>
  <si>
    <t>INVERSIONES MEJIA CELADA S.A.S</t>
  </si>
  <si>
    <t>Juan David Mejia Lopera</t>
  </si>
  <si>
    <t>311 6098376  -  310 625 18 75</t>
  </si>
  <si>
    <t>Denis Torres</t>
  </si>
  <si>
    <t>Puerto Wilches</t>
  </si>
  <si>
    <t>San Martin</t>
  </si>
  <si>
    <t>Augusto Zuñiga</t>
  </si>
  <si>
    <t>310 3754159  300 8148307</t>
  </si>
  <si>
    <t>Ligia Perez</t>
  </si>
  <si>
    <t>Hato Nuevo</t>
  </si>
  <si>
    <t>Hatonuevo</t>
  </si>
  <si>
    <t>MOTO HANNA</t>
  </si>
  <si>
    <t>Hanna Jiries Zirene Jissem</t>
  </si>
  <si>
    <t>310 362 10 07</t>
  </si>
  <si>
    <t xml:space="preserve">Mompox  </t>
  </si>
  <si>
    <t>Jorge Zirene Avendaño</t>
  </si>
  <si>
    <t>Jorge Romero Rodriguez</t>
  </si>
  <si>
    <t>313 511 7104</t>
  </si>
  <si>
    <t>Karina Romero</t>
  </si>
  <si>
    <t>Pivijay</t>
  </si>
  <si>
    <t>Luis Leyton Salcedo</t>
  </si>
  <si>
    <t>312 686 07 60</t>
  </si>
  <si>
    <t>Magangue</t>
  </si>
  <si>
    <t>Nelsy Cardenas</t>
  </si>
  <si>
    <t>Gustavo Perez</t>
  </si>
  <si>
    <t>Fundacion</t>
  </si>
  <si>
    <t>Nancy Calderon</t>
  </si>
  <si>
    <t>Pelaya</t>
  </si>
  <si>
    <t xml:space="preserve">Eustorpio Ibarra Caballero </t>
  </si>
  <si>
    <t>301  205 3932</t>
  </si>
  <si>
    <t>MOTOS Y MOTORES</t>
  </si>
  <si>
    <t>Jose David López Narvaez</t>
  </si>
  <si>
    <t>311 684 53 41</t>
  </si>
  <si>
    <t>Jose David López N.</t>
  </si>
  <si>
    <t>Guamal</t>
  </si>
  <si>
    <t>Veronica Marulanda</t>
  </si>
  <si>
    <t>Caucasia</t>
  </si>
  <si>
    <t xml:space="preserve">Caucasia  </t>
  </si>
  <si>
    <t>Rocio Atilano</t>
  </si>
  <si>
    <t>Medellin</t>
  </si>
  <si>
    <t>El Banco</t>
  </si>
  <si>
    <t>Nidia Monterroza</t>
  </si>
  <si>
    <t xml:space="preserve">Clara Ines Restrepo Palacio </t>
  </si>
  <si>
    <t>Copacabana</t>
  </si>
  <si>
    <t>Erika Soto</t>
  </si>
  <si>
    <t>SUPERMOTOS Y REPUESTOS DEL CARIBE</t>
  </si>
  <si>
    <t>Rosa Cecilia Rodriguez</t>
  </si>
  <si>
    <t>312 6592947</t>
  </si>
  <si>
    <t>Libar Guerrero Quintero</t>
  </si>
  <si>
    <t>314 535 50 56  -  310 606 33 80</t>
  </si>
  <si>
    <t>La Loma</t>
  </si>
  <si>
    <t>JAVIER TAMAYO   310 8356106</t>
  </si>
  <si>
    <t>JOSE FERNANDO GONZALEZ 3108385513</t>
  </si>
  <si>
    <t>SUR</t>
  </si>
  <si>
    <t>LUZ AIDE CALVACHE ORTEGA</t>
  </si>
  <si>
    <t>CLASSICMOTOS</t>
  </si>
  <si>
    <t>Luz Aide Calvache Ortega</t>
  </si>
  <si>
    <t>Nariño</t>
  </si>
  <si>
    <t>ALEXANDER MICOLTA FRANCO</t>
  </si>
  <si>
    <t>COLOMBIA MOTOS PUERTO TEJADA</t>
  </si>
  <si>
    <t>Alexander Micolta Franco</t>
  </si>
  <si>
    <t>316 481 0485</t>
  </si>
  <si>
    <t>Colombia Motos Puerto Tejada</t>
  </si>
  <si>
    <t>Puerto Tejada</t>
  </si>
  <si>
    <t>Cauca</t>
  </si>
  <si>
    <t>Ximena Fernandez Fernandez</t>
  </si>
  <si>
    <t>DISTRITO MOTOR S.A.S</t>
  </si>
  <si>
    <t>Jorge Salazar</t>
  </si>
  <si>
    <t>317 510 16 47</t>
  </si>
  <si>
    <t>Grupo Empresarial Distrito</t>
  </si>
  <si>
    <t>Cali</t>
  </si>
  <si>
    <t>Valle</t>
  </si>
  <si>
    <t>Rueda Acosta Diego Alberto</t>
  </si>
  <si>
    <t>Henry Chavez</t>
  </si>
  <si>
    <t>La Union</t>
  </si>
  <si>
    <t>El Bordo</t>
  </si>
  <si>
    <t>322 720 41 69</t>
  </si>
  <si>
    <t xml:space="preserve">Agromotor </t>
  </si>
  <si>
    <t>Pto. Asis</t>
  </si>
  <si>
    <t>Henry Caicedo</t>
  </si>
  <si>
    <t>MOTOMONTAÑA DEL SUR</t>
  </si>
  <si>
    <t>Jorge Andres Rosas Bazante</t>
  </si>
  <si>
    <t>310 428 53 79</t>
  </si>
  <si>
    <t>Motomontaña del Sur</t>
  </si>
  <si>
    <t>Timbío  Ppal</t>
  </si>
  <si>
    <t>Alejandra Alvarez</t>
  </si>
  <si>
    <t>MOTORCOL</t>
  </si>
  <si>
    <t>Carlos Eduardo Cardenas</t>
  </si>
  <si>
    <t>310 457 3699</t>
  </si>
  <si>
    <t>Motorcol</t>
  </si>
  <si>
    <t>Samaniego</t>
  </si>
  <si>
    <t>Mario Moreles</t>
  </si>
  <si>
    <t>SERVIMOTOS DEL CAUCA</t>
  </si>
  <si>
    <t>Edward Felipe Monje</t>
  </si>
  <si>
    <t>310 547 5976</t>
  </si>
  <si>
    <t>Servimotos del Cauca</t>
  </si>
  <si>
    <t>Piendamo</t>
  </si>
  <si>
    <t>ARACELY GUAJI</t>
  </si>
  <si>
    <t>TALLER FERCHO MOTOS</t>
  </si>
  <si>
    <t>Aracelly Guaji</t>
  </si>
  <si>
    <t>311 452 0008</t>
  </si>
  <si>
    <t>Taller Fercho Motos</t>
  </si>
  <si>
    <t>El plateado corregimiento de Argelia</t>
  </si>
  <si>
    <t>Lucelly sanchez</t>
  </si>
  <si>
    <t>SANTIAGO AVALO    300 6122760</t>
  </si>
  <si>
    <t>David Andres Echeverri  Cesar Echeverri</t>
  </si>
  <si>
    <t>321 800 99 59         3113078750</t>
  </si>
  <si>
    <t xml:space="preserve">Riosucio    </t>
  </si>
  <si>
    <t>Fernando Dueñas</t>
  </si>
  <si>
    <t>Robinson Parra</t>
  </si>
  <si>
    <t>310 281 36 95</t>
  </si>
  <si>
    <t>Leticia</t>
  </si>
  <si>
    <t>Amazonas</t>
  </si>
  <si>
    <t>Lennis Eder</t>
  </si>
  <si>
    <t>Edgar Salazar Naranjo</t>
  </si>
  <si>
    <t>313 716 99 65</t>
  </si>
  <si>
    <t>Risaralda</t>
  </si>
  <si>
    <t>Sevilla</t>
  </si>
  <si>
    <t>Eliana Soto</t>
  </si>
  <si>
    <t>Ojab Shaik Cobo</t>
  </si>
  <si>
    <t>Pradera</t>
  </si>
  <si>
    <t>Wbemar Garcia Ramirez</t>
  </si>
  <si>
    <t>MOTOSVALLE</t>
  </si>
  <si>
    <t>Carlos Andres Shaik</t>
  </si>
  <si>
    <t>310 459 80 89</t>
  </si>
  <si>
    <t>Florida</t>
  </si>
  <si>
    <t>Candelaria</t>
  </si>
  <si>
    <t>Olga Esperanza Mirama</t>
  </si>
  <si>
    <t xml:space="preserve">TULUAMOTOS </t>
  </si>
  <si>
    <t>William Tejada</t>
  </si>
  <si>
    <t>SUPERMOTOS DEL GALERA</t>
  </si>
  <si>
    <t>Pasto</t>
  </si>
  <si>
    <t>Danilo Herrera</t>
  </si>
  <si>
    <t>CENTRALMOTOS</t>
  </si>
  <si>
    <t>Lorenzo Carlos Arguello</t>
  </si>
  <si>
    <t>300 357 8938</t>
  </si>
  <si>
    <t>Lebrija</t>
  </si>
  <si>
    <t>leonardo Carlos Arguello Salazar</t>
  </si>
  <si>
    <t>COLMOTOS</t>
  </si>
  <si>
    <t>Fredy Humberto Torres Estepa</t>
  </si>
  <si>
    <t>310 3496480 / 313 4191142</t>
  </si>
  <si>
    <t>Sogamoso</t>
  </si>
  <si>
    <t>Mery Vargas</t>
  </si>
  <si>
    <t>C&amp;M FINANCIAMOS</t>
  </si>
  <si>
    <t>Mauricio Gomez Guerrero</t>
  </si>
  <si>
    <t>314 414 9540</t>
  </si>
  <si>
    <t>Socorro</t>
  </si>
  <si>
    <t>Alexander Mejia B.</t>
  </si>
  <si>
    <t>315 475 77 69</t>
  </si>
  <si>
    <t>Cimitarra</t>
  </si>
  <si>
    <t xml:space="preserve">Cimitarra  </t>
  </si>
  <si>
    <t>Victor Quintero</t>
  </si>
  <si>
    <t>MACANA MARTHA ROCIO</t>
  </si>
  <si>
    <t>DISTRIHONDA</t>
  </si>
  <si>
    <t>Martha Rocio Macana / Libardo Forero</t>
  </si>
  <si>
    <t>318 311 95 16</t>
  </si>
  <si>
    <t>Eduard Libardo Forero</t>
  </si>
  <si>
    <t>Hervin Javier Salazar Picio</t>
  </si>
  <si>
    <t>310 262 65 12</t>
  </si>
  <si>
    <t>La Cumbre</t>
  </si>
  <si>
    <t>Floridablanca</t>
  </si>
  <si>
    <t>Gloria Amparo Castellanos</t>
  </si>
  <si>
    <t>GRIMALDI MOTOS</t>
  </si>
  <si>
    <t>Jose Antonio Grimaldos Jurado</t>
  </si>
  <si>
    <t>320 849 8955</t>
  </si>
  <si>
    <t>Santa  Helena</t>
  </si>
  <si>
    <t>Santa Helena del Opón</t>
  </si>
  <si>
    <t>HONDA PITS.CO</t>
  </si>
  <si>
    <t>Oscar  Alfonso  Ossa</t>
  </si>
  <si>
    <t>315 259 6655</t>
  </si>
  <si>
    <t>Giron</t>
  </si>
  <si>
    <t xml:space="preserve">Giron </t>
  </si>
  <si>
    <t>Jhon Jairo Lopez Cadavid</t>
  </si>
  <si>
    <t>310 236 7567</t>
  </si>
  <si>
    <t>Jhon Edward Lopez</t>
  </si>
  <si>
    <t>Granada</t>
  </si>
  <si>
    <t>MOTOCENTER HONDA</t>
  </si>
  <si>
    <t>Helber Abril</t>
  </si>
  <si>
    <t>316 472 1571</t>
  </si>
  <si>
    <t xml:space="preserve">Girón </t>
  </si>
  <si>
    <t>Jenny Piña</t>
  </si>
  <si>
    <t>SUPERMOTOS DEL FONCE</t>
  </si>
  <si>
    <t>Blanca Stella Avila Mera</t>
  </si>
  <si>
    <t>318 735 8200</t>
  </si>
  <si>
    <t>San Gil</t>
  </si>
  <si>
    <t>Blanca Stella Avila Vera</t>
  </si>
  <si>
    <t>MOTOCEL COMPANY</t>
  </si>
  <si>
    <t>Luis Alberto Noguera Gaona</t>
  </si>
  <si>
    <t>311 2206966 / 317 3765107</t>
  </si>
  <si>
    <t>Aguazul</t>
  </si>
  <si>
    <t>Aguazaul</t>
  </si>
  <si>
    <t>Casanaer</t>
  </si>
  <si>
    <t>Reinaldo Serrano</t>
  </si>
  <si>
    <t>316 425 5555</t>
  </si>
  <si>
    <t>Bucaramanga</t>
  </si>
  <si>
    <t xml:space="preserve">Dora Lizeth Paez Camacho </t>
  </si>
  <si>
    <t>ZN R1</t>
  </si>
  <si>
    <t>SUPERMOTOS DE ANTIOQUIA</t>
  </si>
  <si>
    <t>Jose Alexander Panqueba</t>
  </si>
  <si>
    <t>321 2429831</t>
  </si>
  <si>
    <t>Envigado</t>
  </si>
  <si>
    <t>SUPERMOTOS DE MEDELLIN</t>
  </si>
  <si>
    <t>Silvio YaNez</t>
  </si>
  <si>
    <t>Colombia</t>
  </si>
  <si>
    <t>SUPERMOTOS DE CORDOBA</t>
  </si>
  <si>
    <t>Hugo Eliecer Olascoaga Avilez</t>
  </si>
  <si>
    <t>312 691 6910</t>
  </si>
  <si>
    <t>Monteria</t>
  </si>
  <si>
    <t>Jose Isaias Diaz</t>
  </si>
  <si>
    <t>Monteria Sur</t>
  </si>
  <si>
    <t>Socorro Lugo</t>
  </si>
  <si>
    <t>Lorica</t>
  </si>
  <si>
    <t>Juana Reyes Blanco</t>
  </si>
  <si>
    <t>Sincelejo.</t>
  </si>
  <si>
    <t>Sincelejo</t>
  </si>
  <si>
    <t>Hugo Eliecer Olascoaga</t>
  </si>
  <si>
    <t>ZN R2</t>
  </si>
  <si>
    <t>SUPERMOTOS DE BOLIVAR</t>
  </si>
  <si>
    <t>Sonia Assia Vergara</t>
  </si>
  <si>
    <t>320 5951322</t>
  </si>
  <si>
    <t xml:space="preserve">Pie de Popa </t>
  </si>
  <si>
    <t>Cartagena</t>
  </si>
  <si>
    <t>Carlos Montes Santamaria</t>
  </si>
  <si>
    <t>SUPERMOTOS DEL MAGDALENA</t>
  </si>
  <si>
    <t>Principal</t>
  </si>
  <si>
    <t>Silvia Gonzalez</t>
  </si>
  <si>
    <t>SUPERMOTOS DEL ATLANTICO</t>
  </si>
  <si>
    <t>Barranquilla Centro</t>
  </si>
  <si>
    <t>Atlantica</t>
  </si>
  <si>
    <t>Nancy Correa</t>
  </si>
  <si>
    <t xml:space="preserve">SUPERMOTOS DEL CESAR </t>
  </si>
  <si>
    <t>Jorge Mario Suarez Vallejo</t>
  </si>
  <si>
    <t>311 4128749</t>
  </si>
  <si>
    <t>Valledupar</t>
  </si>
  <si>
    <t>RONALD A. SAAVEDRA  313 8814083</t>
  </si>
  <si>
    <t>ZC R1</t>
  </si>
  <si>
    <t>SUPERMOTOS DE BOGOTA</t>
  </si>
  <si>
    <t>Henry Eduardo Cepeda Garcia</t>
  </si>
  <si>
    <t>311 283 6576</t>
  </si>
  <si>
    <t>7 de Agosto</t>
  </si>
  <si>
    <t>Henry Cepeda</t>
  </si>
  <si>
    <t>Johanna Alexandra Rubiano</t>
  </si>
  <si>
    <t>SUPERMOTOS DE LA SABANA</t>
  </si>
  <si>
    <t>Facatativa</t>
  </si>
  <si>
    <t>Alex Bermudez</t>
  </si>
  <si>
    <t>Suba Tibabuyes</t>
  </si>
  <si>
    <t>Prado Veraniego</t>
  </si>
  <si>
    <t>SUPERMOTOS DE CUNDINAMARCA</t>
  </si>
  <si>
    <t xml:space="preserve">Ivonne Maritza Jimenez Sanabria </t>
  </si>
  <si>
    <t>310 282 5357</t>
  </si>
  <si>
    <t>Venecia</t>
  </si>
  <si>
    <t xml:space="preserve">Ivonne Maritza Jimenez Sanabria                           Heison Galindo Ortiz  </t>
  </si>
  <si>
    <t>ZC R2</t>
  </si>
  <si>
    <t>Daniel Barbosa Pinzon</t>
  </si>
  <si>
    <t>311 367 7568</t>
  </si>
  <si>
    <t>SUPERMOTOS DEL TOLIMA</t>
  </si>
  <si>
    <t xml:space="preserve">Cesar Auguto Arbelaez </t>
  </si>
  <si>
    <t>321 389 2735</t>
  </si>
  <si>
    <t>Ibague ppal</t>
  </si>
  <si>
    <t>Ibague</t>
  </si>
  <si>
    <t xml:space="preserve">Miller Devia </t>
  </si>
  <si>
    <t>SUPERMOTOS DE GIRARDOT</t>
  </si>
  <si>
    <t>Cesar Augusto Arbelaez</t>
  </si>
  <si>
    <t>Girardot</t>
  </si>
  <si>
    <t>Camilo Pinzón</t>
  </si>
  <si>
    <t>ZC R3</t>
  </si>
  <si>
    <t>SUPERMOTOS DEL ORIENTE</t>
  </si>
  <si>
    <t>Alvaro Florez</t>
  </si>
  <si>
    <t>314 244 4467</t>
  </si>
  <si>
    <t>Cucuta  Principal</t>
  </si>
  <si>
    <t>JOSE FERNANDO GONZALEZ 310 838 5513</t>
  </si>
  <si>
    <t>ZS R1</t>
  </si>
  <si>
    <t>SUPERMOTOS DE CALI</t>
  </si>
  <si>
    <t>Joaquin Salazar</t>
  </si>
  <si>
    <t>310 4904533</t>
  </si>
  <si>
    <t>Valle del Cauca</t>
  </si>
  <si>
    <t>Cesar Palma</t>
  </si>
  <si>
    <t>X</t>
  </si>
  <si>
    <t>Yesenia Alvarez</t>
  </si>
  <si>
    <t>Buenaventura</t>
  </si>
  <si>
    <t>Lina Muñoz</t>
  </si>
  <si>
    <t>SUPERMOTOS DE FARALLONES</t>
  </si>
  <si>
    <t>Claudia Rojas</t>
  </si>
  <si>
    <t xml:space="preserve">Francia Elena Gonzalez </t>
  </si>
  <si>
    <t>Fernanda Izquierdo</t>
  </si>
  <si>
    <t>ZS R2</t>
  </si>
  <si>
    <t>Melisa Martinez</t>
  </si>
  <si>
    <t>Jamundi</t>
  </si>
  <si>
    <t>Lopez Jhon Eduard</t>
  </si>
  <si>
    <t>Juliany Andrea Ramirez</t>
  </si>
  <si>
    <t>SUPERMOTOS DE QUILICHAO</t>
  </si>
  <si>
    <t>Damaris Carabali Raigoza</t>
  </si>
  <si>
    <t>321 760 8233</t>
  </si>
  <si>
    <t>Santander de Quilichao</t>
  </si>
  <si>
    <t>Damaris Carabali</t>
  </si>
  <si>
    <t xml:space="preserve">A </t>
  </si>
  <si>
    <t>Caloto</t>
  </si>
  <si>
    <t>Javier Bolaños Giron</t>
  </si>
  <si>
    <t>Mondomo</t>
  </si>
  <si>
    <t>Carmela Cumbal Lopez</t>
  </si>
  <si>
    <t>Villa Rica</t>
  </si>
  <si>
    <t>Ximena Guerrero</t>
  </si>
  <si>
    <t>SM PACIFICO</t>
  </si>
  <si>
    <t>Julian Grisales</t>
  </si>
  <si>
    <t>Tercera Norte</t>
  </si>
  <si>
    <t>Sandra Valencia</t>
  </si>
  <si>
    <t>SUPERMOTOS DEL CAUCA</t>
  </si>
  <si>
    <t>Nivia Maribel Velasco</t>
  </si>
  <si>
    <t>Popayan</t>
  </si>
  <si>
    <t>Johan Rodas</t>
  </si>
  <si>
    <t>Jimena Pérez/Johan Rodas</t>
  </si>
  <si>
    <t>Esmeralda</t>
  </si>
  <si>
    <t>Maria Fernanda Medina</t>
  </si>
  <si>
    <t>El tambo</t>
  </si>
  <si>
    <t>el tambo</t>
  </si>
  <si>
    <t>Angie Betancourt</t>
  </si>
  <si>
    <t>Calle 4</t>
  </si>
  <si>
    <t>Leidy Camayo</t>
  </si>
  <si>
    <t>Morales</t>
  </si>
  <si>
    <t>Sherly Natalia Lopez</t>
  </si>
  <si>
    <t>Plaza Norte</t>
  </si>
  <si>
    <t>Lucy Yanet Gonzalez</t>
  </si>
  <si>
    <t>Mercaderes</t>
  </si>
  <si>
    <t>Zuly Zamanta Cruz</t>
  </si>
  <si>
    <t>SUPERMOTOS DE NARIÑO</t>
  </si>
  <si>
    <t>Jaime Daniel Paz</t>
  </si>
  <si>
    <t>313 611 2032</t>
  </si>
  <si>
    <t>Las Lunas</t>
  </si>
  <si>
    <t>Jhoana Alicia Narvaez</t>
  </si>
  <si>
    <t>La union</t>
  </si>
  <si>
    <t>vacante</t>
  </si>
  <si>
    <t>SUPERMOTOS DEL VALLE</t>
  </si>
  <si>
    <t>Carlos Antonio Restrepo</t>
  </si>
  <si>
    <t>311 372 9946</t>
  </si>
  <si>
    <t>Palmira</t>
  </si>
  <si>
    <t>Jhonny Alexander Andrade Ortega</t>
  </si>
  <si>
    <t>SUPERMOTOS DEL CAFÉ</t>
  </si>
  <si>
    <t>Lorena Guarin</t>
  </si>
  <si>
    <t>Pereira</t>
  </si>
  <si>
    <t>Emilsen Chaverra</t>
  </si>
  <si>
    <t>ZS R3</t>
  </si>
  <si>
    <t>SUPERMOTOS DE SANTANDER</t>
  </si>
  <si>
    <t>Andres Peña Mantilla</t>
  </si>
  <si>
    <t>Bmanga Ppal</t>
  </si>
  <si>
    <t>Bmanga</t>
  </si>
  <si>
    <t>Oscar Rueda</t>
  </si>
  <si>
    <t>SUPERMOTOS DE CALI S.A.S. CALI ROOSEVELT</t>
  </si>
  <si>
    <t>SUPERMOTOS DE CALI S.A.S  JAMUNDI</t>
  </si>
  <si>
    <t>SUPERMOTOS DE CALI S.A.S AGENCIA LA LUNA</t>
  </si>
  <si>
    <t>SUPERMOTOS DE CALI S.A.S. CALI MELENDEZ</t>
  </si>
  <si>
    <t>SUPERMOTOS DE CALI S.A.S. CIUDAD CORDOBA</t>
  </si>
  <si>
    <t>SUPERMOTOS DE CALI S.A.S SAN BOSCO</t>
  </si>
  <si>
    <t>SUPERMOTOS DE CALI S.A.S.  BUENAVENTURA</t>
  </si>
  <si>
    <t>Cant. Puntos</t>
  </si>
  <si>
    <t>SUPREMOTOS</t>
  </si>
  <si>
    <t>Suma de Costo Programado</t>
  </si>
  <si>
    <t>A. VELEZ U. &amp; CIA. DEPOSITOS MIRANDA LIMITADA</t>
  </si>
  <si>
    <t>HUGO MARTINEZ    313 730 0119</t>
  </si>
  <si>
    <t>Aprobado</t>
  </si>
  <si>
    <t>CONC - CONCESIONARIOS</t>
  </si>
  <si>
    <t>NEGRO MAT</t>
  </si>
  <si>
    <t xml:space="preserve">CB 160F STD                                       </t>
  </si>
  <si>
    <t>IPIALES</t>
  </si>
  <si>
    <t>TUQUERRES</t>
  </si>
  <si>
    <t>CTR - ZONA CENTRO</t>
  </si>
  <si>
    <t>PVT-00089186</t>
  </si>
  <si>
    <t>SUPERMOTOS DEL TOLIMA S.A.S IBAGUE</t>
  </si>
  <si>
    <t>PVT-00089191</t>
  </si>
  <si>
    <t>SUPERMOTOS DE GIRARDOT S.A.S.-GIRARDOT</t>
  </si>
  <si>
    <t>PVT-00089192</t>
  </si>
  <si>
    <t>SUPERMOTOS DE GIRARDOT S.A.S.-ESPINAL</t>
  </si>
  <si>
    <t>GUARANDA</t>
  </si>
  <si>
    <t>SANTO TOMAS</t>
  </si>
  <si>
    <t>MOTO MAS S A S</t>
  </si>
  <si>
    <t/>
  </si>
  <si>
    <t>NO TIENE CUPO</t>
  </si>
  <si>
    <t>Si</t>
  </si>
  <si>
    <t>03-21-3-E-SG-2</t>
  </si>
  <si>
    <t>CLICK 125i                                        NEGRO MAT</t>
  </si>
  <si>
    <t>CB 160F STD                                       NEGRO PER</t>
  </si>
  <si>
    <t>Fecha factura desde pedido</t>
  </si>
  <si>
    <t>afbarbosa@fanalca.com.co;jmartinez@alcalamotor.com; jlara@alciautos.com.co; juliolara06@gmail.com;ralba@fanalca.com.co;ojoerns@fanalca.com.co;ltorres@fanalca.com.co; Lopezdialopez@fanalca.com.co;gklusman@fanalca.com.co;omrodriguez@fanalca.com.co;</t>
  </si>
  <si>
    <t>RUTA ENTREGAS</t>
  </si>
  <si>
    <t>7.2</t>
  </si>
  <si>
    <t>9.2</t>
  </si>
  <si>
    <t>11.2</t>
  </si>
  <si>
    <t>7.2.A</t>
  </si>
  <si>
    <t>CAMACHO SUAREZ NELSON DAMIAN</t>
  </si>
  <si>
    <t>MOTO WORLD</t>
  </si>
  <si>
    <t>6.2.B</t>
  </si>
  <si>
    <t>MOTORCYCLE MARKET S.A.S</t>
  </si>
  <si>
    <t>7.2.B</t>
  </si>
  <si>
    <t>5.1.A</t>
  </si>
  <si>
    <t>6.1</t>
  </si>
  <si>
    <t>6.2.A</t>
  </si>
  <si>
    <t>9.1.A</t>
  </si>
  <si>
    <t>6.2</t>
  </si>
  <si>
    <t>LERIDA</t>
  </si>
  <si>
    <t>11.1</t>
  </si>
  <si>
    <t>G</t>
  </si>
  <si>
    <t>GLOBALISTIK</t>
  </si>
  <si>
    <t>CP</t>
  </si>
  <si>
    <t>CAMIONETA PART.</t>
  </si>
  <si>
    <t>P</t>
  </si>
  <si>
    <t>PARTICULAR</t>
  </si>
  <si>
    <t>04:00:00 p.m</t>
  </si>
  <si>
    <t>6.4</t>
  </si>
  <si>
    <t>MAICAO</t>
  </si>
  <si>
    <t>PIEDECUESTA</t>
  </si>
  <si>
    <t>(en blanco)</t>
  </si>
  <si>
    <t>BARBACOAS</t>
  </si>
  <si>
    <t>MOTOS GAP</t>
  </si>
  <si>
    <t>afbarbosa@fanalca.com.co;ltorres@fanalca.com.co;dialopez@fanalca.com.co;omrodriguez@fanalca.com.co;mburgos@fanalca.com.co;idramirez@fanalca.com.co;jacosta@fanalca.com.co;tavo.perez@hotmail.com;mercadeoventasmotosgap@outlook.com;motosgap@hotmail.com;tavoperez@hotmail.com;motosgap@hotmail.com;</t>
  </si>
  <si>
    <t>afbarbosa@fanalca.com.co;ltorres@fanalca.com.co;dialopez@fanalca.com.co;omrodriguez@fanalca.com.co;ojoerns@fanalca.com.co;ralba@fanalca.com.co;tgvanoy@fanalca.com.co;gerencia@bestbike.com.co;</t>
  </si>
  <si>
    <t>afbarbosa@fanalca.com.co;ltorres@fanalca.com.co;dialopez@fanalca.com.co;omrodriguez@fanalca.com.co;ojoerns@fanalca.com.co;ralba@fanalca.com.co;tgvanoy@fanalca.com.co;andres.meza@performance-col.com;directorcasamoto@gmail.com;directorcasamoto@gmail.com;andres.meza@performance-col.com;Jefeventascasamoto@gmail.com</t>
  </si>
  <si>
    <t>afbarbosa@fanalca.com.co;ltorres@fanalca.com.co;dialopez@fanalca.com.co;omrodriguez@fanalca.com.co;ojoerns@fanalca.com.co;ralba@fanalca.com.co;tgvanoy@fanalca.com.co;carlos.calderonagudelo@gmail.com</t>
  </si>
  <si>
    <t>afbarbosa@fanalca.com.co;ltorres@fanalca.com.co;dialopez@fanalca.com.co;omrodriguez@fanalca.com.co;ojoerns@fanalca.com.co;ralba@fanalca.com.co;tgvanoy@fanalca.com.co; miguelchaverongo@hotmail.com;rociobonillag@hotmail.com</t>
  </si>
  <si>
    <t>afbarbosa@fanalca.com.co;ltorres@fanalca.com.co;dialopez@fanalca.com.co;omrodriguez@fanalca.com.co;ojoerns@fanalca.com.co;ralba@fanalca.com.co;tgvanoy@fanalca.com.co;enmoto.com@hotmail.com</t>
  </si>
  <si>
    <t>afbarbosa@fanalca.com.co;ltorres@fanalca.com.co;dialopez@fanalca.com.co;omrodriguez@fanalca.com.co;ojoerns@fanalca.com.co;ralba@fanalca.com.co;tgvanoy@fanalca.com.co;distriherca@yahoo.com.mx; distriherca@hotmail.com; magra8@yahoo.com.mx;</t>
  </si>
  <si>
    <t>afbarbosa@fanalca.com.co;ltorres@fanalca.com.co;dialopez@fanalca.com.co;omrodriguez@fanalca.com.co;ojoerns@fanalca.com.co;ralba@fanalca.com.co;tgvanoy@fanalca.com.co;mercamotor.sas@gmail.com</t>
  </si>
  <si>
    <t>afbarbosa@fanalca.com.co;ltorres@fanalca.com.co;dialopez@fanalca.com.co;omrodriguez@fanalca.com.co;ojoerns@fanalca.com.co;ralba@fanalca.com.co;tgvanoy@fanalca.com.co;gerencia@motoservi.com.co;</t>
  </si>
  <si>
    <t>afbarbosa@fanalca.com.co;ltorres@fanalca.com.co;dialopez@fanalca.com.co;omrodriguez@fanalca.com.co;ojoerns@fanalca.com.co;ralba@fanalca.com.co;tgvanoy@fanalca.com.co;contacto@motomundial.com.co</t>
  </si>
  <si>
    <t>afbarbosa@fanalca.com.co;ltorres@fanalca.com.co;dialopez@fanalca.com.co;omrodriguez@fanalca.com.co;ojoerns@fanalca.com.co;ralba@fanalca.com.co;tgvanoy@fanalca.com.co;robayito@hotmail.com; paotor_8@hotmail.com</t>
  </si>
  <si>
    <t>afbarbosa@fanalca.com.co;ltorres@fanalca.com.co;dialopez@fanalca.com.co;omrodriguez@fanalca.com.co;ojoerns@fanalca.com.co;ralba@fanalca.com.co;tgvanoy@fanalca.com.co;servimotoschia@gmail.com</t>
  </si>
  <si>
    <t xml:space="preserve">afbarbosa@fanalca.com.co;ltorres@fanalca.com.co;dialopez@fanalca.com.co;omrodriguez@fanalca.com.co;ojoerns@fanalca.com.co;ralba@fanalca.com.co;tgvanoy@fanalca.com.co;gerencia@ykmotos.com.co
gerencia@ykmotos.com.co; cartera@ykmotos.com.co; apartado@ykmotos.com.co;
</t>
  </si>
  <si>
    <t>afbarbosa@fanalca.com.co;ltorres@fanalca.com.co;dialopez@fanalca.com.co;omrodriguez@fanalca.com.co;ojoerns@fanalca.com.co;ralba@fanalca.com.co;tgvanoy@fanalca.com.co;miguel.saenz@motomarket.com.co;yuli.poveda@motomarket.com.co</t>
  </si>
  <si>
    <t>afbarbosa@fanalca.com.co;ltorres@fanalca.com.co;dialopez@fanalca.com.co;omrodriguez@fanalca.com.co;ojoerns@fanalca.com.co;ralba@fanalca.com.co;tgvanoy@fanalca.com.co;supermotosdelgualiva@hotmail.com;</t>
  </si>
  <si>
    <t>afbarbosa@fanalca.com.co;ltorres@fanalca.com.co;dialopez@fanalca.com.co;omrodriguez@fanalca.com.co;ojoerns@fanalca.com.co;ralba@fanalca.com.co;tgvanoy@fanalca.com.co;centromotoshondagerente@yahoo.com.co;centromotosptoasis@hotmail.com</t>
  </si>
  <si>
    <t>afbarbosa@fanalca.com.co;ltorres@fanalca.com.co;dialopez@fanalca.com.co;omrodriguez@fanalca.com.co;ojoerns@fanalca.com.co;ralba@fanalca.com.co;tgvanoy@fanalca.com.co;distrillantas.gustavo@gmail.com</t>
  </si>
  <si>
    <t>afbarbosa@fanalca.com.co;ltorres@fanalca.com.co;dialopez@fanalca.com.co;omrodriguez@fanalca.com.co;ojoerns@fanalca.com.co;ralba@fanalca.com.co;tgvanoy@fanalca.com.co;motosporthonda@hotmail.com</t>
  </si>
  <si>
    <t>afbarbosa@fanalca.com.co;ltorres@fanalca.com.co;dialopez@fanalca.com.co;omrodriguez@fanalca.com.co;ojoerns@fanalca.com.co;ralba@fanalca.com.co;tgvanoy@fanalca.com.co;jchavesmotoragro@gmail.com;mercadeohondamaquinagro@gmail.com;</t>
  </si>
  <si>
    <t>afbarbosa@fanalca.com.co;ltorres@fanalca.com.co;dialopez@fanalca.com.co;omrodriguez@fanalca.com.co;ojoerns@fanalca.com.co;ralba@fanalca.com.co;tgvanoy@fanalca.com.co;motohondaptoasis@hotmail.com</t>
  </si>
  <si>
    <t>afbarbosa@fanalca.com.co;ltorres@fanalca.com.co;dialopez@fanalca.com.co;omrodriguez@fanalca.com.co;ojoerns@fanalca.com.co;ralba@fanalca.com.co;tgvanoy@fanalca.com.co;mundohonda2013@hotmail.com</t>
  </si>
  <si>
    <t>afbarbosa@fanalca.com.co;ltorres@fanalca.com.co;dialopez@fanalca.com.co;omrodriguez@fanalca.com.co;ojoerns@fanalca.com.co;ralba@fanalca.com.co;tgvanoy@fanalca.com.co;oscarmendez37@hotmail.com</t>
  </si>
  <si>
    <t>afbarbosa@fanalca.com.co;ltorres@fanalca.com.co;dialopez@fanalca.com.co;omrodriguez@fanalca.com.co;ojoerns@fanalca.com.co;ralba@fanalca.com.co;tgvanoy@fanalca.com.co;oroscar@epm.net.co;sanli_21@hotmail.com;hondamotoboy@hotmail.com</t>
  </si>
  <si>
    <t>afbarbosa@fanalca.com.co;ltorres@fanalca.com.co;dialopez@fanalca.com.co;omrodriguez@fanalca.com.co;ojoerns@fanalca.com.co;ralba@fanalca.com.co;tgvanoy@fanalca.com.co;jorgeruge.p@gmail.com;sol19elena@hotmail.com</t>
  </si>
  <si>
    <t>afbarbosa@fanalca.com.co;ltorres@fanalca.com.co;dialopez@fanalca.com.co;omrodriguez@fanalca.com.co;ojoerns@fanalca.com.co;ralba@fanalca.com.co;tgvanoy@fanalca.com.co.co;casayojehonda@hotmail.com</t>
  </si>
  <si>
    <t>afbarbosa@fanalca.com.co;ltorres@fanalca.com.co;dialopez@fanalca.com.co;omrodriguez@fanalca.com.co;ojoerns@fanalca.com.co;ralba@fanalca.com.co;tgvanoy@fanalca.com.co; hrolon@electromueblesarauca.com</t>
  </si>
  <si>
    <t>afbarbosa@fanalca.com.co;ltorres@fanalca.com.co;dialopez@fanalca.com.co;omrodriguez@fanalca.com.co;ojoerns@fanalca.com.co;ralba@fanalca.com.co;tgvanoy@fanalca.com.co;caorautonorte@hotmail.com;credimotossanalberto@hotmail.com</t>
  </si>
  <si>
    <t>afbarbosa@fanalca.com.co;ltorres@fanalca.com.co;dialopez@fanalca.com.co;omrodriguez@fanalca.com.co;ojoerns@fanalca.com.co;ralba@fanalca.com.co;tgvanoy@fanalca.com.co;salvitachin2008@yahoo.es</t>
  </si>
  <si>
    <t>afbarbosa@fanalca.com.co;ltorres@fanalca.com.co;dialopez@fanalca.com.co;omrodriguez@fanalca.com.co;ojoerns@fanalca.com.co;ralba@fanalca.com.co;tgvanoy@fanalca.com.co;jsandoval@sancarga.com</t>
  </si>
  <si>
    <t>afbarbosa@fanalca.com.co;ltorres@fanalca.com.co;dialopez@fanalca.com.co;omrodriguez@fanalca.com.co;ojoerns@fanalca.com.co;ralba@fanalca.com.co;tgvanoy@fanalca.com.co;servimotoslibertadores@hotmail.com</t>
  </si>
  <si>
    <t>nelsoncamacho@gecamacho.co; domiarenas@gecamacho.co; mp03gc@hotmail.com; motoworldbga@hotmail.com;idramirez@fanalca.com.co;ltorres@fanalca.com.co</t>
  </si>
  <si>
    <t>afbarbosa@fanalca.com.co;ltorres@fanalca.com.co;dialopez@fanalca.com.co;omrodriguez@fanalca.com.co;mburgos@fanalca.com.co;idramirez@fanalca.com.co;jacosta@fanalca.com.co;canomotosa@hotmail.com;humartinez@fanalca.com.co</t>
  </si>
  <si>
    <t>afbarbosa@fanalca.com.co;ltorres@fanalca.com.co;dialopez@fanalca.com.co;omrodriguez@fanalca.com.co;mburgos@fanalca.com.co;idramirez@fanalca.com.co;jacosta@fanalca.com.co;repuestoscurume@hotmail.com;humartinez@fanalca.com.co</t>
  </si>
  <si>
    <t>afbarbosa@fanalca.com.co;ltorres@fanalca.com.co;dialopez@fanalca.com.co;omrodriguez@fanalca.com.co;mburgos@fanalca.com.co;idramirez@fanalca.com.co;jacosta@fanalca.com.co;yeisonramos73@hotmail.com;humartinez@fanalca.com.co</t>
  </si>
  <si>
    <t>afbarbosa@fanalca.com.co;ltorres@fanalca.com.co;dialopez@fanalca.com.co;omrodriguez@fanalca.com.co;mburgos@fanalca.com.co;idramirez@fanalca.com.co;jacosta@fanalca.com.co;hondachoco@hotmail.com;humartinez@fanalca.com.co</t>
  </si>
  <si>
    <t xml:space="preserve">afbarbosa@fanalca.com.co;ltorres@fanalca.com.co;dialopez@fanalca.com.co;omrodriguez@fanalca.com.co;mburgos@fanalca.com.co;idramirez@fanalca.com.co;jacosta@fanalca.com.co;hondasupernorte@une.net.co;humartinez@fanalca.com.co </t>
  </si>
  <si>
    <t>afbarbosa@fanalca.com.co;ltorres@fanalca.com.co;dialopez@fanalca.com.co;omrodriguez@fanalca.com.co;mburgos@fanalca.com.co;idramirez@fanalca.com.co;jacosta@fanalca.com.co;hondasur@une.net.co;humartinez@fanalca.com.co</t>
  </si>
  <si>
    <t>afbarbosa@fanalca.com.co;ltorres@fanalca.com.co;dialopez@fanalca.com.co;omrodriguez@fanalca.com.co;mburgos@fanalca.com.co;idramirez@fanalca.com.co;jacosta@fanalca.com.co;hondastore@hotmail.com;humartinez@fanalca.com.co</t>
  </si>
  <si>
    <t>afbarbosa@fanalca.com.co;ltorres@fanalca.com.co;dialopez@fanalca.com.co;omrodriguez@fanalca.com.co;mburgos@fanalca.com.co;idramirez@fanalca.com.co;jacosta@fanalca.com.co;angelam.zp@hotmail.com;humartinez@fanalca.com.co</t>
  </si>
  <si>
    <t>afbarbosa@fanalca.com.co;ltorres@fanalca.com.co;dialopez@fanalca.com.co;omrodriguez@fanalca.com.co;mburgos@fanalca.com.co;idramirez@fanalca.com.co;jacosta@fanalca.com.co;moto.agro@yahoo.com;auditor.motoagrodelsinu@gmail.com;hondacerete@yahoo.com;humartinez@fanalca.com.co</t>
  </si>
  <si>
    <t xml:space="preserve">afbarbosa@fanalca.com.co;ltorres@fanalca.com.co;dialopez@fanalca.com.co;omrodriguez@fanalca.com.co;mburgos@fanalca.com.co;idramirez@fanalca.com.co;jacosta@fanalca.com.co;motocentro_honda@hotmail.com;aacc@fanalca.com.co;lperez.mch@outlook.com;Cgomezb@supermotosdesantander.com.co;
Ljrodriguezr@supermotosdesantander.com.co;humartinez@fanalca.com.co
</t>
  </si>
  <si>
    <t>afbarbosa@fanalca.com.co;ltorres@fanalca.com.co;dialopez@fanalca.com.co;omrodriguez@fanalca.com.co;mburgos@fanalca.com.co;idramirez@fanalca.com.co;jacosta@fanalca.com.co;jestradarestrepo@gmail.com;humartinez@fanalca.com.co</t>
  </si>
  <si>
    <t>afbarbosa@fanalca.com.co;ltorres@fanalca.com.co;dialopez@fanalca.com.co;omrodriguez@fanalca.com.co;mburgos@fanalca.com.co;idramirez@fanalca.com.co;jacosta@fanalca.com.co;motohitlorica@hotmail.com;sol19elena@hotmail.com;humartinez@fanalca.com.co</t>
  </si>
  <si>
    <t>afbarbosa@fanalca.com.co;ltorres@fanalca.com.co;dialopez@fanalca.com.co;omrodriguez@fanalca.com.co;mburgos@fanalca.com.co;idramirez@fanalca.com.co;jacosta@fanalca.com.co;moto.hogar@gmail.com;humartinez@fanalca.com.co</t>
  </si>
  <si>
    <t>afbarbosa@fanalca.com.co;ltorres@fanalca.com.co;dialopez@fanalca.com.co;omrodriguez@fanalca.com.co;mburgos@fanalca.com.co;idramirez@fanalca.com.co;jacosta@fanalca.com.co;motoslafrontera@hotmail.com;humartinez@fanalca.com.co</t>
  </si>
  <si>
    <t>afbarbosa@fanalca.com.co;ltorres@fanalca.com.co;dialopez@fanalca.com.co;omrodriguez@fanalca.com.co;mburgos@fanalca.com.co;idramirez@fanalca.com.co;jacosta@fanalca.com.co;davitike@hotmail.com;humartinez@fanalca.com.co</t>
  </si>
  <si>
    <t>afbarbosa@fanalca.com.co;ltorres@fanalca.com.co;dialopez@fanalca.com.co;omrodriguez@fanalca.com.co;mburgos@fanalca.com.co;idramirez@fanalca.com.co;jacosta@fanalca.com.co;moto_vale@hotmail.com;humartinez@fanalca.com.co</t>
  </si>
  <si>
    <t>afbarbosa@fanalca.com.co;ltorres@fanalca.com.co;dialopez@fanalca.com.co;omrodriguez@fanalca.com.co;mburgos@fanalca.com.co;idramirez@fanalca.com.co;jacosta@fanalca.com.co;humartinez@fanalca.com.co</t>
  </si>
  <si>
    <t>afbarbosa@fanalca.com.co;ltorres@fanalca.com.co;dialopez@fanalca.com.co;omrodriguez@fanalca.com.co;mburgos@fanalca.com.co;idramirez@fanalca.com.co;jacosta@fanalca.com.co;almacenlosmineros@gmail.com; gerenciaryalosmineros@gmail.com;humartinez@fanalca.com.co</t>
  </si>
  <si>
    <t>afbarbosa@fanalca.com.co;ltorres@fanalca.com.co;dialopez@fanalca.com.co;omrodriguez@fanalca.com.co;mburgos@fanalca.com.co;idramirez@fanalca.com.co;jacosta@fanalca.com.co;reguemoto@gmail.com;humartinez@fanalca.com.co</t>
  </si>
  <si>
    <t>afbarbosa@fanalca.com.co;ltorres@fanalca.com.co;dialopez@fanalca.com.co;omrodriguez@fanalca.com.co;mburgos@fanalca.com.co;idramirez@fanalca.com.co;jacosta@fanalca.com.co;carlos.urrego@epm.com.co;servimotoshondaurrao@gmail.com;humartinez@fanalca.com.co</t>
  </si>
  <si>
    <t>afbarbosa@fanalca.com.co;ltorres@fanalca.com.co;dialopez@fanalca.com.co;omrodriguez@fanalca.com.co;mburgos@fanalca.com.co;idramirez@fanalca.com.co;jacosta@fanalca.com.co;suromotos@yahoo.com;humartinez@fanalca.com.co</t>
  </si>
  <si>
    <t>afbarbosa@fanalca.com.co;ltorres@fanalca.com.co;dialopez@fanalca.com.co;omrodriguez@fanalca.com.co;mburgos@fanalca.com.co;idramirez@fanalca.com.co;jacosta@fanalca.com.co;zupermotohonda@gmail.com;humartinez@fanalca.com.co</t>
  </si>
  <si>
    <t>afbarbosa@fanalca.com.co;ltorres@fanalca.com.co;dialopez@fanalca.com.co;omrodriguez@fanalca.com.co;mburgos@fanalca.com.co;idramirez@fanalca.com.co;jacosta@fanalca.com.co;zupermotosdelgolfo@hotmail.com;humartinez@fanalca.com.co</t>
  </si>
  <si>
    <t>afbarbosa@fanalca.com.co;ltorres@fanalca.com.co;dialopez@fanalca.com.co;omrodriguez@fanalca.com.co;mburgos@fanalca.com.co;idramirez@fanalca.com.co;jacosta@fanalca.com.co;jalexp_18@hotmail.com;bmwgonzaga@hotmail.com;</t>
  </si>
  <si>
    <t>afbarbosa@fanalca.com.co;ltorres@fanalca.com.co;dialopez@fanalca.com.co;omrodriguez@fanalca.com.co;mburgos@fanalca.com.co;idramirez@fanalca.com.co;jacosta@fanalca.com.co;arturosmotos@hotmail.com;</t>
  </si>
  <si>
    <t>afbarbosa@fanalca.com.co;ltorres@fanalca.com.co;dialopez@fanalca.com.co;omrodriguez@fanalca.com.co;mburgos@fanalca.com.co;idramirez@fanalca.com.co;jacosta@fanalca.com.co;mototefy@hotmail.com;motojireh@hotmail.com;</t>
  </si>
  <si>
    <t>afbarbosa@fanalca.com.co;ltorres@fanalca.com.co;dialopez@fanalca.com.co;omrodriguez@fanalca.com.co;mburgos@fanalca.com.co;idramirez@fanalca.com.co;jacosta@fanalca.com.co;bici_gerencia@hotmail.es;admonmotorepuestosdelacosta@gmail.com;bici_gerencia@hotmail.es;administradormotosyrepuestosdelacosta@bicimotos.com.co  ;</t>
  </si>
  <si>
    <t>afbarbosa@fanalca.com.co;ltorres@fanalca.com.co;dialopez@fanalca.com.co;omrodriguez@fanalca.com.co;mburgos@fanalca.com.co;idramirez@fanalca.com.co;jacosta@fanalca.com.co;reinaldoogliastri@yahoo.com;asistfyc@grupowonder.com ;</t>
  </si>
  <si>
    <t>afbarbosa@fanalca.com.co;ltorres@fanalca.com.co;dialopez@fanalca.com.co;omrodriguez@fanalca.com.co;mburgos@fanalca.com.co;idramirez@fanalca.com.co;jacosta@fanalca.com.co; asistfyc@grupowonder.com ;jaimeruizbotero@hotmail.com;almacenjr@telecom.com.co</t>
  </si>
  <si>
    <t>afbarbosa@fanalca.com.co;ltorres@fanalca.com.co;dialopez@fanalca.com.co;omrodriguez@fanalca.com.co;mburgos@fanalca.com.co;idramirez@fanalca.com.co;jacosta@fanalca.com.co;motosupermaicao@hotmail.com;silver_johan@hotmail.es;distrigonltdaguamal@hotmal.com;agromagdhermanosltda@hotmail.com;motosupermaicao@hotmail.com;yonnyromerovargas@gmail.com</t>
  </si>
  <si>
    <t>afbarbosa@fanalca.com.co;ltorres@fanalca.com.co;dialopez@fanalca.com.co;omrodriguez@fanalca.com.co;mburgos@fanalca.com.co;idramirez@fanalca.com.co;jacosta@fanalca.com.co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</si>
  <si>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afbarbosa@fanalca.com.co;ltorres@fanalca.com.co;dialopez@fanalca.com.co;omrodriguez@fanalca.com.co;mburgos@fanalca.com.co;idramirez@fanalca.com.co;jacosta@fanalca.com.co;judamelo30@hotmail.com;inversionesmejiacelada@hotmail.com;credimotossabana@hotmail.com</t>
  </si>
  <si>
    <t>afbarbosa@fanalca.com.co;ltorres@fanalca.com.co;dialopez@fanalca.com.co;omrodriguez@fanalca.com.co;mburgos@fanalca.com.co;idramirez@fanalca.com.co;jacosta@fanalca.com.co;buenahcaribe.g@hotmail.com</t>
  </si>
  <si>
    <t>afbarbosa@fanalca.com.co;ltorres@fanalca.com.co;dialopez@fanalca.com.co;omrodriguez@fanalca.com.co;mburgos@fanalca.com.co;idramirez@fanalca.com.co;jacosta@fanalca.com.co;motohanna@hotmail.com</t>
  </si>
  <si>
    <t>afbarbosa@fanalca.com.co;ltorres@fanalca.com.co;dialopez@fanalca.com.co;omrodriguez@fanalca.com.co;mburgos@fanalca.com.co;idramirez@fanalca.com.co;jacosta@fanalca.com.co;motocaribeplato@gmail.com</t>
  </si>
  <si>
    <t>afbarbosa@fanalca.com.co;ltorres@fanalca.com.co;dialopez@fanalca.com.co;omrodriguez@fanalca.com.co;mburgos@fanalca.com.co;idramirez@fanalca.com.co;jacosta@fanalca.com.co;motomasdelacosta@hotmail.com;motomasdelacostamagangue@outlook.es</t>
  </si>
  <si>
    <t xml:space="preserve">afbarbosa@fanalca.com.co;ltorres@fanalca.com.co;dialopez@fanalca.com.co;omrodriguez@fanalca.com.co;mburgos@fanalca.com.co;idramirez@fanalca.com.co;jacosta@fanalca.com.co;toyo212010@hotmail.com </t>
  </si>
  <si>
    <t xml:space="preserve">afbarbosa@fanalca.com.co;ltorres@fanalca.com.co;dialopez@fanalca.com.co;omrodriguez@fanalca.com.co;mburgos@fanalca.com.co;idramirez@fanalca.com.co;jacosta@fanalca.com.co;motosjose001@hotmail.com     </t>
  </si>
  <si>
    <t>afbarbosa@fanalca.com.co;ltorres@fanalca.com.co;dialopez@fanalca.com.co;omrodriguez@fanalca.com.co;mburgos@fanalca.com.co;idramirez@fanalca.com.co;jacosta@fanalca.com.co;motosjose001@hotmail.com     ;aacc@fanalca.com.co</t>
  </si>
  <si>
    <t xml:space="preserve">afbarbosa@fanalca.com.co;ltorres@fanalca.com.co;dialopez@fanalca.com.co;omrodriguez@fanalca.com.co;mburgos@fanalca.com.co;idramirez@fanalca.com.co;jacosta@fanalca.com.co;gerencia@agroyamahaymotofacil.com;gerencia@agroyamahaymotofacil.com
</t>
  </si>
  <si>
    <t>afbarbosa@fanalca.com.co;ltorres@fanalca.com.co;dialopez@fanalca.com.co;omrodriguez@fanalca.com.co;mburgos@fanalca.com.co;idramirez@fanalca.com.co;jacosta@fanalca.com.co;gerenciacomercial@agroyamahaymotofacil.com</t>
  </si>
  <si>
    <t>afbarbosa@fanalca.com.co;ltorres@fanalca.com.co;dialopez@fanalca.com.co;omrodriguez@fanalca.com.co;mburgos@fanalca.com.co;idramirez@fanalca.com.co;jacosta@fanalca.com.co;sufimotosgirardota@hotmail.com;sufimotoscopacabana@hotmail.com; sufimotos@gmail.com</t>
  </si>
  <si>
    <t>afbarbosa@fanalca.com.co;ltorres@fanalca.com.co;dialopez@fanalca.com.co;omrodriguez@fanalca.com.co;mburgos@fanalca.com.co;idramirez@fanalca.com.co;jacosta@fanalca.com.co;rosa_49760@hotmail.com;libar40@hotmail.com</t>
  </si>
  <si>
    <t>afbarbosa@fanalca.com.co;ltorres@fanalca.com.co;dialopez@fanalca.com.co;omrodriguez@fanalca.com.co;jtamayo@fanalca.com.co;idramirez@fanalca.com.co;savalo@fanalca.com.co;jogonzalez@fanalca.com.co;orlobravo@hotmail.com</t>
  </si>
  <si>
    <t>afbarbosa@fanalca.com.co;ltorres@fanalca.com.co;dialopez@fanalca.com.co;omrodriguez@fanalca.com.co;jtamayo@fanalca.com.co;idramirez@fanalca.com.co;savalo@fanalca.com.co;jogonzalez@fanalca.com.co;puertotejada.andina@gmail.com</t>
  </si>
  <si>
    <t>afbarbosa@fanalca.com.co;ltorres@fanalca.com.co;dialopez@fanalca.com.co;omrodriguez@fanalca.com.co;jtamayo@fanalca.com.co;idramirez@fanalca.com.co;savalo@fanalca.com.co;jogonzalez@fanalca.com.co;jorgesalazar9@hotmail.com;jefe.ventasdistritomotors@gmail.com</t>
  </si>
  <si>
    <t>afbarbosa@fanalca.com.co;ltorres@fanalca.com.co;dialopez@fanalca.com.co;omrodriguez@fanalca.com.co;jtamayo@fanalca.com.co;idramirez@fanalca.com.co;savalo@fanalca.com.co;jogonzalez@fanalca.com.co;gerencia@maquinagro.com;divisionmotos@maquinagro.com</t>
  </si>
  <si>
    <t>afbarbosa@fanalca.com.co;ltorres@fanalca.com.co;dialopez@fanalca.com.co;omrodriguez@fanalca.com.co;jtamayo@fanalca.com.co;idramirez@fanalca.com.co;savalo@fanalca.com.co;jogonzalez@fanalca.com.co;motomontanadelsur@yahoo.com.co;sammybjj129@hotmail.com</t>
  </si>
  <si>
    <t>afbarbosa@fanalca.com.co;ltorres@fanalca.com.co;dialopez@fanalca.com.co;omrodriguez@fanalca.com.co;jtamayo@fanalca.com.co;idramirez@fanalca.com.co;savalo@fanalca.com.co;jogonzalez@fanalca.com.co;carlosmotorcol@yahoo.es;motorcolhonda@yahoo.es</t>
  </si>
  <si>
    <t>afbarbosa@fanalca.com.co;ltorres@fanalca.com.co;dialopez@fanalca.com.co;omrodriguez@fanalca.com.co;jtamayo@fanalca.com.co;idramirez@fanalca.com.co;savalo@fanalca.com.co;jogonzalez@fanalca.com.co;servihondapiendamo-1@hotmail.com</t>
  </si>
  <si>
    <t>afbarbosa@fanalca.com.co;ltorres@fanalca.com.co;dialopez@fanalca.com.co;omrodriguez@fanalca.com.co;jtamayo@fanalca.com.co;idramirez@fanalca.com.co;savalo@fanalca.com.co;jogonzalez@fanalca.com.co;lucely488@hotmail.com</t>
  </si>
  <si>
    <t>afbarbosa@fanalca.com.co;ltorres@fanalca.com.co;dialopez@fanalca.com.co;omrodriguez@fanalca.com.co;jtamayo@fanalca.com.co;idramirez@fanalca.com.co;savalo@fanalca.com.co;jogonzalez@fanalca.com.co;facturacion@ceveco.com.co;contabilidad@ceveco.com.co;secretaria@ceveco.com.co; gerencia@ceveco.com.co; supia@ceveco.com.co;honda@ceveco.com.co</t>
  </si>
  <si>
    <t xml:space="preserve">afbarbosa@fanalca.com.co;ltorres@fanalca.com.co;dialopez@fanalca.com.co;omrodriguez@fanalca.com.co;jtamayo@fanalca.com.co;idramirez@fanalca.com.co;savalo@fanalca.com.co;jogonzalez@fanalca.com.co;eder.jimenez@creditosparra.com.co;robinson@creditosparra.com.co;diana.parra@creditosparra.com.co </t>
  </si>
  <si>
    <t>afbarbosa@fanalca.com.co;ltorres@fanalca.com.co;dialopez@fanalca.com.co;omrodriguez@fanalca.com.co;jtamayo@fanalca.com.co;idramirez@fanalca.com.co;savalo@fanalca.com.co;jogonzalez@fanalca.com.co;lgonzalez@motopremiumdeoccidente.com;gerencia@motopremiumdeoccidente.com</t>
  </si>
  <si>
    <t>afbarbosa@fanalca.com.co;ltorres@fanalca.com.co;dialopez@fanalca.com.co;omrodriguez@fanalca.com.co;jtamayo@fanalca.com.co;idramirez@fanalca.com.co;savalo@fanalca.com.co;jogonzalez@fanalca.com.co;motospradera@hotmail.com</t>
  </si>
  <si>
    <t>afbarbosa@fanalca.com.co;ltorres@fanalca.com.co;dialopez@fanalca.com.co;omrodriguez@fanalca.com.co;jtamayo@fanalca.com.co;idramirez@fanalca.com.co;savalo@fanalca.com.co;jogonzalez@fanalca.com.co;cashaos29@gmail.com;motosvalle@gmail.com</t>
  </si>
  <si>
    <t>afbarbosa@fanalca.com.co;ltorres@fanalca.com.co;dialopez@fanalca.com.co;omrodriguez@fanalca.com.co;jtamayo@fanalca.com.co;idramirez@fanalca.com.co;savalo@fanalca.com.co;jogonzalez@fanalca.com.co;aacc@fanalca.com.co;tulmotos@telecom.com.co;juansebastianbarrios@tuluamotos.com;mmondragon@tuluamotos.com</t>
  </si>
  <si>
    <t>afbarbosa@fanalca.com.co;ltorres@fanalca.com.co;dialopez@fanalca.com.co;omrodriguez@fanalca.com.co;jtamayo@fanalca.com.co;idramirez@fanalca.com.co;savalo@fanalca.com.co;jogonzalez@fanalca.com.co;centralmotoslebrija@gmail.com; lorenzoarguellos@gmail.com</t>
  </si>
  <si>
    <t>afbarbosa@fanalca.com.co;ltorres@fanalca.com.co;dialopez@fanalca.com.co;omrodriguez@fanalca.com.co;jtamayo@fanalca.com.co;idramirez@fanalca.com.co;savalo@fanalca.com.co;jogonzalez@fanalca.com.co;colmotosft@hotmail.es</t>
  </si>
  <si>
    <t>afbarbosa@fanalca.com.co;ltorres@fanalca.com.co;dialopez@fanalca.com.co;omrodriguez@fanalca.com.co;jtamayo@fanalca.com.co;idramirez@fanalca.com.co;savalo@fanalca.com.co;jogonzalez@fanalca.com.co;mauriciogomezamg@yahoo.com;mauriciogomezamg@yahoo.com</t>
  </si>
  <si>
    <t>afbarbosa@fanalca.com.co;ltorres@fanalca.com.co;dialopez@fanalca.com.co;omrodriguez@fanalca.com.co;jtamayo@fanalca.com.co;idramirez@fanalca.com.co;savalo@fanalca.com.co;jogonzalez@fanalca.com.co;dismotoscimitarra@hotmail.com</t>
  </si>
  <si>
    <t>afbarbosa@fanalca.com.co;ltorres@fanalca.com.co;dialopez@fanalca.com.co;omrodriguez@fanalca.com.co;jtamayo@fanalca.com.co;idramirez@fanalca.com.co;savalo@fanalca.com.co;jogonzalez@fanalca.com.co;eguard_24@hotmail.com;suzuki.gonfor@hotmail.com</t>
  </si>
  <si>
    <t>afbarbosa@fanalca.com.co;ltorres@fanalca.com.co;dialopez@fanalca.com.co;omrodriguez@fanalca.com.co;jtamayo@fanalca.com.co;idramirez@fanalca.com.co;savalo@fanalca.com.co;jogonzalez@fanalca.com.co;gydmotossas@gmail.com; ventasgydmotoshonda@gmail.com; hjsalazar_75@hotmail.com</t>
  </si>
  <si>
    <t xml:space="preserve">afbarbosa@fanalca.com.co;ltorres@fanalca.com.co;dialopez@fanalca.com.co;omrodriguez@fanalca.com.co;jtamayo@fanalca.com.co;idramirez@fanalca.com.co;savalo@fanalca.com.co;jogonzalez@fanalca.com.co;grimaldimotos@hotmail.com  </t>
  </si>
  <si>
    <t>afbarbosa@fanalca.com.co;ltorres@fanalca.com.co;dialopez@fanalca.com.co;omrodriguez@fanalca.com.co;jtamayo@fanalca.com.co;idramirez@fanalca.com.co;savalo@fanalca.com.co;jogonzalez@fanalca.com.co;hondapitsgiron@gmail.com</t>
  </si>
  <si>
    <t>afbarbosa@fanalca.com.co;ltorres@fanalca.com.co;dialopez@fanalca.com.co;omrodriguez@fanalca.com.co;jtamayo@fanalca.com.co;idramirez@fanalca.com.co;savalo@fanalca.com.co;jogonzalez@fanalca.com.co;maximotosilc.yopal@hotmail.com</t>
  </si>
  <si>
    <t>afbarbosa@fanalca.com.co;ltorres@fanalca.com.co;dialopez@fanalca.com.co;omrodriguez@fanalca.com.co;jtamayo@fanalca.com.co;idramirez@fanalca.com.co;savalo@fanalca.com.co;jogonzalez@fanalca.com.co;motocenterhonda@gmail.com;gerenciamotocenter@gmail.com</t>
  </si>
  <si>
    <t>afbarbosa@fanalca.com.co;ltorres@fanalca.com.co;dialopez@fanalca.com.co;omrodriguez@fanalca.com.co;jtamayo@fanalca.com.co;idramirez@fanalca.com.co;savalo@fanalca.com.co;jogonzalez@fanalca.com.co;supermotosdelfonce@gmail.com</t>
  </si>
  <si>
    <t>afbarbosa@fanalca.com.co;ltorres@fanalca.com.co;dialopez@fanalca.com.co;omrodriguez@fanalca.com.co;jtamayo@fanalca.com.co;idramirez@fanalca.com.co;savalo@fanalca.com.co;jogonzalez@fanalca.com.co;motocelco@hotmail.com;luisnoguera6@hotmail.com</t>
  </si>
  <si>
    <t>afbarbosa@fanalca.com.co;ltorres@fanalca.com.co;dialopez@fanalca.com.co;omrodriguez@fanalca.com.co;jtamayo@fanalca.com.co;idramirez@fanalca.com.co;savalo@fanalca.com.co;jogonzalez@fanalca.com.co;reiserrano@grupowonder.com;asistfyc@grupowonder.com ;</t>
  </si>
  <si>
    <t>afbarbosa@fanalca.com.co;japanqueba@supermotosdeantioquia.com.co;ltorres@fanalca.com.co;dialopez@fanalca.com.co;omrodriguez@fanalca.com.co;mburgos@fanalca.com.co;idramirez@fanalca.com.co;jacosta@fanalca.com.co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</si>
  <si>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afbarbosa@fanalca.com.co;ltorres@fanalca.com.co;dialopez@fanalca.com.co;omrodriguez@fanalca.com.co;mburgos@fanalca.com.co;idramirez@fanalca.com.co;jacosta@fanalca.com.co;lmlondono@supermotosdemedellin.com.co;dmsepulveda@supermotosdemedellin.com.co</t>
  </si>
  <si>
    <t>afbarbosa@fanalca.com.co;ltorres@fanalca.com.co;dialopez@fanalca.com.co;omrodriguez@fanalca.com.co;mburgos@fanalca.com.co;idramirez@fanalca.com.co;jacosta@fanalca.com.co;heolascoaga@supermotosdecordoba.com.co</t>
  </si>
  <si>
    <t>afbarbosa@fanalca.com.co;ltorres@fanalca.com.co;dialopez@fanalca.com.co;omrodriguez@fanalca.com.co;mburgos@fanalca.com.co;idramirez@fanalca.com.co;jacosta@fanalca.com.co;siassia@supermotosdebolivar.com.co</t>
  </si>
  <si>
    <t>afbarbosa@fanalca.com.co;ltorres@fanalca.com.co;dialopez@fanalca.com.co;omrodriguez@fanalca.com.co;mburgos@fanalca.com.co;idramirez@fanalca.com.co;jacosta@fanalca.com.co;siassia@supermotosdebolivar.com.co;nmcorrea@supermotosdelatlantico.com.co</t>
  </si>
  <si>
    <t>afbarbosa@fanalca.com.co;ltorres@fanalca.com.co;dialopez@fanalca.com.co;omrodriguez@fanalca.com.co;mburgos@fanalca.com.co;idramirez@fanalca.com.co;jacosta@fanalca.com.co;jmsuarez@supermotosdelcesar.com.co</t>
  </si>
  <si>
    <t>afbarbosa@fanalca.com.co;ltorres@fanalca.com.co;dialopez@fanalca.com.co;omrodriguez@fanalca.com.co;ojoerns@fanalca.com.co;ralba@fanalca.com.co;tgvanoy@fanalca.com.co;hecepeda@supermotosdebogota.com.co</t>
  </si>
  <si>
    <t>afbarbosa@fanalca.com.co;ltorres@fanalca.com.co;dialopez@fanalca.com.co;omrodriguez@fanalca.com.co;ojoerns@fanalca.com.co;ralba@fanalca.com.co;tgvanoy@fanalca.com.co;imjimenez@supermotosdecundinamarca.com.co;karodriguez@supermotosdecundinamarca.com.co</t>
  </si>
  <si>
    <t>afbarbosa@fanalca.com.co;ltorres@fanalca.com.co;dialopez@fanalca.com.co;omrodriguez@fanalca.com.co;ojoerns@fanalca.com.co;ralba@fanalca.com.co;tgvanoy@fanalca.com.co;dbarbosa@supermotosdelhuila.com.co</t>
  </si>
  <si>
    <t>afbarbosa@fanalca.com.co;ltorres@fanalca.com.co;dialopez@fanalca.com.co;omrodriguez@fanalca.com.co;ojoerns@fanalca.com.co;ralba@fanalca.com.co;tgvanoy@fanalca.com.co; carbelaez@supermotosdeltolima.com.co</t>
  </si>
  <si>
    <t>afbarbosa@fanalca.com.co;ltorres@fanalca.com.co;dialopez@fanalca.com.co;omrodriguez@fanalca.com.co;ojoerns@fanalca.com.co;ralba@fanalca.com.co;tgvanoy@fanalca.com.co;aaflorez@supermotosdeloriente.com.co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</si>
  <si>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;cmrojas@supermotosdecali.com.co;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</si>
  <si>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</t>
  </si>
  <si>
    <t>afbarbosa@fanalca.com.co;ltorres@fanalca.com.co;dialopez@fanalca.com.co;omrodriguez@fanalca.com.co;jtamayo@fanalca.com.co;idramirez@fanalca.com.co;savalo@fanalca.com.co;jogonzalez@fanalca.com.co;cmrojas@supermotosdecali.com.co;</t>
  </si>
  <si>
    <t>afbarbosa@fanalca.com.co;ltorres@fanalca.com.co;dialopez@fanalca.com.co;omrodriguez@fanalca.com.co;jtamayo@fanalca.com.co;idramirez@fanalca.com.co;savalo@fanalca.com.co;jogonzalez@fanalca.com.co;cmrojas@supermotosdecali.com.co</t>
  </si>
  <si>
    <t>afbarbosa@fanalca.com.co;ltorres@fanalca.com.co;dialopez@fanalca.com.co;omrodriguez@fanalca.com.co;jtamayo@fanalca.com.co;idramirez@fanalca.com.co;savalo@fanalca.com.co;jogonzalez@fanalca.com.co;dcarabali@supermotosdelcauca.com.co</t>
  </si>
  <si>
    <t>afbarbosa@fanalca.com.co;ltorres@fanalca.com.co;dialopez@fanalca.com.co;omrodriguez@fanalca.com.co;jtamayo@fanalca.com.co;idramirez@fanalca.com.co;savalo@fanalca.com.co;jogonzalez@fanalca.com.co;jagrisales@supermotosdelpacifico.com.co</t>
  </si>
  <si>
    <t>afbarbosa@fanalca.com.co;ltorres@fanalca.com.co;dialopez@fanalca.com.co;omrodriguez@fanalca.com.co;jtamayo@fanalca.com.co;idramirez@fanalca.com.co;savalo@fanalca.com.co;jogonzalez@fanalca.com.co;nmvelasco@supermotosdelcauca.com.co</t>
  </si>
  <si>
    <t>afbarbosa@fanalca.com.co;ltorres@fanalca.com.co;dialopez@fanalca.com.co;omrodriguez@fanalca.com.co;jtamayo@fanalca.com.co;idramirez@fanalca.com.co;savalo@fanalca.com.co;jogonzalez@fanalca.com.co;jdpaz@supermotosdenarino.com.co</t>
  </si>
  <si>
    <t>afbarbosa@fanalca.com.co;ltorres@fanalca.com.co;dialopez@fanalca.com.co;omrodriguez@fanalca.com.co;jtamayo@fanalca.com.co;idramirez@fanalca.com.co;savalo@fanalca.com.co;jogonzalez@fanalca.com.co;carestrepo@supermotosdelvalle.com.co</t>
  </si>
  <si>
    <t>afbarbosa@fanalca.com.co;ltorres@fanalca.com.co;dialopez@fanalca.com.co;omrodriguez@fanalca.com.co;jtamayo@fanalca.com.co;idramirez@fanalca.com.co;savalo@fanalca.com.co;jogonzalez@fanalca.com.co;oamurillo@supermotosdelcafe.com.co;loguarin@supermotosdelcafe.com.co;echaverra@supermotosdelcafe.com.co</t>
  </si>
  <si>
    <t>afbarbosa@fanalca.com.co;ltorres@fanalca.com.co;dialopez@fanalca.com.co;omrodriguez@fanalca.com.co;jtamayo@fanalca.com.co;idramirez@fanalca.com.co;savalo@fanalca.com.co;jogonzalez@fanalca.com.co;anpena@supermotosdesantander.com.co;orueda@supermotosdesantander.com.co</t>
  </si>
  <si>
    <t>afbarbosa@fanalca.com.co;ltorres@fanalca.com.co;dialopez@fanalca.com.co;omrodriguez@fanalca.com.co;jtamayo@fanalca.com.co;juandavid.velasco@2ruedas.com.co;ojoerns@fanalca.com.co;ralba@fanalca.com.co</t>
  </si>
  <si>
    <t>afbarbosa@fanalca.com.co;ltorres@fanalca.com.co;dialopez@fanalca.com.co;omrodriguez@fanalca.com.co;jtamayo@fanalca.com.co;motosporthonda@hotmail.com;ojoerns@fanalca.com.co</t>
  </si>
  <si>
    <t xml:space="preserve">afbarbosa@fanalca.com.co;ltorres@fanalca.com.co;dialopez@fanalca.com.co;omrodriguez@fanalca.com.co;jtamayo@fanalca.com.co;ojoerns@fanalca.com.co;mburgos@fanalca.com.co;humartinez@fanalca.com.co;sgil@depositosmiranda.com
</t>
  </si>
  <si>
    <t xml:space="preserve">afbarbosa@fanalca.com.co;ltorres@fanalca.com.co;dialopez@fanalca.com.co;omrodriguez@fanalca.com.co;mburgos@fanalca.com.co;idramirez@fanalca.com.co;jacosta@fanalca.com.co; asistfyc@grupowonder.com ;jaimeruizbotero@hotmail.com;almacenjr@telecom.com.co </t>
  </si>
  <si>
    <t>01-23-11-E-SP-1</t>
  </si>
  <si>
    <t>02-23-11-A-TG-2</t>
  </si>
  <si>
    <t xml:space="preserve">*CB1 PRO                                          </t>
  </si>
  <si>
    <t>PEARL PRO</t>
  </si>
  <si>
    <t>ROJO LUCY</t>
  </si>
  <si>
    <t xml:space="preserve">GRIS MET </t>
  </si>
  <si>
    <t>VERDE CAN</t>
  </si>
  <si>
    <t>AZUL NEON</t>
  </si>
  <si>
    <t>BLAN ROSS</t>
  </si>
  <si>
    <t xml:space="preserve">*XR-250 TORNADO pt MD34                           </t>
  </si>
  <si>
    <t>ROJO BLAN</t>
  </si>
  <si>
    <t xml:space="preserve">CB 125F                                           </t>
  </si>
  <si>
    <t>AZUL ONIX</t>
  </si>
  <si>
    <t xml:space="preserve">CB 190 REPSOL                                     </t>
  </si>
  <si>
    <t>NARANJA B</t>
  </si>
  <si>
    <t>AZUL VICT</t>
  </si>
  <si>
    <t xml:space="preserve">DREAM  NEO                                        </t>
  </si>
  <si>
    <t>NEGRO AZU</t>
  </si>
  <si>
    <t xml:space="preserve">WAVE 110S                                         </t>
  </si>
  <si>
    <t xml:space="preserve">ROJO     </t>
  </si>
  <si>
    <t xml:space="preserve">BLANCO   </t>
  </si>
  <si>
    <t xml:space="preserve">DIO  110                                          </t>
  </si>
  <si>
    <t>BLANCO NE</t>
  </si>
  <si>
    <t xml:space="preserve">CBR 250RD                                         </t>
  </si>
  <si>
    <t xml:space="preserve">CB 250 TWISTER                                    </t>
  </si>
  <si>
    <t xml:space="preserve">CRF 50FH                                          </t>
  </si>
  <si>
    <t xml:space="preserve">CBR250 RG                                         </t>
  </si>
  <si>
    <t xml:space="preserve">XRE 190                                           </t>
  </si>
  <si>
    <t xml:space="preserve">CBR 500RAH                                        </t>
  </si>
  <si>
    <t xml:space="preserve">NC 750XAH                                         </t>
  </si>
  <si>
    <t xml:space="preserve">PLATA    </t>
  </si>
  <si>
    <t>BLANCO MA</t>
  </si>
  <si>
    <t xml:space="preserve">VFR 1200XH                                        </t>
  </si>
  <si>
    <t xml:space="preserve">XR 650LH                                          </t>
  </si>
  <si>
    <t xml:space="preserve">CRF 150RBH                                        </t>
  </si>
  <si>
    <t xml:space="preserve">CB 500XAH                                         </t>
  </si>
  <si>
    <t xml:space="preserve">PCX 150                                           </t>
  </si>
  <si>
    <t xml:space="preserve">GRIS     </t>
  </si>
  <si>
    <t xml:space="preserve">PLATEADO </t>
  </si>
  <si>
    <t xml:space="preserve">CB 110 DLX                                        </t>
  </si>
  <si>
    <t xml:space="preserve">AZUL     </t>
  </si>
  <si>
    <t xml:space="preserve">CB 190R INSTINTO R                                </t>
  </si>
  <si>
    <t xml:space="preserve">XRE  300                                          </t>
  </si>
  <si>
    <t xml:space="preserve">VERDE    </t>
  </si>
  <si>
    <t xml:space="preserve">CRF 1000DH                                        </t>
  </si>
  <si>
    <t>BLANCO AZ</t>
  </si>
  <si>
    <t xml:space="preserve">DIO                                               </t>
  </si>
  <si>
    <t>GRIS MATE</t>
  </si>
  <si>
    <t xml:space="preserve">XRE 300 RALLY                                     </t>
  </si>
  <si>
    <t>ROJO ALFA</t>
  </si>
  <si>
    <t>PVT-00095497</t>
  </si>
  <si>
    <t>SUPERMOTOS DE BOGOTA S.A.S. 7 DE AGOSTO</t>
  </si>
  <si>
    <t>PVT-00095498</t>
  </si>
  <si>
    <t>SUPERMOTOS DE BOGOTA S.A.S CALLE 80</t>
  </si>
  <si>
    <t>PVT-00095499</t>
  </si>
  <si>
    <t>SUPERMOTOS DE BOGOTA S.A.S. TIBABUYES</t>
  </si>
  <si>
    <t>PVT-00095500</t>
  </si>
  <si>
    <t>SUPERMOTOS DE BOGOTA S.A.SCARACAS CON 32</t>
  </si>
  <si>
    <t>PVT-00095501</t>
  </si>
  <si>
    <t>SUPERMOTOS DE BOGOTA S.A.S FACATATIVA</t>
  </si>
  <si>
    <t>PVT-00095502</t>
  </si>
  <si>
    <t>SUPERMOTOS DE BOGOTA S.A.S.FONTIBON</t>
  </si>
  <si>
    <t>PVT-00095503</t>
  </si>
  <si>
    <t>SUPERMOTOS DE BOGOTA S.A.S CEDRITOS</t>
  </si>
  <si>
    <t>PVT-00095504</t>
  </si>
  <si>
    <t>Retenido</t>
  </si>
  <si>
    <t>SURO - SUR OCCIDENTE</t>
  </si>
  <si>
    <t>DIST - DISTRIBUIDORES</t>
  </si>
  <si>
    <t>PVT-00095505</t>
  </si>
  <si>
    <t>PVT-00095506</t>
  </si>
  <si>
    <t>GUAJI ARACELY</t>
  </si>
  <si>
    <t>PVT-00095507</t>
  </si>
  <si>
    <t>MAQUINAGRO S.A  PASTO</t>
  </si>
  <si>
    <t>PVT-00095509</t>
  </si>
  <si>
    <t>PVT-00095510</t>
  </si>
  <si>
    <t>NTE - ZONA NORTE</t>
  </si>
  <si>
    <t>SUPERMOTOS DE CORDOBA S.A  PPAL</t>
  </si>
  <si>
    <t>PVT-00095511</t>
  </si>
  <si>
    <t>SUPERMOTOS DEL CAFE S.A.S.  PEREIRA</t>
  </si>
  <si>
    <t>PVT-00095512</t>
  </si>
  <si>
    <t>SUPERMOTOS DEL CAFE S.A.S. CARTAGO</t>
  </si>
  <si>
    <t>PVT-00095513</t>
  </si>
  <si>
    <t>SUPERMOTOS DEL CAFE S.A.S. ARMENIA</t>
  </si>
  <si>
    <t>PVT-00095514</t>
  </si>
  <si>
    <t>SUPERMOTOS DE CORDOBA S.A  LORICA</t>
  </si>
  <si>
    <t>PVT-00095515</t>
  </si>
  <si>
    <t>SUPERMOTOS DEL CAFE S.A.S.  MANIZALES</t>
  </si>
  <si>
    <t>PVT-00095516</t>
  </si>
  <si>
    <t>PVT-00095517</t>
  </si>
  <si>
    <t>SUPERMOTOS DE CORDOBA S.A  SINCELEJO</t>
  </si>
  <si>
    <t>PVT-00095518</t>
  </si>
  <si>
    <t>PVT-00095519</t>
  </si>
  <si>
    <t>SUPERMOTOS DEL HUILA SAS FLORENCIA</t>
  </si>
  <si>
    <t>PVT-00095520</t>
  </si>
  <si>
    <t>PVT-00095521</t>
  </si>
  <si>
    <t>PVT-00095522</t>
  </si>
  <si>
    <t>SUPERMOTOS DEL HUILA SAS GARZON</t>
  </si>
  <si>
    <t>PVT-00095523</t>
  </si>
  <si>
    <t>PVT-00095524</t>
  </si>
  <si>
    <t>SUPERMOTOS DEL HUILA SAS LA PLATA</t>
  </si>
  <si>
    <t>PVT-00095525</t>
  </si>
  <si>
    <t>SUPERMOTOS DEL HUILA SAS NEIVA</t>
  </si>
  <si>
    <t>PVT-00095526</t>
  </si>
  <si>
    <t>SUPERMOTOS DEL HUILA SAS PITALITO</t>
  </si>
  <si>
    <t>PVT-00095527</t>
  </si>
  <si>
    <t>SUPERMOTOS DEL MAGDALENA S.A.S-STA MARTA</t>
  </si>
  <si>
    <t>PVT-00095528</t>
  </si>
  <si>
    <t>CEVECO S.A.S. RIOSUCIO</t>
  </si>
  <si>
    <t>PVT-00095529</t>
  </si>
  <si>
    <t>PVT-00095530</t>
  </si>
  <si>
    <t>SUPERMOTOS DEL CAUCA SAS POPAYAN</t>
  </si>
  <si>
    <t>PVT-00095531</t>
  </si>
  <si>
    <t>MOTOPREMIUM DE OCCIDENTE S.A.S-CALARCA</t>
  </si>
  <si>
    <t>PVT-00095532</t>
  </si>
  <si>
    <t>MOTO PREMIUM DE OCCIDENTE S.A.S.QUIMBAYA</t>
  </si>
  <si>
    <t>PVT-00095533</t>
  </si>
  <si>
    <t>MOTO PREMIUM DE OCCIDENTE S.A.S DOSQUEB.</t>
  </si>
  <si>
    <t>PVT-00095534</t>
  </si>
  <si>
    <t>SALAZAR ACOSTA EDWIN ARTURO/PUERTO ASIS</t>
  </si>
  <si>
    <t>PVT-00095535</t>
  </si>
  <si>
    <t>MOTO PREMIUM DE OCCIDENTE S.A.S LA VIRGI</t>
  </si>
  <si>
    <t>PVT-00095536</t>
  </si>
  <si>
    <t>MOTOPREMIUM DE OCCIDENTE SAS SANTA ROSA</t>
  </si>
  <si>
    <t>PVT-00095537</t>
  </si>
  <si>
    <t>MOTO PREMIUM DE OCCIDENTE S.A.S.CAICEDO.</t>
  </si>
  <si>
    <t>PVT-00095538</t>
  </si>
  <si>
    <t>MOTO PREMIUM DE OCCIDENTE S.A.S. NEIVA</t>
  </si>
  <si>
    <t>PVT-00095539</t>
  </si>
  <si>
    <t>PVT-00095540</t>
  </si>
  <si>
    <t>MOTO PREMIUM DE OCCIDENTE S.A.S LA UNION</t>
  </si>
  <si>
    <t>PVT-00095541</t>
  </si>
  <si>
    <t>POSADA  ROMUALDO - EL DONCELLO</t>
  </si>
  <si>
    <t>PVT-00095542</t>
  </si>
  <si>
    <t>MOTOS PRADERA S.A.S.-PRADERA</t>
  </si>
  <si>
    <t>PVT-00095543</t>
  </si>
  <si>
    <t>SHAIK OSPINA CARLOS ANDRES-FLORIDA</t>
  </si>
  <si>
    <t>PVT-00095544</t>
  </si>
  <si>
    <t>SHAIK OSPINA CARLOS ANDRES-CANDELARIA</t>
  </si>
  <si>
    <t>PVT-00095545</t>
  </si>
  <si>
    <t>MOTOSPORT HONDA SAN VICENTE</t>
  </si>
  <si>
    <t>PVT-00095546</t>
  </si>
  <si>
    <t>TULUAMOTOS S.A  TULUA</t>
  </si>
  <si>
    <t>PVT-00095547</t>
  </si>
  <si>
    <t>CHAVES CADENA JAIRO LEON/DONCELLO</t>
  </si>
  <si>
    <t>PVT-00095548</t>
  </si>
  <si>
    <t>CHAVES CADENA JAIRO LEON/MOCOA</t>
  </si>
  <si>
    <t>PVT-00095549</t>
  </si>
  <si>
    <t>TULUAMOTOS S.A CLL 18 PASTO</t>
  </si>
  <si>
    <t>PVT-00095550</t>
  </si>
  <si>
    <t>PVT-00095551</t>
  </si>
  <si>
    <t>PVT-00095552</t>
  </si>
  <si>
    <t>CHAVES CADENA JAIRO LEON/FLORENCIA</t>
  </si>
  <si>
    <t>PVT-00095553</t>
  </si>
  <si>
    <t>BICIMOTOS Y REPUESTOS S.A.S/SOLEDAD</t>
  </si>
  <si>
    <t>PVT-00095554</t>
  </si>
  <si>
    <t>PVT-00095555</t>
  </si>
  <si>
    <t>PVT-00095556</t>
  </si>
  <si>
    <t>CHAVES CADENA JAIRO LEON/SAN VICENTE</t>
  </si>
  <si>
    <t>PVT-00095557</t>
  </si>
  <si>
    <t>PVT-00095559</t>
  </si>
  <si>
    <t>CHAVES CADENA JAIRO LEON/NEIVA</t>
  </si>
  <si>
    <t>PVT-00095560</t>
  </si>
  <si>
    <t>RUBE MOTOS S.A.S. RIOHACHA</t>
  </si>
  <si>
    <t>PVT-00095561</t>
  </si>
  <si>
    <t>RUBE MOTOS S.A.S. MAICAO</t>
  </si>
  <si>
    <t>PVT-00095562</t>
  </si>
  <si>
    <t>PVT-00095563</t>
  </si>
  <si>
    <t>PVT-00095565</t>
  </si>
  <si>
    <t>CHAVES CADENA JAIRO LEON/PITALITO</t>
  </si>
  <si>
    <t>PVT-00095566</t>
  </si>
  <si>
    <t>PVT-00095567</t>
  </si>
  <si>
    <t>RUBE MOTOS S.A.S. ARBOLETES</t>
  </si>
  <si>
    <t>PVT-00095569</t>
  </si>
  <si>
    <t>RUBE MOTOS S.A.S. APARTADO</t>
  </si>
  <si>
    <t>PVT-00095571</t>
  </si>
  <si>
    <t>RUBE MOTOS S.A.S-NECOCLI</t>
  </si>
  <si>
    <t>PVT-00095572</t>
  </si>
  <si>
    <t>RUBE MOTOS S.A.S. EL BANCO</t>
  </si>
  <si>
    <t>PVT-00095573</t>
  </si>
  <si>
    <t>PVT-00095575</t>
  </si>
  <si>
    <t>PVT-00095576</t>
  </si>
  <si>
    <t>PVT-00095577</t>
  </si>
  <si>
    <t>SUPERMOTOS MYM DORADA</t>
  </si>
  <si>
    <t>PVT-00095578</t>
  </si>
  <si>
    <t>MENDEZ PARRA MANUEL RICARDO-CHAPARRAL</t>
  </si>
  <si>
    <t>PVT-00095579</t>
  </si>
  <si>
    <t>ROSAS BAZANTE JORGE ANDRES-TIMBIO</t>
  </si>
  <si>
    <t>PVT-00095580</t>
  </si>
  <si>
    <t>MENDEZ PARRA MANUEL RICARDO-PURIFICACION</t>
  </si>
  <si>
    <t>PVT-00095581</t>
  </si>
  <si>
    <t>HONDA MOTOBOY S.A.S.  BOYACA</t>
  </si>
  <si>
    <t>PVT-00095582</t>
  </si>
  <si>
    <t>COBA RAMIREZ MARIA DEL CARMEN</t>
  </si>
  <si>
    <t>LA MACARENA</t>
  </si>
  <si>
    <t>PVT-00095584</t>
  </si>
  <si>
    <t>PVT-00095585</t>
  </si>
  <si>
    <t>PVT-00095586</t>
  </si>
  <si>
    <t>DISMOTOS HONDA S.A.S. CIMITARRA</t>
  </si>
  <si>
    <t>PVT-00095587</t>
  </si>
  <si>
    <t>PVT-00095588</t>
  </si>
  <si>
    <t>PVT-00095589</t>
  </si>
  <si>
    <t>PVT-00095590</t>
  </si>
  <si>
    <t>PVT-00095591</t>
  </si>
  <si>
    <t>PVT-00095594</t>
  </si>
  <si>
    <t>PVT-00095596</t>
  </si>
  <si>
    <t>PVT-00095597</t>
  </si>
  <si>
    <t>PVT-00095598</t>
  </si>
  <si>
    <t>PVT-00095599</t>
  </si>
  <si>
    <t>PVT-00095600</t>
  </si>
  <si>
    <t>PVT-00095601</t>
  </si>
  <si>
    <t>PVT-00095602</t>
  </si>
  <si>
    <t>PVT-00095604</t>
  </si>
  <si>
    <t>PVT-00095606</t>
  </si>
  <si>
    <t>MOTO HIT LTDA  LORICA</t>
  </si>
  <si>
    <t>PVT-00095607</t>
  </si>
  <si>
    <t>MOTO HIT LTDA  MAGANGUE</t>
  </si>
  <si>
    <t>PVT-00095608</t>
  </si>
  <si>
    <t>MOTO HIT LTDA  SAHAGUN</t>
  </si>
  <si>
    <t>PVT-00095611</t>
  </si>
  <si>
    <t>MOTO HOGAR C.L.R. S.A.S. CIENAGA DE ORO</t>
  </si>
  <si>
    <t>PVT-00095612</t>
  </si>
  <si>
    <t>PVT-00095613</t>
  </si>
  <si>
    <t>PVT-00095614</t>
  </si>
  <si>
    <t>MOTOCENTRO HONDA S.A.  AYAPEL CASANARE</t>
  </si>
  <si>
    <t>PVT-00095616</t>
  </si>
  <si>
    <t>MOTOCENTRO HONDA S.A.  PUERTO BERRIO</t>
  </si>
  <si>
    <t>PVT-00095617</t>
  </si>
  <si>
    <t>MOTOCENTRO HONDA S.A.  MONTELIEBANO</t>
  </si>
  <si>
    <t>PVT-00095618</t>
  </si>
  <si>
    <t>MOTOCENTRO HONDA S.A.  PTO LIBERTADOR</t>
  </si>
  <si>
    <t>PVT-00095619</t>
  </si>
  <si>
    <t>MOTOCENTRO HONDA S.A.  TARAZA</t>
  </si>
  <si>
    <t>PVT-00095621</t>
  </si>
  <si>
    <t>ZUPERMOTO S.A. CAUCASIA</t>
  </si>
  <si>
    <t>PVT-00095622</t>
  </si>
  <si>
    <t>ZUPERMOTOS DEL GOLFO SAS APARTADO</t>
  </si>
  <si>
    <t>PVT-00095623</t>
  </si>
  <si>
    <t>HONDA STORE S.A.S. SAN BERNARDO DEL VIEN</t>
  </si>
  <si>
    <t>PVT-00095624</t>
  </si>
  <si>
    <t>HONDA STORE S.A.S.-SAN ANDRES SOTAVENTO</t>
  </si>
  <si>
    <t>PVT-00095625</t>
  </si>
  <si>
    <t>PVT-00095626</t>
  </si>
  <si>
    <t>PVT-00095627</t>
  </si>
  <si>
    <t>PVT-00095628</t>
  </si>
  <si>
    <t>PVT-00095629</t>
  </si>
  <si>
    <t>PVT-00095630</t>
  </si>
  <si>
    <t>INV. LOPEZ CADAVID Y CIA LTD-YOPAL</t>
  </si>
  <si>
    <t>PVT-00095631</t>
  </si>
  <si>
    <t>INV. LOPEZ CADAVID Y CIA LTD-GRANADA</t>
  </si>
  <si>
    <t>PVT-00095632</t>
  </si>
  <si>
    <t>PVT-00095633</t>
  </si>
  <si>
    <t>PVT-00095634</t>
  </si>
  <si>
    <t>PVT-00095635</t>
  </si>
  <si>
    <t>OSORIO RIVERO CIRO ALFONSO OCAÑA CL 10</t>
  </si>
  <si>
    <t>PVT-00095636</t>
  </si>
  <si>
    <t>PVT-00095637</t>
  </si>
  <si>
    <t>TORRES ESTEPA FREDDY HUMBERTO-YOPAL</t>
  </si>
  <si>
    <t>PVT-00095638</t>
  </si>
  <si>
    <t>TORRES ESTEPA FREDDY HUMBERTO-SOGAMOSO</t>
  </si>
  <si>
    <t>PVT-00095643</t>
  </si>
  <si>
    <t>PVT-00095644</t>
  </si>
  <si>
    <t>SUPERMOTOS DE MEDELLIN S.A.S. SAN DIE</t>
  </si>
  <si>
    <t>PVT-00095655</t>
  </si>
  <si>
    <t>SUPERMOTOS DEL PACIFICO S.A.S PPAL</t>
  </si>
  <si>
    <t>PVT-00095657</t>
  </si>
  <si>
    <t>PVT-00095658</t>
  </si>
  <si>
    <t>PVT-00095661</t>
  </si>
  <si>
    <t>PVT-00095669</t>
  </si>
  <si>
    <t>PVT-00095671</t>
  </si>
  <si>
    <t>SUPERMOTOS DEL TOLIMA S.A.S CL 21</t>
  </si>
  <si>
    <t>PVT-00095677</t>
  </si>
  <si>
    <t>SUPERMOTOS DEL TOLIMA S.A.S MARIQUITA</t>
  </si>
  <si>
    <t>PVT-00095678</t>
  </si>
  <si>
    <t>SUPERMOTOS DEL TOLIMA S.A.S LIBANO</t>
  </si>
  <si>
    <t>PVT-00095679</t>
  </si>
  <si>
    <t>SUPERMOTOS DEL TOLIMA S.A.S  LA DORADA</t>
  </si>
  <si>
    <t>PVT-00095680</t>
  </si>
  <si>
    <t>SUPERMOTOS DE GIRARDOT S.A.S.-MELGAR</t>
  </si>
  <si>
    <t>PVT-00095681</t>
  </si>
  <si>
    <t>SUPERMOTOS DEL ORIENTE S.A.S. CUCUTA</t>
  </si>
  <si>
    <t>PVT-00095683</t>
  </si>
  <si>
    <t>SUPERMOTOS DE GIRARDOT S.A.S.-CHAPARRAL</t>
  </si>
  <si>
    <t>PVT-00095686</t>
  </si>
  <si>
    <t>SUPERMOTOS DE CUNDINAMARCA S.A.S VENECIA</t>
  </si>
  <si>
    <t xml:space="preserve">AMARILLO </t>
  </si>
  <si>
    <t>PVT-00095689</t>
  </si>
  <si>
    <t>PVT-00095690</t>
  </si>
  <si>
    <t>PVT-00095691</t>
  </si>
  <si>
    <t>PVT-00095692</t>
  </si>
  <si>
    <t>SUPERMOTOS DE BOLIVAR S.A.S PIE DE LA PO</t>
  </si>
  <si>
    <t>PVT-00095693</t>
  </si>
  <si>
    <t>PVT-00095694</t>
  </si>
  <si>
    <t>SUPERMOTOS DEL CAUCA SAS SANTANDER</t>
  </si>
  <si>
    <t>PVT-00095700</t>
  </si>
  <si>
    <t xml:space="preserve"> </t>
  </si>
  <si>
    <t>NGES - NEGOCIOS ESPECIALES</t>
  </si>
  <si>
    <t>ALMACENES LA 14 S.A</t>
  </si>
  <si>
    <t>PVT-00095702</t>
  </si>
  <si>
    <t>PVT-00095703</t>
  </si>
  <si>
    <t>COMERCIALIZADORA ALCALA MOTOR SAS-VILLAV</t>
  </si>
  <si>
    <t>PVT-00095704</t>
  </si>
  <si>
    <t>COMERCIALIZADORA ALCALA MOTOR SAS-TUNJA</t>
  </si>
  <si>
    <t>PVT-00095705</t>
  </si>
  <si>
    <t>PVT-00095706</t>
  </si>
  <si>
    <t>PVT-00095707</t>
  </si>
  <si>
    <t>CHAVES BONILLA CONCESIONARIOS SAS-ACACIA</t>
  </si>
  <si>
    <t>PVT-00095708</t>
  </si>
  <si>
    <t>CABALLERO BUENO CLEOMEDES  VILLAVICENCIO</t>
  </si>
  <si>
    <t>PVT-00095709</t>
  </si>
  <si>
    <t>PVT-00095710</t>
  </si>
  <si>
    <t>PVT-00095711</t>
  </si>
  <si>
    <t>PVT-00095712</t>
  </si>
  <si>
    <t>SAINEA PUERTO LUIS ALBERTO-CR 7</t>
  </si>
  <si>
    <t>SOACHA</t>
  </si>
  <si>
    <t>PVT-00095713</t>
  </si>
  <si>
    <t>MOTORCYCLE MARKET S.A.S-FUNZA</t>
  </si>
  <si>
    <t>PVT-00095714</t>
  </si>
  <si>
    <t>MOTORCYCLE MARKET S.A.S - VILLAVICENCIO</t>
  </si>
  <si>
    <t>PVT-00095715</t>
  </si>
  <si>
    <t>PVT-00095716</t>
  </si>
  <si>
    <t>PVT-00095717</t>
  </si>
  <si>
    <t>GRUPO DOS RUEDAS SAS - TUNJA</t>
  </si>
  <si>
    <t>PVT-00095718</t>
  </si>
  <si>
    <t>PVT-00095720</t>
  </si>
  <si>
    <t>PVT-00095723</t>
  </si>
  <si>
    <t>PVT-00095725</t>
  </si>
  <si>
    <t>HONDA-SUR MOTOS Y REPUESTOS S.A.S.-CALDA</t>
  </si>
  <si>
    <t>PVT-00095726</t>
  </si>
  <si>
    <t>COMERCIAL ELECTRO MUEBLES LTDA  SARAVENA</t>
  </si>
  <si>
    <t>PVT-00095727</t>
  </si>
  <si>
    <t>COMERCIAL ELECTRO MUEBLES LTDA ARAUCA</t>
  </si>
  <si>
    <t>PVT-00095728</t>
  </si>
  <si>
    <t>COMERCIAL ELECTRO MUEBLES LTDA ARAUQUITA</t>
  </si>
  <si>
    <t>PVT-00095729</t>
  </si>
  <si>
    <t>COMERCIAL ELECTRO MUEBLES LTDA TAME</t>
  </si>
  <si>
    <t>PVT-00095730</t>
  </si>
  <si>
    <t>PVT-00095731</t>
  </si>
  <si>
    <t>PVT-00095742</t>
  </si>
  <si>
    <t>PVT-00095743</t>
  </si>
  <si>
    <t>SUPERMOTOS DEL VALLE S.A.S  PALMIRA</t>
  </si>
  <si>
    <t>PVT-00095749</t>
  </si>
  <si>
    <t>PVT-00095750</t>
  </si>
  <si>
    <t>SUPERMOTOS DE SANTANDER S.A.SB/CABERMEJA</t>
  </si>
  <si>
    <t>PVT-00095751</t>
  </si>
  <si>
    <t>SUPERMOTOS DE SANTANDER S.ASB/MANGACRA21</t>
  </si>
  <si>
    <t>PVT-00095753</t>
  </si>
  <si>
    <t>SUPERMOTOS DE SANTANDER S.ASP/CUESTACRA1</t>
  </si>
  <si>
    <t>PVT-00095755</t>
  </si>
  <si>
    <t>PVT-00095756</t>
  </si>
  <si>
    <t>SUPERMOTOS DE SANTANDER S.A.S/FLORIDABLA</t>
  </si>
  <si>
    <t>PVT-00095757</t>
  </si>
  <si>
    <t>PVT-00095760</t>
  </si>
  <si>
    <t>PVT-00095762</t>
  </si>
  <si>
    <t>PVT-00095763</t>
  </si>
  <si>
    <t>PVT-00095771</t>
  </si>
  <si>
    <t>SUPERMOTOS DE ANTIOQUIA S.A.  ENVIGADO</t>
  </si>
  <si>
    <t>PVT-00095773</t>
  </si>
  <si>
    <t>SUPERMOTOS DE ANTIOQUIA S.A.  BELLO</t>
  </si>
  <si>
    <t>PVT-00095774</t>
  </si>
  <si>
    <t>SUPERMOTOS DE ANTIOQUIA S.A.  RIONEGRO</t>
  </si>
  <si>
    <t>BLANCO RO</t>
  </si>
  <si>
    <t>PVT-00095775</t>
  </si>
  <si>
    <t>SUPERMOTOS DE ANTIOQUIA S.A. MEDELLIN</t>
  </si>
  <si>
    <t>PVT-00095806</t>
  </si>
  <si>
    <t>SUPREMOTOS SINCELEJO</t>
  </si>
  <si>
    <t>PVT-00095807</t>
  </si>
  <si>
    <t>PVT-00095808</t>
  </si>
  <si>
    <t>SUPREMOTOS COROZAL</t>
  </si>
  <si>
    <t>PVT-00095809</t>
  </si>
  <si>
    <t>SUPREMOTOS CHINU</t>
  </si>
  <si>
    <t>PVT-00095810</t>
  </si>
  <si>
    <t>PVT-00095813</t>
  </si>
  <si>
    <t>SUPERMOTOS DE NARIÑO SAS IPIALES</t>
  </si>
  <si>
    <t>PVT-00095814</t>
  </si>
  <si>
    <t>SUPERMOTOS DE NARIÑO SAS TUQUERRES</t>
  </si>
  <si>
    <t>PVT-00095815</t>
  </si>
  <si>
    <t>SUPERMOTOS DE NARIÑO SAS LA UNION</t>
  </si>
  <si>
    <t>PVT-00095817</t>
  </si>
  <si>
    <t>PVT-00005424</t>
  </si>
  <si>
    <t>PVT-00005425</t>
  </si>
  <si>
    <t>PVT-00005426</t>
  </si>
  <si>
    <t>PVT-00005427</t>
  </si>
  <si>
    <t>PVT-00005429</t>
  </si>
  <si>
    <t>PVT-00005430</t>
  </si>
  <si>
    <t>PVT-00005431</t>
  </si>
  <si>
    <t>PVT-00005432</t>
  </si>
  <si>
    <t>PVT-00005433</t>
  </si>
  <si>
    <t>PVT-00005434</t>
  </si>
  <si>
    <t>PVT-00005435</t>
  </si>
  <si>
    <t>PVT-00005436</t>
  </si>
  <si>
    <t>PVT-00005439</t>
  </si>
  <si>
    <t>PVT-00005442</t>
  </si>
  <si>
    <t>PVT-00005444</t>
  </si>
  <si>
    <t>PVT-00005445</t>
  </si>
  <si>
    <t>PVT-00005446</t>
  </si>
  <si>
    <t>PVT-00005447</t>
  </si>
  <si>
    <t>PVT-00005448</t>
  </si>
  <si>
    <t>PVT-00005449</t>
  </si>
  <si>
    <t>PVT-00005451</t>
  </si>
  <si>
    <t>PVT-00005452</t>
  </si>
  <si>
    <t>PVT-00005456</t>
  </si>
  <si>
    <t>PVT-00005459</t>
  </si>
  <si>
    <t>PVT-00005461</t>
  </si>
  <si>
    <t>PVT-00005462</t>
  </si>
  <si>
    <t>PVT-00005463</t>
  </si>
  <si>
    <t>PVT-00005464</t>
  </si>
  <si>
    <t>PVT-00005466</t>
  </si>
  <si>
    <t>PVT-00005468</t>
  </si>
  <si>
    <t>PVT-00005469</t>
  </si>
  <si>
    <t>PVT-00005471</t>
  </si>
  <si>
    <t>PVT-00005472</t>
  </si>
  <si>
    <t>PVT-00005473</t>
  </si>
  <si>
    <t>PVT-00005475</t>
  </si>
  <si>
    <t>PVT-00005476</t>
  </si>
  <si>
    <t>PVT-00005477</t>
  </si>
  <si>
    <t>PVT-00005483</t>
  </si>
  <si>
    <t>Sur R2</t>
  </si>
  <si>
    <t>FACTURAS VENCIDAS</t>
  </si>
  <si>
    <t>Centro R2</t>
  </si>
  <si>
    <t>Sur R1</t>
  </si>
  <si>
    <t>Norte R1</t>
  </si>
  <si>
    <t>Centro R3</t>
  </si>
  <si>
    <t>Sur R3</t>
  </si>
  <si>
    <t>MOTOS LA FRONTERA</t>
  </si>
  <si>
    <t>Norte R2</t>
  </si>
  <si>
    <t>Centro R1</t>
  </si>
  <si>
    <t>PROCESOS ENERGETICOS INTEGRALES LTDA</t>
  </si>
  <si>
    <t>G Y D MOTOS S.A.S</t>
  </si>
  <si>
    <t>MOTOCARIBE S.A.S</t>
  </si>
  <si>
    <t xml:space="preserve">ZUPERMOTOS DEL GOLFO SAS </t>
  </si>
  <si>
    <t>LA BUENA HONDA DE LA SABANA</t>
  </si>
  <si>
    <t>RESTREPO JIMENEZ LUIS EDUARDO</t>
  </si>
  <si>
    <t>ALMACENES SERGO LTDA</t>
  </si>
  <si>
    <t>SUR OCC</t>
  </si>
  <si>
    <t>COMERCIALIZADORA FORTALECHE SAS</t>
  </si>
  <si>
    <t>MONJE MORCILLO EDWARD FELIPE - SERVIMOTOS DEL CAUCA</t>
  </si>
  <si>
    <t>MOTOMAYORISTA S.A.</t>
  </si>
  <si>
    <t>ORIENTE</t>
  </si>
  <si>
    <t>INVERSIONES ALVAREZ ARBOLEDA S.A.S.</t>
  </si>
  <si>
    <t>CAMACHO SUAREZ NELSON DAMIAN - ALMACEN MOTO WORLD</t>
  </si>
  <si>
    <t>ROMERO COCA JORGE (HONDA AJ DISTRIBUIDORA DEL SUR)</t>
  </si>
  <si>
    <t>GOMEZ GUERRERO MAURICIO - C&amp;M FINANCIAMOS</t>
  </si>
  <si>
    <t>CANOMOTOS ANDES SAS</t>
  </si>
  <si>
    <t>HONDA - SUR MOTOS Y REPUESTOS S.A.S</t>
  </si>
  <si>
    <t>HONDA FULL ORIENTE S.A.S.</t>
  </si>
  <si>
    <t>ARDILA MIRANDA DANIEL (SERVIREPUESTOS ARDILA)</t>
  </si>
  <si>
    <t>GARCIA QUINTERO LUZ ENIR - SOLOMOTOS MILENIO</t>
  </si>
  <si>
    <t>JIMENEZ ESTEBAN GERMAN ROBERTO - PROMOTORA DE MOTOS</t>
  </si>
  <si>
    <t>HONDA PITS</t>
  </si>
  <si>
    <t xml:space="preserve">CASTILLO NOGUERA LEIDY ALEJANDRA (COMERCIALIZADORA ARTURO MOTOS) </t>
  </si>
  <si>
    <t>HONDA STORE S.A.S</t>
  </si>
  <si>
    <t>TRAVEL MOTOCICLETAS SAS</t>
  </si>
  <si>
    <t>RUBE MOTOS S.A.S</t>
  </si>
  <si>
    <t>CASAMOTO S.A.S</t>
  </si>
  <si>
    <t>HONDA MOTOBOY EU</t>
  </si>
  <si>
    <t>MERCHAN RUEDA JENNIFER CAROLINA</t>
  </si>
  <si>
    <t>DELCO S.A.</t>
  </si>
  <si>
    <t>Sur</t>
  </si>
  <si>
    <t>SUPERMOTOS DE CALI S.A.S</t>
  </si>
  <si>
    <t>SUPERMOTOS DEL VALLE S.A.S</t>
  </si>
  <si>
    <t>TULUAMOTOS S.A</t>
  </si>
  <si>
    <t>Centro</t>
  </si>
  <si>
    <t>Norte</t>
  </si>
  <si>
    <t>1.2.A</t>
  </si>
  <si>
    <t>1.3.A</t>
  </si>
  <si>
    <t>1.3.B</t>
  </si>
  <si>
    <t>10.1</t>
  </si>
  <si>
    <t>10.1.A</t>
  </si>
  <si>
    <t>10.2</t>
  </si>
  <si>
    <t>11.1.A</t>
  </si>
  <si>
    <t>4.1</t>
  </si>
  <si>
    <t>4.1.A</t>
  </si>
  <si>
    <t>4.1.B</t>
  </si>
  <si>
    <t>5.0</t>
  </si>
  <si>
    <t>5.1</t>
  </si>
  <si>
    <t>5.2</t>
  </si>
  <si>
    <t>5.2.A</t>
  </si>
  <si>
    <t>5.2.B</t>
  </si>
  <si>
    <t>6.1.A</t>
  </si>
  <si>
    <t>6.3</t>
  </si>
  <si>
    <t>7.1</t>
  </si>
  <si>
    <t>7.1.A</t>
  </si>
  <si>
    <t>8.1</t>
  </si>
  <si>
    <t>8.1.A</t>
  </si>
  <si>
    <t>8.2</t>
  </si>
  <si>
    <t>8.2.A</t>
  </si>
  <si>
    <t>8.3</t>
  </si>
  <si>
    <t>8.3.A</t>
  </si>
  <si>
    <t>9.1</t>
  </si>
  <si>
    <t>9.2.A</t>
  </si>
  <si>
    <t>#N/A</t>
  </si>
  <si>
    <t>01-09-08-E-SG-1</t>
  </si>
  <si>
    <t>(Todas)</t>
  </si>
  <si>
    <t>Total 01-09-08-E-SG-1</t>
  </si>
  <si>
    <t>Total PVT-00095581</t>
  </si>
  <si>
    <t>Desc detalle ext 1</t>
  </si>
  <si>
    <t>RAZON SOCIAL  NOMBRE DEL ESTABLECIMIENTO</t>
  </si>
  <si>
    <t>COMERCIALIZADORA ALCALA MOTOR S.A.S</t>
  </si>
  <si>
    <t>SUPERMOTOS DEL CAFE S.A.S</t>
  </si>
  <si>
    <t>SUPERMOTOS DE GIRARDOT S.A.S</t>
  </si>
  <si>
    <t>SUPERMOTOS DE BOGOTA S.A.S</t>
  </si>
  <si>
    <t>SUPERMOTOS DE MEDELLIN S.A.S</t>
  </si>
  <si>
    <t>SUPERMOTOS DE ANTIOQUIA S.A</t>
  </si>
  <si>
    <t>SUPERMOTOS DEL MAGDALENA S.A</t>
  </si>
  <si>
    <t>SUPERMOTOS DE BOLIVAR S.A</t>
  </si>
  <si>
    <t>SUPERMOTOS DEL CESAR S.A.S</t>
  </si>
  <si>
    <t>SUPERMOTOS DEL ORIENTE S.A.S</t>
  </si>
  <si>
    <t>MOTO PREMIUM DE OCCIDENTE</t>
  </si>
  <si>
    <t>ROSAS BAZANTE JORGE</t>
  </si>
  <si>
    <t>INV. LOPEZ CADAVID Y CIA LTD</t>
  </si>
  <si>
    <t>LA BUENA HONDA DEL CARIBE S.A</t>
  </si>
  <si>
    <t>ZUPERMOTO S.A</t>
  </si>
  <si>
    <t>REGUEMOTOS S.A.S</t>
  </si>
  <si>
    <t>YOKO MOTOS S.A.S</t>
  </si>
  <si>
    <t>GUERRERO RODRIGUEZ YULIANA PAOLA</t>
  </si>
  <si>
    <t>Desc sucursal factura</t>
  </si>
  <si>
    <t>Precio unit</t>
  </si>
  <si>
    <t>Cant pendiente</t>
  </si>
  <si>
    <t>Cant pedida</t>
  </si>
  <si>
    <t>MOTO AGRO DEL SINU S.A</t>
  </si>
  <si>
    <r>
      <t xml:space="preserve">A. VELEZ U. &amp; CIA. DEPOSITOS MIRANDA LIMITADA </t>
    </r>
    <r>
      <rPr>
        <b/>
        <sz val="11"/>
        <color theme="1"/>
        <rFont val="Calibri"/>
        <family val="2"/>
        <scheme val="minor"/>
      </rPr>
      <t>(SUCURSAL # 2)</t>
    </r>
  </si>
  <si>
    <t>SUPERMOTOS DE BOLIVAR S.A.S.CASTELLANA</t>
  </si>
  <si>
    <t>SUPREMOTOS S.A.S. SAN CARLOS</t>
  </si>
  <si>
    <t>MOTO HOGAR C.L.R.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</si>
</sst>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#,##0_ ;\-#,##0\ "/>
    <numFmt numFmtId="168" formatCode="_ * #,##0.00_ ;_ * \-#,##0.00_ ;_ * &quot;-&quot;??_ ;_ @_ "/>
    <numFmt numFmtId="169" formatCode="&quot;$&quot;#,##0.00_);[Red]\(&quot;$&quot;#,##0.00\)"/>
    <numFmt numFmtId="170" formatCode="&quot;$&quot;#,##0_);[Red]\(&quot;$&quot;#,##0\)"/>
    <numFmt numFmtId="171" formatCode="_(* #,##0_);_(* \(#,##0\);_(* &quot;-&quot;??_);_(@_)"/>
    <numFmt numFmtId="172" formatCode="_ * #,##0_ ;_ * \-#,##0_ ;_ * &quot;-&quot;??_ ;_ @_ "/>
    <numFmt numFmtId="173" formatCode="[$-240A]h:mm:ss\ AM/PM;@"/>
    <numFmt numFmtId="174" formatCode="&quot;$&quot;\ #,##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5"/>
      <name val="Tahoma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0"/>
      <name val="Aharoni"/>
      <charset val="177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Calibri"/>
      <family val="2"/>
      <scheme val="minor"/>
    </font>
    <font>
      <sz val="10"/>
      <color rgb="FFFF0000"/>
      <name val="Tahom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165" fontId="14" fillId="0" borderId="0" applyFont="0" applyFill="0" applyBorder="0" applyAlignment="0" applyProtection="0"/>
    <xf numFmtId="0" fontId="1" fillId="0" borderId="0"/>
    <xf numFmtId="0" fontId="1" fillId="5" borderId="6" applyNumberFormat="0" applyFont="0" applyAlignment="0" applyProtection="0"/>
    <xf numFmtId="9" fontId="14" fillId="0" borderId="0" applyFont="0" applyFill="0" applyBorder="0" applyAlignment="0" applyProtection="0"/>
    <xf numFmtId="0" fontId="1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165" fontId="18" fillId="0" borderId="0" applyFont="0" applyFill="0" applyBorder="0" applyAlignment="0" applyProtection="0"/>
    <xf numFmtId="0" fontId="19" fillId="38" borderId="12" applyNumberFormat="0" applyAlignment="0" applyProtection="0"/>
    <xf numFmtId="0" fontId="22" fillId="36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37" borderId="11" applyNumberFormat="0" applyAlignment="0" applyProtection="0"/>
    <xf numFmtId="0" fontId="25" fillId="0" borderId="13" applyNumberFormat="0" applyFill="0" applyAlignment="0" applyProtection="0"/>
    <xf numFmtId="168" fontId="14" fillId="0" borderId="0" applyFont="0" applyFill="0" applyBorder="0" applyAlignment="0" applyProtection="0"/>
    <xf numFmtId="0" fontId="14" fillId="39" borderId="14" applyNumberFormat="0" applyFont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39" borderId="14" applyNumberFormat="0" applyFont="0" applyAlignment="0" applyProtection="0"/>
    <xf numFmtId="9" fontId="13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</cellStyleXfs>
  <cellXfs count="253">
    <xf numFmtId="0" fontId="0" fillId="0" borderId="0" xfId="0"/>
    <xf numFmtId="0" fontId="0" fillId="0" borderId="0" xfId="0"/>
    <xf numFmtId="0" fontId="15" fillId="33" borderId="9" xfId="41" applyFont="1" applyFill="1" applyBorder="1"/>
    <xf numFmtId="0" fontId="16" fillId="34" borderId="9" xfId="0" applyFont="1" applyFill="1" applyBorder="1"/>
    <xf numFmtId="0" fontId="0" fillId="33" borderId="0" xfId="0" applyFill="1" applyAlignment="1">
      <alignment horizontal="center"/>
    </xf>
    <xf numFmtId="0" fontId="0" fillId="33" borderId="0" xfId="0" applyFill="1"/>
    <xf numFmtId="166" fontId="0" fillId="0" borderId="0" xfId="0" applyNumberFormat="1"/>
    <xf numFmtId="170" fontId="28" fillId="0" borderId="0" xfId="0" applyNumberFormat="1" applyFont="1"/>
    <xf numFmtId="0" fontId="28" fillId="0" borderId="0" xfId="0" applyNumberFormat="1" applyFont="1"/>
    <xf numFmtId="166" fontId="28" fillId="0" borderId="0" xfId="1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0" fontId="28" fillId="41" borderId="0" xfId="0" applyFont="1" applyFill="1"/>
    <xf numFmtId="0" fontId="28" fillId="0" borderId="0" xfId="0" applyNumberFormat="1" applyFont="1" applyAlignment="1">
      <alignment horizontal="center"/>
    </xf>
    <xf numFmtId="0" fontId="28" fillId="41" borderId="0" xfId="0" applyFont="1" applyFill="1" applyAlignment="1">
      <alignment horizontal="center"/>
    </xf>
    <xf numFmtId="164" fontId="28" fillId="0" borderId="0" xfId="1" applyFont="1" applyAlignment="1">
      <alignment horizontal="left"/>
    </xf>
    <xf numFmtId="166" fontId="28" fillId="0" borderId="0" xfId="1" applyNumberFormat="1" applyFont="1" applyAlignment="1">
      <alignment horizontal="center"/>
    </xf>
    <xf numFmtId="164" fontId="28" fillId="0" borderId="0" xfId="1" applyFont="1" applyAlignment="1">
      <alignment horizontal="center"/>
    </xf>
    <xf numFmtId="0" fontId="10" fillId="33" borderId="0" xfId="0" applyFont="1" applyFill="1"/>
    <xf numFmtId="0" fontId="10" fillId="33" borderId="0" xfId="0" applyFont="1" applyFill="1" applyAlignment="1">
      <alignment horizontal="center"/>
    </xf>
    <xf numFmtId="18" fontId="0" fillId="33" borderId="0" xfId="0" applyNumberFormat="1" applyFill="1" applyAlignment="1">
      <alignment horizontal="center"/>
    </xf>
    <xf numFmtId="0" fontId="28" fillId="41" borderId="0" xfId="0" applyFont="1" applyFill="1" applyAlignment="1"/>
    <xf numFmtId="0" fontId="0" fillId="42" borderId="15" xfId="0" applyFont="1" applyFill="1" applyBorder="1"/>
    <xf numFmtId="0" fontId="0" fillId="0" borderId="0" xfId="0"/>
    <xf numFmtId="0" fontId="28" fillId="0" borderId="0" xfId="1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6" xfId="0" applyFont="1" applyFill="1" applyBorder="1"/>
    <xf numFmtId="0" fontId="15" fillId="33" borderId="16" xfId="41" applyFont="1" applyFill="1" applyBorder="1"/>
    <xf numFmtId="0" fontId="0" fillId="0" borderId="9" xfId="0" applyBorder="1"/>
    <xf numFmtId="0" fontId="28" fillId="0" borderId="9" xfId="0" applyFont="1" applyBorder="1"/>
    <xf numFmtId="0" fontId="15" fillId="33" borderId="17" xfId="41" applyFont="1" applyFill="1" applyBorder="1"/>
    <xf numFmtId="0" fontId="0" fillId="0" borderId="0" xfId="0"/>
    <xf numFmtId="0" fontId="28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49" fontId="0" fillId="33" borderId="0" xfId="0" applyNumberFormat="1" applyFill="1" applyAlignment="1"/>
    <xf numFmtId="0" fontId="30" fillId="33" borderId="0" xfId="0" applyFont="1" applyFill="1"/>
    <xf numFmtId="0" fontId="30" fillId="0" borderId="0" xfId="0" applyFont="1"/>
    <xf numFmtId="0" fontId="17" fillId="33" borderId="0" xfId="0" applyFont="1" applyFill="1"/>
    <xf numFmtId="0" fontId="17" fillId="0" borderId="0" xfId="0" applyFont="1"/>
    <xf numFmtId="0" fontId="17" fillId="0" borderId="0" xfId="0" applyNumberFormat="1" applyFont="1"/>
    <xf numFmtId="0" fontId="30" fillId="0" borderId="0" xfId="0" pivotButton="1" applyFont="1"/>
    <xf numFmtId="0" fontId="28" fillId="33" borderId="0" xfId="0" applyFont="1" applyFill="1"/>
    <xf numFmtId="0" fontId="0" fillId="0" borderId="0" xfId="0" applyFont="1"/>
    <xf numFmtId="0" fontId="0" fillId="33" borderId="0" xfId="0" applyFont="1" applyFill="1"/>
    <xf numFmtId="0" fontId="17" fillId="33" borderId="0" xfId="0" applyNumberFormat="1" applyFont="1" applyFill="1"/>
    <xf numFmtId="0" fontId="17" fillId="33" borderId="0" xfId="0" applyFont="1" applyFill="1" applyBorder="1"/>
    <xf numFmtId="0" fontId="17" fillId="33" borderId="0" xfId="0" applyFont="1" applyFill="1" applyBorder="1" applyAlignment="1">
      <alignment horizontal="left"/>
    </xf>
    <xf numFmtId="0" fontId="17" fillId="33" borderId="0" xfId="0" applyNumberFormat="1" applyFont="1" applyFill="1" applyBorder="1"/>
    <xf numFmtId="0" fontId="31" fillId="33" borderId="0" xfId="0" applyFont="1" applyFill="1" applyBorder="1" applyAlignment="1">
      <alignment horizontal="left"/>
    </xf>
    <xf numFmtId="0" fontId="31" fillId="33" borderId="0" xfId="0" applyNumberFormat="1" applyFont="1" applyFill="1" applyBorder="1"/>
    <xf numFmtId="0" fontId="17" fillId="33" borderId="0" xfId="0" applyFont="1" applyFill="1" applyBorder="1" applyAlignment="1">
      <alignment horizontal="center"/>
    </xf>
    <xf numFmtId="0" fontId="31" fillId="33" borderId="0" xfId="0" applyFont="1" applyFill="1" applyBorder="1" applyAlignment="1"/>
    <xf numFmtId="0" fontId="31" fillId="30" borderId="0" xfId="0" applyFont="1" applyFill="1"/>
    <xf numFmtId="0" fontId="31" fillId="30" borderId="0" xfId="0" applyFont="1" applyFill="1" applyAlignment="1">
      <alignment horizontal="center"/>
    </xf>
    <xf numFmtId="0" fontId="31" fillId="45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173" fontId="17" fillId="33" borderId="0" xfId="0" applyNumberFormat="1" applyFont="1" applyFill="1" applyAlignment="1">
      <alignment horizontal="center"/>
    </xf>
    <xf numFmtId="0" fontId="31" fillId="33" borderId="19" xfId="0" applyFont="1" applyFill="1" applyBorder="1"/>
    <xf numFmtId="0" fontId="31" fillId="33" borderId="19" xfId="0" applyNumberFormat="1" applyFont="1" applyFill="1" applyBorder="1"/>
    <xf numFmtId="49" fontId="17" fillId="33" borderId="0" xfId="0" applyNumberFormat="1" applyFont="1" applyFill="1"/>
    <xf numFmtId="18" fontId="17" fillId="33" borderId="0" xfId="0" applyNumberFormat="1" applyFont="1" applyFill="1"/>
    <xf numFmtId="1" fontId="17" fillId="33" borderId="0" xfId="0" applyNumberFormat="1" applyFont="1" applyFill="1"/>
    <xf numFmtId="0" fontId="28" fillId="33" borderId="0" xfId="0" applyFont="1" applyFill="1" applyAlignment="1">
      <alignment horizontal="center"/>
    </xf>
    <xf numFmtId="164" fontId="28" fillId="33" borderId="0" xfId="1" applyFont="1" applyFill="1" applyAlignment="1">
      <alignment horizontal="left"/>
    </xf>
    <xf numFmtId="0" fontId="32" fillId="43" borderId="0" xfId="0" applyFont="1" applyFill="1" applyAlignment="1">
      <alignment horizontal="center"/>
    </xf>
    <xf numFmtId="0" fontId="32" fillId="43" borderId="0" xfId="0" applyFont="1" applyFill="1"/>
    <xf numFmtId="0" fontId="28" fillId="46" borderId="0" xfId="0" applyFont="1" applyFill="1" applyAlignment="1"/>
    <xf numFmtId="0" fontId="28" fillId="46" borderId="0" xfId="0" applyFont="1" applyFill="1" applyAlignment="1">
      <alignment horizontal="center"/>
    </xf>
    <xf numFmtId="164" fontId="28" fillId="46" borderId="0" xfId="1" applyFont="1" applyFill="1" applyAlignment="1">
      <alignment horizontal="left"/>
    </xf>
    <xf numFmtId="0" fontId="29" fillId="47" borderId="0" xfId="0" applyFont="1" applyFill="1" applyAlignment="1">
      <alignment horizontal="center"/>
    </xf>
    <xf numFmtId="0" fontId="10" fillId="47" borderId="0" xfId="0" applyFont="1" applyFill="1"/>
    <xf numFmtId="0" fontId="17" fillId="31" borderId="0" xfId="0" applyFont="1" applyFill="1" applyAlignment="1">
      <alignment horizontal="center"/>
    </xf>
    <xf numFmtId="0" fontId="17" fillId="31" borderId="0" xfId="0" applyFont="1" applyFill="1" applyBorder="1" applyAlignment="1">
      <alignment horizontal="center"/>
    </xf>
    <xf numFmtId="0" fontId="32" fillId="43" borderId="0" xfId="0" applyFont="1" applyFill="1" applyAlignment="1">
      <alignment vertical="center" wrapText="1"/>
    </xf>
    <xf numFmtId="0" fontId="32" fillId="48" borderId="0" xfId="0" applyFont="1" applyFill="1" applyAlignment="1">
      <alignment horizontal="center"/>
    </xf>
    <xf numFmtId="0" fontId="17" fillId="31" borderId="0" xfId="0" quotePrefix="1" applyFont="1" applyFill="1" applyAlignment="1">
      <alignment horizontal="center"/>
    </xf>
    <xf numFmtId="0" fontId="0" fillId="0" borderId="0" xfId="0"/>
    <xf numFmtId="0" fontId="0" fillId="33" borderId="0" xfId="0" applyFill="1"/>
    <xf numFmtId="0" fontId="28" fillId="0" borderId="0" xfId="0" applyNumberFormat="1" applyFont="1"/>
    <xf numFmtId="0" fontId="28" fillId="0" borderId="0" xfId="0" applyFont="1"/>
    <xf numFmtId="0" fontId="28" fillId="0" borderId="0" xfId="0" pivotButton="1" applyFont="1"/>
    <xf numFmtId="0" fontId="28" fillId="33" borderId="0" xfId="0" applyFont="1" applyFill="1"/>
    <xf numFmtId="0" fontId="0" fillId="42" borderId="9" xfId="0" applyFont="1" applyFill="1" applyBorder="1"/>
    <xf numFmtId="0" fontId="33" fillId="33" borderId="0" xfId="0" applyFont="1" applyFill="1"/>
    <xf numFmtId="0" fontId="33" fillId="33" borderId="0" xfId="0" applyNumberFormat="1" applyFont="1" applyFill="1"/>
    <xf numFmtId="0" fontId="17" fillId="44" borderId="0" xfId="0" applyFont="1" applyFill="1" applyAlignment="1">
      <alignment horizontal="center"/>
    </xf>
    <xf numFmtId="0" fontId="0" fillId="0" borderId="0" xfId="0"/>
    <xf numFmtId="14" fontId="0" fillId="0" borderId="0" xfId="0" applyNumberFormat="1"/>
    <xf numFmtId="0" fontId="17" fillId="0" borderId="0" xfId="0" applyFont="1" applyAlignment="1">
      <alignment horizontal="left"/>
    </xf>
    <xf numFmtId="0" fontId="17" fillId="33" borderId="9" xfId="0" applyFont="1" applyFill="1" applyBorder="1"/>
    <xf numFmtId="0" fontId="34" fillId="33" borderId="0" xfId="0" applyFont="1" applyFill="1" applyAlignment="1">
      <alignment horizontal="center"/>
    </xf>
    <xf numFmtId="0" fontId="31" fillId="31" borderId="0" xfId="0" applyFont="1" applyFill="1"/>
    <xf numFmtId="0" fontId="31" fillId="33" borderId="9" xfId="0" applyFont="1" applyFill="1" applyBorder="1"/>
    <xf numFmtId="0" fontId="10" fillId="33" borderId="0" xfId="0" applyFont="1" applyFill="1" applyAlignment="1">
      <alignment horizontal="center" wrapText="1"/>
    </xf>
    <xf numFmtId="0" fontId="35" fillId="33" borderId="0" xfId="93" applyFill="1" applyAlignment="1" applyProtection="1">
      <alignment wrapText="1"/>
    </xf>
    <xf numFmtId="0" fontId="35" fillId="33" borderId="0" xfId="93" applyFill="1" applyAlignment="1" applyProtection="1"/>
    <xf numFmtId="0" fontId="0" fillId="33" borderId="0" xfId="0" applyFill="1" applyAlignment="1">
      <alignment wrapText="1"/>
    </xf>
    <xf numFmtId="0" fontId="0" fillId="50" borderId="15" xfId="0" applyFont="1" applyFill="1" applyBorder="1"/>
    <xf numFmtId="0" fontId="0" fillId="33" borderId="15" xfId="0" applyFont="1" applyFill="1" applyBorder="1"/>
    <xf numFmtId="0" fontId="36" fillId="33" borderId="0" xfId="0" applyFont="1" applyFill="1" applyAlignment="1">
      <alignment horizontal="center"/>
    </xf>
    <xf numFmtId="0" fontId="37" fillId="45" borderId="0" xfId="0" applyFont="1" applyFill="1" applyAlignment="1">
      <alignment horizontal="center"/>
    </xf>
    <xf numFmtId="0" fontId="17" fillId="31" borderId="0" xfId="0" applyNumberFormat="1" applyFont="1" applyFill="1"/>
    <xf numFmtId="0" fontId="36" fillId="31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5" xfId="0" applyFont="1" applyBorder="1"/>
    <xf numFmtId="174" fontId="0" fillId="0" borderId="0" xfId="0" applyNumberFormat="1"/>
    <xf numFmtId="0" fontId="0" fillId="50" borderId="9" xfId="0" applyFont="1" applyFill="1" applyBorder="1"/>
    <xf numFmtId="0" fontId="0" fillId="33" borderId="9" xfId="0" applyFill="1" applyBorder="1"/>
    <xf numFmtId="0" fontId="0" fillId="0" borderId="9" xfId="0" applyFont="1" applyBorder="1"/>
    <xf numFmtId="0" fontId="15" fillId="33" borderId="0" xfId="41" applyFont="1" applyFill="1" applyBorder="1"/>
    <xf numFmtId="0" fontId="15" fillId="33" borderId="15" xfId="41" applyFont="1" applyFill="1" applyBorder="1"/>
    <xf numFmtId="0" fontId="0" fillId="0" borderId="0" xfId="0" applyBorder="1"/>
    <xf numFmtId="0" fontId="17" fillId="31" borderId="0" xfId="0" applyNumberFormat="1" applyFont="1" applyFill="1" applyAlignment="1">
      <alignment horizontal="center"/>
    </xf>
    <xf numFmtId="0" fontId="17" fillId="31" borderId="0" xfId="0" applyNumberFormat="1" applyFont="1" applyFill="1" applyAlignment="1"/>
    <xf numFmtId="0" fontId="0" fillId="0" borderId="0" xfId="0"/>
    <xf numFmtId="0" fontId="38" fillId="33" borderId="0" xfId="0" applyFont="1" applyFill="1"/>
    <xf numFmtId="0" fontId="16" fillId="34" borderId="22" xfId="0" applyFont="1" applyFill="1" applyBorder="1" applyAlignment="1">
      <alignment horizontal="left"/>
    </xf>
    <xf numFmtId="0" fontId="15" fillId="33" borderId="23" xfId="41" applyFont="1" applyFill="1" applyBorder="1" applyAlignment="1">
      <alignment horizontal="left"/>
    </xf>
    <xf numFmtId="0" fontId="28" fillId="33" borderId="9" xfId="0" applyFont="1" applyFill="1" applyBorder="1"/>
    <xf numFmtId="14" fontId="0" fillId="33" borderId="9" xfId="0" applyNumberFormat="1" applyFill="1" applyBorder="1"/>
    <xf numFmtId="0" fontId="15" fillId="33" borderId="9" xfId="41" applyFont="1" applyFill="1" applyBorder="1" applyAlignment="1">
      <alignment horizontal="left"/>
    </xf>
    <xf numFmtId="0" fontId="35" fillId="0" borderId="0" xfId="93" applyAlignment="1" applyProtection="1">
      <alignment vertic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19" fontId="0" fillId="33" borderId="0" xfId="0" applyNumberFormat="1" applyFill="1"/>
    <xf numFmtId="17" fontId="28" fillId="0" borderId="0" xfId="0" applyNumberFormat="1" applyFont="1"/>
    <xf numFmtId="0" fontId="0" fillId="33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39" fillId="0" borderId="0" xfId="0" pivotButton="1" applyFont="1"/>
    <xf numFmtId="0" fontId="39" fillId="0" borderId="0" xfId="0" applyFont="1"/>
    <xf numFmtId="0" fontId="39" fillId="0" borderId="0" xfId="0" applyFont="1" applyAlignment="1">
      <alignment horizontal="left"/>
    </xf>
    <xf numFmtId="0" fontId="39" fillId="0" borderId="0" xfId="0" applyNumberFormat="1" applyFont="1"/>
    <xf numFmtId="0" fontId="40" fillId="33" borderId="0" xfId="0" applyFont="1" applyFill="1"/>
    <xf numFmtId="0" fontId="40" fillId="33" borderId="0" xfId="0" applyNumberFormat="1" applyFont="1" applyFill="1"/>
    <xf numFmtId="0" fontId="39" fillId="0" borderId="0" xfId="0" applyFont="1" applyAlignment="1">
      <alignment horizontal="left" indent="1"/>
    </xf>
    <xf numFmtId="0" fontId="39" fillId="0" borderId="0" xfId="0" applyFont="1" applyAlignment="1">
      <alignment horizontal="left" indent="2"/>
    </xf>
    <xf numFmtId="0" fontId="39" fillId="0" borderId="0" xfId="0" applyFont="1" applyAlignment="1">
      <alignment horizontal="left" indent="3"/>
    </xf>
    <xf numFmtId="0" fontId="28" fillId="49" borderId="0" xfId="0" applyNumberFormat="1" applyFont="1" applyFill="1"/>
    <xf numFmtId="0" fontId="39" fillId="49" borderId="0" xfId="0" applyFont="1" applyFill="1" applyAlignment="1">
      <alignment horizontal="left"/>
    </xf>
    <xf numFmtId="0" fontId="0" fillId="54" borderId="0" xfId="0" applyFill="1"/>
    <xf numFmtId="0" fontId="28" fillId="49" borderId="0" xfId="0" applyFont="1" applyFill="1"/>
    <xf numFmtId="1" fontId="32" fillId="43" borderId="0" xfId="0" applyNumberFormat="1" applyFont="1" applyFill="1" applyAlignment="1">
      <alignment horizontal="center"/>
    </xf>
    <xf numFmtId="1" fontId="17" fillId="31" borderId="0" xfId="0" applyNumberFormat="1" applyFont="1" applyFill="1"/>
    <xf numFmtId="1" fontId="17" fillId="33" borderId="0" xfId="0" applyNumberFormat="1" applyFont="1" applyFill="1" applyAlignment="1">
      <alignment horizontal="center"/>
    </xf>
    <xf numFmtId="0" fontId="41" fillId="51" borderId="20" xfId="0" applyFont="1" applyFill="1" applyBorder="1" applyAlignment="1">
      <alignment horizontal="center" vertical="center" wrapText="1"/>
    </xf>
    <xf numFmtId="0" fontId="41" fillId="51" borderId="21" xfId="0" applyFont="1" applyFill="1" applyBorder="1" applyAlignment="1">
      <alignment horizontal="center" vertical="center" wrapText="1"/>
    </xf>
    <xf numFmtId="171" fontId="42" fillId="40" borderId="18" xfId="83" applyNumberFormat="1" applyFont="1" applyFill="1" applyBorder="1" applyAlignment="1">
      <alignment horizontal="center" vertical="center" wrapText="1"/>
    </xf>
    <xf numFmtId="0" fontId="43" fillId="33" borderId="0" xfId="0" applyFont="1" applyFill="1"/>
    <xf numFmtId="0" fontId="43" fillId="0" borderId="0" xfId="0" applyFont="1"/>
    <xf numFmtId="0" fontId="44" fillId="0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vertical="center"/>
    </xf>
    <xf numFmtId="0" fontId="45" fillId="0" borderId="20" xfId="0" applyFont="1" applyFill="1" applyBorder="1" applyAlignment="1">
      <alignment horizontal="left" vertical="center"/>
    </xf>
    <xf numFmtId="167" fontId="46" fillId="0" borderId="20" xfId="0" applyNumberFormat="1" applyFont="1" applyFill="1" applyBorder="1" applyAlignment="1">
      <alignment horizontal="center" vertical="center"/>
    </xf>
    <xf numFmtId="3" fontId="45" fillId="0" borderId="20" xfId="0" applyNumberFormat="1" applyFont="1" applyFill="1" applyBorder="1" applyAlignment="1">
      <alignment vertical="center"/>
    </xf>
    <xf numFmtId="0" fontId="47" fillId="0" borderId="0" xfId="0" applyFont="1" applyFill="1" applyBorder="1" applyAlignment="1">
      <alignment horizontal="right" vertical="center"/>
    </xf>
    <xf numFmtId="3" fontId="43" fillId="33" borderId="0" xfId="0" applyNumberFormat="1" applyFont="1" applyFill="1" applyBorder="1"/>
    <xf numFmtId="0" fontId="48" fillId="0" borderId="20" xfId="0" applyFont="1" applyFill="1" applyBorder="1" applyAlignment="1">
      <alignment horizontal="left" vertical="center"/>
    </xf>
    <xf numFmtId="167" fontId="45" fillId="0" borderId="20" xfId="0" applyNumberFormat="1" applyFont="1" applyFill="1" applyBorder="1" applyAlignment="1">
      <alignment vertical="center"/>
    </xf>
    <xf numFmtId="172" fontId="47" fillId="0" borderId="0" xfId="84" applyNumberFormat="1" applyFont="1" applyFill="1" applyBorder="1" applyAlignment="1">
      <alignment horizontal="right" vertical="center"/>
    </xf>
    <xf numFmtId="171" fontId="45" fillId="0" borderId="20" xfId="84" applyNumberFormat="1" applyFont="1" applyFill="1" applyBorder="1" applyAlignment="1">
      <alignment horizontal="right" vertical="center"/>
    </xf>
    <xf numFmtId="0" fontId="43" fillId="0" borderId="20" xfId="0" applyFont="1" applyFill="1" applyBorder="1" applyAlignment="1">
      <alignment horizontal="left" vertical="center"/>
    </xf>
    <xf numFmtId="0" fontId="48" fillId="0" borderId="20" xfId="0" applyFont="1" applyFill="1" applyBorder="1" applyAlignment="1" applyProtection="1">
      <alignment vertical="center"/>
    </xf>
    <xf numFmtId="167" fontId="45" fillId="0" borderId="20" xfId="0" applyNumberFormat="1" applyFont="1" applyFill="1" applyBorder="1" applyAlignment="1">
      <alignment horizontal="right" vertical="center"/>
    </xf>
    <xf numFmtId="0" fontId="48" fillId="0" borderId="20" xfId="0" applyFont="1" applyFill="1" applyBorder="1" applyAlignment="1">
      <alignment vertical="center"/>
    </xf>
    <xf numFmtId="0" fontId="44" fillId="52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 applyProtection="1">
      <alignment vertical="center"/>
    </xf>
    <xf numFmtId="9" fontId="47" fillId="0" borderId="0" xfId="94" applyNumberFormat="1" applyFont="1" applyFill="1" applyBorder="1" applyAlignment="1">
      <alignment horizontal="right" vertical="center"/>
    </xf>
    <xf numFmtId="0" fontId="44" fillId="30" borderId="20" xfId="0" applyFont="1" applyFill="1" applyBorder="1" applyAlignment="1">
      <alignment horizontal="center" vertical="center"/>
    </xf>
    <xf numFmtId="172" fontId="49" fillId="0" borderId="0" xfId="84" applyNumberFormat="1" applyFont="1" applyFill="1" applyBorder="1" applyAlignment="1">
      <alignment horizontal="right" vertical="center"/>
    </xf>
    <xf numFmtId="0" fontId="50" fillId="0" borderId="0" xfId="0" applyFont="1" applyFill="1" applyBorder="1" applyAlignment="1">
      <alignment horizontal="right" vertical="center"/>
    </xf>
    <xf numFmtId="0" fontId="44" fillId="31" borderId="20" xfId="0" applyFont="1" applyFill="1" applyBorder="1" applyAlignment="1">
      <alignment horizontal="center" vertical="center"/>
    </xf>
    <xf numFmtId="0" fontId="50" fillId="0" borderId="0" xfId="0" applyFont="1"/>
    <xf numFmtId="0" fontId="51" fillId="0" borderId="0" xfId="0" applyFont="1" applyFill="1" applyBorder="1" applyAlignment="1">
      <alignment vertical="center"/>
    </xf>
    <xf numFmtId="0" fontId="52" fillId="0" borderId="0" xfId="0" applyFont="1" applyFill="1" applyBorder="1" applyAlignment="1" applyProtection="1">
      <alignment horizontal="left" vertical="center"/>
    </xf>
    <xf numFmtId="167" fontId="53" fillId="0" borderId="0" xfId="0" applyNumberFormat="1" applyFont="1" applyFill="1" applyBorder="1" applyAlignment="1">
      <alignment vertical="center"/>
    </xf>
    <xf numFmtId="3" fontId="52" fillId="0" borderId="0" xfId="0" applyNumberFormat="1" applyFont="1" applyFill="1" applyBorder="1" applyAlignment="1">
      <alignment vertical="center"/>
    </xf>
    <xf numFmtId="172" fontId="54" fillId="0" borderId="0" xfId="84" applyNumberFormat="1" applyFont="1" applyFill="1" applyBorder="1" applyAlignment="1">
      <alignment horizontal="right" vertical="center"/>
    </xf>
    <xf numFmtId="0" fontId="44" fillId="0" borderId="20" xfId="0" applyFont="1" applyFill="1" applyBorder="1" applyAlignment="1">
      <alignment vertical="center"/>
    </xf>
    <xf numFmtId="0" fontId="43" fillId="0" borderId="20" xfId="0" applyFont="1" applyFill="1" applyBorder="1" applyAlignment="1">
      <alignment vertical="center"/>
    </xf>
    <xf numFmtId="0" fontId="54" fillId="0" borderId="0" xfId="0" applyFont="1" applyFill="1" applyBorder="1" applyAlignment="1">
      <alignment vertical="center"/>
    </xf>
    <xf numFmtId="167" fontId="55" fillId="0" borderId="0" xfId="0" applyNumberFormat="1" applyFont="1" applyFill="1" applyBorder="1" applyAlignment="1">
      <alignment vertical="center"/>
    </xf>
    <xf numFmtId="0" fontId="50" fillId="0" borderId="0" xfId="0" applyFont="1" applyFill="1"/>
    <xf numFmtId="0" fontId="44" fillId="53" borderId="20" xfId="0" applyFont="1" applyFill="1" applyBorder="1" applyAlignment="1">
      <alignment horizontal="center" vertical="center"/>
    </xf>
    <xf numFmtId="0" fontId="46" fillId="49" borderId="20" xfId="0" applyFont="1" applyFill="1" applyBorder="1" applyAlignment="1">
      <alignment vertical="center"/>
    </xf>
    <xf numFmtId="0" fontId="46" fillId="49" borderId="20" xfId="0" applyFont="1" applyFill="1" applyBorder="1" applyAlignment="1">
      <alignment horizontal="left" vertical="center"/>
    </xf>
    <xf numFmtId="167" fontId="46" fillId="49" borderId="20" xfId="0" applyNumberFormat="1" applyFont="1" applyFill="1" applyBorder="1" applyAlignment="1">
      <alignment vertical="center"/>
    </xf>
    <xf numFmtId="167" fontId="45" fillId="0" borderId="8" xfId="0" applyNumberFormat="1" applyFont="1" applyFill="1" applyBorder="1" applyAlignment="1">
      <alignment horizontal="right" vertical="center"/>
    </xf>
    <xf numFmtId="167" fontId="45" fillId="30" borderId="20" xfId="0" applyNumberFormat="1" applyFont="1" applyFill="1" applyBorder="1" applyAlignment="1">
      <alignment vertical="center"/>
    </xf>
    <xf numFmtId="0" fontId="44" fillId="32" borderId="20" xfId="0" applyFont="1" applyFill="1" applyBorder="1" applyAlignment="1">
      <alignment horizontal="center" vertical="center"/>
    </xf>
    <xf numFmtId="0" fontId="45" fillId="0" borderId="20" xfId="0" applyNumberFormat="1" applyFont="1" applyFill="1" applyBorder="1" applyAlignment="1">
      <alignment vertical="center"/>
    </xf>
    <xf numFmtId="167" fontId="45" fillId="53" borderId="20" xfId="0" applyNumberFormat="1" applyFont="1" applyFill="1" applyBorder="1" applyAlignment="1">
      <alignment vertical="center"/>
    </xf>
    <xf numFmtId="0" fontId="46" fillId="49" borderId="20" xfId="0" applyNumberFormat="1" applyFont="1" applyFill="1" applyBorder="1" applyAlignment="1">
      <alignment vertical="center"/>
    </xf>
    <xf numFmtId="3" fontId="43" fillId="33" borderId="0" xfId="0" applyNumberFormat="1" applyFont="1" applyFill="1"/>
    <xf numFmtId="167" fontId="45" fillId="53" borderId="20" xfId="0" applyNumberFormat="1" applyFont="1" applyFill="1" applyBorder="1" applyAlignment="1">
      <alignment horizontal="center" vertical="center"/>
    </xf>
    <xf numFmtId="167" fontId="46" fillId="33" borderId="20" xfId="0" applyNumberFormat="1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right" vertical="center"/>
    </xf>
    <xf numFmtId="167" fontId="45" fillId="33" borderId="20" xfId="0" applyNumberFormat="1" applyFont="1" applyFill="1" applyBorder="1" applyAlignment="1">
      <alignment horizontal="center" vertical="center"/>
    </xf>
    <xf numFmtId="0" fontId="43" fillId="33" borderId="0" xfId="0" applyFont="1" applyFill="1" applyBorder="1"/>
    <xf numFmtId="166" fontId="43" fillId="33" borderId="0" xfId="1" applyNumberFormat="1" applyFont="1" applyFill="1" applyBorder="1"/>
    <xf numFmtId="0" fontId="15" fillId="0" borderId="20" xfId="0" applyFont="1" applyFill="1" applyBorder="1" applyAlignment="1">
      <alignment horizontal="left" vertical="center"/>
    </xf>
    <xf numFmtId="0" fontId="17" fillId="49" borderId="24" xfId="0" applyFont="1" applyFill="1" applyBorder="1" applyAlignment="1">
      <alignment horizontal="center"/>
    </xf>
  </cellXfs>
  <cellStyles count="95">
    <cellStyle name="20% - Accent1" xfId="12" xr:uid="{00000000-0005-0000-0000-000000000000}"/>
    <cellStyle name="20% - Accent2" xfId="16" xr:uid="{00000000-0005-0000-0000-000001000000}"/>
    <cellStyle name="20% - Accent3" xfId="20" xr:uid="{00000000-0005-0000-0000-000002000000}"/>
    <cellStyle name="20% - Accent4" xfId="24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3" xr:uid="{00000000-0005-0000-0000-000006000000}"/>
    <cellStyle name="40% - Accent2" xfId="17" xr:uid="{00000000-0005-0000-0000-000007000000}"/>
    <cellStyle name="40% - Accent3" xfId="21" xr:uid="{00000000-0005-0000-0000-000008000000}"/>
    <cellStyle name="40% - Accent4" xfId="25" xr:uid="{00000000-0005-0000-0000-000009000000}"/>
    <cellStyle name="40% - Accent5" xfId="29" xr:uid="{00000000-0005-0000-0000-00000A000000}"/>
    <cellStyle name="40% - Accent6" xfId="33" xr:uid="{00000000-0005-0000-0000-00000B000000}"/>
    <cellStyle name="60% - Accent1" xfId="14" xr:uid="{00000000-0005-0000-0000-00000C000000}"/>
    <cellStyle name="60% - Accent2" xfId="18" xr:uid="{00000000-0005-0000-0000-00000D000000}"/>
    <cellStyle name="60% - Accent3" xfId="22" xr:uid="{00000000-0005-0000-0000-00000E000000}"/>
    <cellStyle name="60% - Accent4" xfId="26" xr:uid="{00000000-0005-0000-0000-00000F000000}"/>
    <cellStyle name="60% - Accent5" xfId="30" xr:uid="{00000000-0005-0000-0000-000010000000}"/>
    <cellStyle name="60% - Accent6" xfId="34" xr:uid="{00000000-0005-0000-0000-000011000000}"/>
    <cellStyle name="Accent1" xfId="11" xr:uid="{00000000-0005-0000-0000-000012000000}"/>
    <cellStyle name="Accent2" xfId="15" xr:uid="{00000000-0005-0000-0000-000013000000}"/>
    <cellStyle name="Accent3" xfId="19" xr:uid="{00000000-0005-0000-0000-000014000000}"/>
    <cellStyle name="Accent4" xfId="23" xr:uid="{00000000-0005-0000-0000-000015000000}"/>
    <cellStyle name="Accent5" xfId="27" xr:uid="{00000000-0005-0000-0000-000016000000}"/>
    <cellStyle name="Accent6" xfId="31" xr:uid="{00000000-0005-0000-0000-000017000000}"/>
    <cellStyle name="Bad" xfId="5" xr:uid="{00000000-0005-0000-0000-000018000000}"/>
    <cellStyle name="Calculation" xfId="8" xr:uid="{00000000-0005-0000-0000-00001A000000}"/>
    <cellStyle name="Check Cell" xfId="66" builtinId="23" customBuiltin="1"/>
    <cellStyle name="Comma" xfId="83" builtinId="3"/>
    <cellStyle name="Currency" xfId="1" builtinId="4"/>
    <cellStyle name="Explanatory Text" xfId="9" xr:uid="{00000000-0005-0000-0000-00001F000000}"/>
    <cellStyle name="Good" xfId="67" builtinId="26" customBuiltin="1"/>
    <cellStyle name="Heading 1" xfId="2" xr:uid="{00000000-0005-0000-0000-000020000000}"/>
    <cellStyle name="Heading 2" xfId="3" xr:uid="{00000000-0005-0000-0000-000021000000}"/>
    <cellStyle name="Heading 3" xfId="4" xr:uid="{00000000-0005-0000-0000-000022000000}"/>
    <cellStyle name="Heading 4" xfId="68" builtinId="19" customBuiltin="1"/>
    <cellStyle name="Hyperlink" xfId="93" builtinId="8"/>
    <cellStyle name="Input" xfId="69" builtinId="20" customBuiltin="1"/>
    <cellStyle name="Linked Cell" xfId="70" builtinId="24" customBuiltin="1"/>
    <cellStyle name="Millares 2" xfId="37" xr:uid="{00000000-0005-0000-0000-000025000000}"/>
    <cellStyle name="Millares 2 2" xfId="43" xr:uid="{00000000-0005-0000-0000-000026000000}"/>
    <cellStyle name="Millares 2 3" xfId="65" xr:uid="{00000000-0005-0000-0000-000027000000}"/>
    <cellStyle name="Millares 2 4" xfId="71" xr:uid="{00000000-0005-0000-0000-000028000000}"/>
    <cellStyle name="Millares 2 4 2" xfId="90" xr:uid="{00000000-0005-0000-0000-000029000000}"/>
    <cellStyle name="Millares 2 5" xfId="42" xr:uid="{00000000-0005-0000-0000-00002A000000}"/>
    <cellStyle name="Millares 2 6" xfId="84" xr:uid="{00000000-0005-0000-0000-00002B000000}"/>
    <cellStyle name="Millares 3" xfId="44" xr:uid="{00000000-0005-0000-0000-00002C000000}"/>
    <cellStyle name="Neutral" xfId="6" builtinId="28" customBuiltin="1"/>
    <cellStyle name="Neutral 2" xfId="45" xr:uid="{00000000-0005-0000-0000-00002F000000}"/>
    <cellStyle name="Neutral 3" xfId="46" xr:uid="{00000000-0005-0000-0000-000030000000}"/>
    <cellStyle name="Neutral 4" xfId="47" xr:uid="{00000000-0005-0000-0000-000031000000}"/>
    <cellStyle name="Neutral 5" xfId="48" xr:uid="{00000000-0005-0000-0000-000032000000}"/>
    <cellStyle name="Neutral 6" xfId="49" xr:uid="{00000000-0005-0000-0000-000033000000}"/>
    <cellStyle name="Neutral 7" xfId="50" xr:uid="{00000000-0005-0000-0000-000034000000}"/>
    <cellStyle name="Normal" xfId="0" builtinId="0"/>
    <cellStyle name="Normal 2" xfId="38" xr:uid="{00000000-0005-0000-0000-000036000000}"/>
    <cellStyle name="Normal 2 2" xfId="52" xr:uid="{00000000-0005-0000-0000-000037000000}"/>
    <cellStyle name="Normal 2 3" xfId="51" xr:uid="{00000000-0005-0000-0000-000038000000}"/>
    <cellStyle name="Normal 2 3 2" xfId="86" xr:uid="{00000000-0005-0000-0000-000039000000}"/>
    <cellStyle name="Normal 3" xfId="36" xr:uid="{00000000-0005-0000-0000-00003A000000}"/>
    <cellStyle name="Normal 3 2" xfId="53" xr:uid="{00000000-0005-0000-0000-00003B000000}"/>
    <cellStyle name="Normal 3 2 2" xfId="87" xr:uid="{00000000-0005-0000-0000-00003C000000}"/>
    <cellStyle name="Normal 4" xfId="54" xr:uid="{00000000-0005-0000-0000-00003D000000}"/>
    <cellStyle name="Normal 4 2" xfId="88" xr:uid="{00000000-0005-0000-0000-00003E000000}"/>
    <cellStyle name="Normal 5" xfId="55" xr:uid="{00000000-0005-0000-0000-00003F000000}"/>
    <cellStyle name="Normal_Hoja1" xfId="41" xr:uid="{00000000-0005-0000-0000-000040000000}"/>
    <cellStyle name="Notas 2" xfId="39" xr:uid="{00000000-0005-0000-0000-000042000000}"/>
    <cellStyle name="Note" xfId="72" builtinId="10" customBuiltin="1"/>
    <cellStyle name="Note 2" xfId="91" xr:uid="{00000000-0005-0000-0000-000043000000}"/>
    <cellStyle name="Output" xfId="7" xr:uid="{00000000-0005-0000-0000-000044000000}"/>
    <cellStyle name="Porcentaje 10" xfId="94" xr:uid="{00000000-0005-0000-0000-000045000000}"/>
    <cellStyle name="Porcentaje 2" xfId="40" xr:uid="{00000000-0005-0000-0000-000046000000}"/>
    <cellStyle name="Porcentaje 2 2" xfId="56" xr:uid="{00000000-0005-0000-0000-000047000000}"/>
    <cellStyle name="Porcentaje 2 3" xfId="85" xr:uid="{00000000-0005-0000-0000-000048000000}"/>
    <cellStyle name="Porcentaje 3" xfId="73" xr:uid="{00000000-0005-0000-0000-000049000000}"/>
    <cellStyle name="Porcentaje 3 2" xfId="92" xr:uid="{00000000-0005-0000-0000-00004A000000}"/>
    <cellStyle name="Porcentual 2" xfId="57" xr:uid="{00000000-0005-0000-0000-00004B000000}"/>
    <cellStyle name="Porcentual 2 2" xfId="74" xr:uid="{00000000-0005-0000-0000-00004C000000}"/>
    <cellStyle name="Porcentual 2 3" xfId="89" xr:uid="{00000000-0005-0000-0000-00004D000000}"/>
    <cellStyle name="Porcentual 3" xfId="58" xr:uid="{00000000-0005-0000-0000-00004E000000}"/>
    <cellStyle name="Title" xfId="75" xr:uid="{00000000-0005-0000-0000-000050000000}"/>
    <cellStyle name="Título 4" xfId="35" xr:uid="{00000000-0005-0000-0000-000051000000}"/>
    <cellStyle name="Total" xfId="10" builtinId="25" customBuiltin="1"/>
    <cellStyle name="Total 2" xfId="59" xr:uid="{00000000-0005-0000-0000-000053000000}"/>
    <cellStyle name="Total 2 2" xfId="76" xr:uid="{00000000-0005-0000-0000-000054000000}"/>
    <cellStyle name="Total 3" xfId="60" xr:uid="{00000000-0005-0000-0000-000055000000}"/>
    <cellStyle name="Total 3 2" xfId="77" xr:uid="{00000000-0005-0000-0000-000056000000}"/>
    <cellStyle name="Total 4" xfId="61" xr:uid="{00000000-0005-0000-0000-000057000000}"/>
    <cellStyle name="Total 4 2" xfId="78" xr:uid="{00000000-0005-0000-0000-000058000000}"/>
    <cellStyle name="Total 5" xfId="62" xr:uid="{00000000-0005-0000-0000-000059000000}"/>
    <cellStyle name="Total 5 2" xfId="79" xr:uid="{00000000-0005-0000-0000-00005A000000}"/>
    <cellStyle name="Total 6" xfId="63" xr:uid="{00000000-0005-0000-0000-00005B000000}"/>
    <cellStyle name="Total 6 2" xfId="80" xr:uid="{00000000-0005-0000-0000-00005C000000}"/>
    <cellStyle name="Total 7" xfId="64" xr:uid="{00000000-0005-0000-0000-00005D000000}"/>
    <cellStyle name="Total 7 2" xfId="81" xr:uid="{00000000-0005-0000-0000-00005E000000}"/>
    <cellStyle name="Warning Text" xfId="82" builtinId="11" customBuiltin="1"/>
  </cellStyles>
  <dxfs count="153"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3" formatCode="[$-240A]h:mm:ss\ AM/P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z val="10"/>
      </font>
    </dxf>
    <dxf>
      <font>
        <name val="Tahom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1"/>
      </font>
    </dxf>
    <dxf>
      <font>
        <name val="Calibri"/>
        <scheme val="minor"/>
      </font>
    </dxf>
    <dxf>
      <font>
        <b val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sz val="8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</font>
    </dxf>
    <dxf>
      <font>
        <b/>
      </font>
    </dxf>
    <dxf>
      <font>
        <b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numFmt numFmtId="166" formatCode="_(&quot;$&quot;\ * #,##0_);_(&quot;$&quot;\ * \(#,##0\);_(&quot;$&quot;\ * &quot;-&quot;??_);_(@_)"/>
    </dxf>
    <dxf>
      <numFmt numFmtId="19" formatCode="dd/mm/yyyy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72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border outline="0">
        <top style="double">
          <color theme="0" tint="-0.499984740745262"/>
        </top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theme="0" tint="-0.499984740745262"/>
        </left>
        <right style="double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A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2017/Informacion%20general%20de%20despachos/Rutas-%20establecidas%20por%20Entreg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orres/AppData/Local/Microsoft/Windows/Temporary%20Internet%20Files/Content.Outlook/LDTLOS4G/PROGRAMA%20DE%20DESPACHOS%20FEBRERO%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2">
          <cell r="B2" t="str">
            <v>RUTA 1</v>
          </cell>
          <cell r="C2" t="str">
            <v>PPAL</v>
          </cell>
          <cell r="D2" t="str">
            <v>SEC</v>
          </cell>
          <cell r="E2" t="str">
            <v>VAR</v>
          </cell>
          <cell r="F2" t="str">
            <v>RUTA</v>
          </cell>
        </row>
        <row r="3">
          <cell r="B3" t="str">
            <v>BUGA</v>
          </cell>
          <cell r="C3">
            <v>1</v>
          </cell>
          <cell r="D3">
            <v>1</v>
          </cell>
          <cell r="F3" t="str">
            <v>1.1</v>
          </cell>
        </row>
        <row r="4">
          <cell r="B4" t="str">
            <v>TULUA</v>
          </cell>
          <cell r="C4">
            <v>1</v>
          </cell>
          <cell r="D4">
            <v>1</v>
          </cell>
          <cell r="F4" t="str">
            <v>1.1</v>
          </cell>
        </row>
        <row r="5">
          <cell r="B5" t="str">
            <v>ZARZAL</v>
          </cell>
          <cell r="C5">
            <v>1</v>
          </cell>
          <cell r="D5">
            <v>1</v>
          </cell>
          <cell r="E5" t="str">
            <v>A</v>
          </cell>
          <cell r="F5" t="str">
            <v>1.1.A</v>
          </cell>
        </row>
        <row r="6">
          <cell r="B6" t="str">
            <v>ROLDANILLO</v>
          </cell>
          <cell r="C6">
            <v>1</v>
          </cell>
          <cell r="D6">
            <v>1</v>
          </cell>
          <cell r="E6" t="str">
            <v>A</v>
          </cell>
          <cell r="F6" t="str">
            <v>1.1.A</v>
          </cell>
        </row>
        <row r="7">
          <cell r="B7" t="str">
            <v>PALMIRA</v>
          </cell>
          <cell r="C7">
            <v>1</v>
          </cell>
          <cell r="D7">
            <v>2</v>
          </cell>
          <cell r="F7" t="str">
            <v>1.2</v>
          </cell>
        </row>
        <row r="8">
          <cell r="B8" t="str">
            <v>CANDELARIA</v>
          </cell>
          <cell r="C8">
            <v>1</v>
          </cell>
          <cell r="D8">
            <v>2</v>
          </cell>
          <cell r="F8" t="str">
            <v>1.2</v>
          </cell>
        </row>
        <row r="9">
          <cell r="B9" t="str">
            <v>PRADERA</v>
          </cell>
          <cell r="C9">
            <v>1</v>
          </cell>
          <cell r="D9">
            <v>2</v>
          </cell>
          <cell r="E9" t="str">
            <v>A</v>
          </cell>
          <cell r="F9" t="str">
            <v>1.2.A</v>
          </cell>
        </row>
        <row r="10">
          <cell r="B10" t="str">
            <v>FLORIDA</v>
          </cell>
          <cell r="C10">
            <v>1</v>
          </cell>
          <cell r="D10">
            <v>2</v>
          </cell>
          <cell r="E10" t="str">
            <v>A</v>
          </cell>
          <cell r="F10" t="str">
            <v>1.2.A</v>
          </cell>
        </row>
        <row r="11">
          <cell r="B11" t="str">
            <v>CALI</v>
          </cell>
          <cell r="C11">
            <v>1</v>
          </cell>
          <cell r="D11">
            <v>3</v>
          </cell>
          <cell r="F11" t="str">
            <v>1.3</v>
          </cell>
        </row>
        <row r="12">
          <cell r="B12" t="str">
            <v>BUENAVENTURA</v>
          </cell>
          <cell r="C12">
            <v>1</v>
          </cell>
          <cell r="D12">
            <v>3</v>
          </cell>
          <cell r="E12" t="str">
            <v>A</v>
          </cell>
          <cell r="F12" t="str">
            <v>1.3.A</v>
          </cell>
        </row>
        <row r="13">
          <cell r="B13" t="str">
            <v>JAMUNDI</v>
          </cell>
          <cell r="C13">
            <v>1</v>
          </cell>
          <cell r="D13">
            <v>3</v>
          </cell>
          <cell r="E13" t="str">
            <v>B</v>
          </cell>
          <cell r="F13" t="str">
            <v>1.3.B</v>
          </cell>
        </row>
        <row r="14">
          <cell r="B14" t="str">
            <v>SANTANDER DE QUILICHAO</v>
          </cell>
          <cell r="C14">
            <v>1</v>
          </cell>
          <cell r="D14">
            <v>3</v>
          </cell>
          <cell r="E14" t="str">
            <v>B</v>
          </cell>
          <cell r="F14" t="str">
            <v>1.3.B</v>
          </cell>
        </row>
        <row r="15">
          <cell r="B15" t="str">
            <v>PUERTO TEJADA</v>
          </cell>
          <cell r="C15">
            <v>1</v>
          </cell>
          <cell r="D15">
            <v>3</v>
          </cell>
          <cell r="E15" t="str">
            <v>B</v>
          </cell>
          <cell r="F15" t="str">
            <v>1.3.B</v>
          </cell>
        </row>
        <row r="17">
          <cell r="B17" t="str">
            <v>RUTA 2</v>
          </cell>
          <cell r="C17" t="str">
            <v>PPAL</v>
          </cell>
          <cell r="D17" t="str">
            <v>SEC</v>
          </cell>
          <cell r="E17" t="str">
            <v>VAR</v>
          </cell>
          <cell r="F17" t="str">
            <v>RUTA</v>
          </cell>
        </row>
        <row r="18">
          <cell r="B18" t="str">
            <v>PIENDAMO</v>
          </cell>
          <cell r="C18">
            <v>2</v>
          </cell>
          <cell r="D18">
            <v>1</v>
          </cell>
          <cell r="F18" t="str">
            <v>2.1</v>
          </cell>
        </row>
        <row r="19">
          <cell r="B19" t="str">
            <v>POPAYAN</v>
          </cell>
          <cell r="C19">
            <v>2</v>
          </cell>
          <cell r="D19">
            <v>1</v>
          </cell>
          <cell r="F19" t="str">
            <v>2.1</v>
          </cell>
        </row>
        <row r="20">
          <cell r="B20" t="str">
            <v>TIMBIO</v>
          </cell>
          <cell r="C20">
            <v>2</v>
          </cell>
          <cell r="D20">
            <v>1</v>
          </cell>
          <cell r="F20" t="str">
            <v>2.1</v>
          </cell>
        </row>
        <row r="21">
          <cell r="B21" t="str">
            <v>PATIA</v>
          </cell>
          <cell r="C21">
            <v>2</v>
          </cell>
          <cell r="D21">
            <v>1</v>
          </cell>
          <cell r="F21" t="str">
            <v>2.1</v>
          </cell>
        </row>
        <row r="22">
          <cell r="B22" t="str">
            <v>SAN PABLO</v>
          </cell>
          <cell r="C22">
            <v>2</v>
          </cell>
          <cell r="D22">
            <v>2</v>
          </cell>
          <cell r="F22" t="str">
            <v>2.2</v>
          </cell>
        </row>
        <row r="23">
          <cell r="B23" t="str">
            <v>PASTO</v>
          </cell>
          <cell r="C23">
            <v>2</v>
          </cell>
          <cell r="D23">
            <v>2</v>
          </cell>
          <cell r="F23" t="str">
            <v>2.2</v>
          </cell>
        </row>
        <row r="24">
          <cell r="B24" t="str">
            <v>SAMANIEGO</v>
          </cell>
          <cell r="C24">
            <v>2</v>
          </cell>
          <cell r="D24">
            <v>2</v>
          </cell>
          <cell r="F24" t="str">
            <v>2.2</v>
          </cell>
        </row>
        <row r="25">
          <cell r="B25" t="str">
            <v>TUMACO</v>
          </cell>
          <cell r="C25">
            <v>2</v>
          </cell>
          <cell r="D25">
            <v>2</v>
          </cell>
          <cell r="F25" t="str">
            <v>2.2</v>
          </cell>
        </row>
        <row r="27">
          <cell r="B27" t="str">
            <v>RUTA 3</v>
          </cell>
          <cell r="C27" t="str">
            <v>PPAL</v>
          </cell>
          <cell r="D27" t="str">
            <v>SEC</v>
          </cell>
          <cell r="E27" t="str">
            <v>VAR</v>
          </cell>
          <cell r="F27" t="str">
            <v>RUTA</v>
          </cell>
        </row>
        <row r="28">
          <cell r="B28" t="str">
            <v>CAICEDONIA</v>
          </cell>
          <cell r="C28">
            <v>3</v>
          </cell>
          <cell r="D28">
            <v>1</v>
          </cell>
          <cell r="F28" t="str">
            <v>3.1</v>
          </cell>
        </row>
        <row r="29">
          <cell r="B29" t="str">
            <v>CALARCA</v>
          </cell>
          <cell r="C29">
            <v>3</v>
          </cell>
          <cell r="D29">
            <v>1</v>
          </cell>
          <cell r="F29" t="str">
            <v>3.1</v>
          </cell>
        </row>
        <row r="30">
          <cell r="B30" t="str">
            <v>ARMENIA</v>
          </cell>
          <cell r="C30">
            <v>3</v>
          </cell>
          <cell r="D30">
            <v>1</v>
          </cell>
          <cell r="F30" t="str">
            <v>3.1</v>
          </cell>
        </row>
        <row r="31">
          <cell r="B31" t="str">
            <v>QUIMBAYA</v>
          </cell>
          <cell r="C31">
            <v>3</v>
          </cell>
          <cell r="D31">
            <v>1</v>
          </cell>
          <cell r="F31" t="str">
            <v>3.1</v>
          </cell>
        </row>
        <row r="32">
          <cell r="B32" t="str">
            <v>CIRCASIA</v>
          </cell>
          <cell r="C32">
            <v>3</v>
          </cell>
          <cell r="D32">
            <v>1</v>
          </cell>
          <cell r="F32" t="str">
            <v>3.1</v>
          </cell>
        </row>
        <row r="34">
          <cell r="B34" t="str">
            <v>RUTA 4</v>
          </cell>
          <cell r="C34" t="str">
            <v>PPAL</v>
          </cell>
          <cell r="D34" t="str">
            <v>SEC</v>
          </cell>
          <cell r="E34" t="str">
            <v>VAR</v>
          </cell>
          <cell r="F34" t="str">
            <v>RUTA</v>
          </cell>
        </row>
        <row r="35">
          <cell r="B35" t="str">
            <v>LA UNION</v>
          </cell>
          <cell r="C35">
            <v>4</v>
          </cell>
          <cell r="D35">
            <v>1</v>
          </cell>
          <cell r="F35" t="str">
            <v>4.1</v>
          </cell>
        </row>
        <row r="36">
          <cell r="B36" t="str">
            <v>CARTAGO</v>
          </cell>
          <cell r="C36">
            <v>4</v>
          </cell>
          <cell r="D36">
            <v>1</v>
          </cell>
          <cell r="F36" t="str">
            <v>4.1</v>
          </cell>
        </row>
        <row r="37">
          <cell r="B37" t="str">
            <v>PEREIRA</v>
          </cell>
          <cell r="C37">
            <v>4</v>
          </cell>
          <cell r="D37">
            <v>1</v>
          </cell>
          <cell r="E37" t="str">
            <v>A</v>
          </cell>
          <cell r="F37" t="str">
            <v>4.1.A</v>
          </cell>
        </row>
        <row r="38">
          <cell r="B38" t="str">
            <v>DOS QUEBRADAS</v>
          </cell>
          <cell r="C38">
            <v>4</v>
          </cell>
          <cell r="D38">
            <v>1</v>
          </cell>
          <cell r="E38" t="str">
            <v>A</v>
          </cell>
          <cell r="F38" t="str">
            <v>4.1.A</v>
          </cell>
        </row>
        <row r="39">
          <cell r="B39" t="str">
            <v>SANTA ROSA DE CABAL</v>
          </cell>
          <cell r="C39">
            <v>4</v>
          </cell>
          <cell r="D39">
            <v>1</v>
          </cell>
          <cell r="E39" t="str">
            <v>A</v>
          </cell>
          <cell r="F39" t="str">
            <v>4.1.A</v>
          </cell>
        </row>
        <row r="40">
          <cell r="B40" t="str">
            <v>MANIZALES</v>
          </cell>
          <cell r="C40">
            <v>4</v>
          </cell>
          <cell r="D40">
            <v>1</v>
          </cell>
          <cell r="E40" t="str">
            <v>A</v>
          </cell>
          <cell r="F40" t="str">
            <v>4.1.A</v>
          </cell>
        </row>
        <row r="41">
          <cell r="B41" t="str">
            <v>LA VIRGINIA</v>
          </cell>
          <cell r="C41">
            <v>4</v>
          </cell>
          <cell r="D41">
            <v>1</v>
          </cell>
          <cell r="E41" t="str">
            <v>B</v>
          </cell>
          <cell r="F41" t="str">
            <v>4.1.B</v>
          </cell>
        </row>
        <row r="42">
          <cell r="B42" t="str">
            <v>ITSMINA</v>
          </cell>
          <cell r="C42">
            <v>4</v>
          </cell>
          <cell r="D42">
            <v>1</v>
          </cell>
          <cell r="E42" t="str">
            <v>B</v>
          </cell>
          <cell r="F42" t="str">
            <v>4.1.B</v>
          </cell>
        </row>
        <row r="43">
          <cell r="B43" t="str">
            <v>QUIBDO</v>
          </cell>
          <cell r="C43">
            <v>4</v>
          </cell>
          <cell r="D43">
            <v>1</v>
          </cell>
          <cell r="E43" t="str">
            <v>B</v>
          </cell>
          <cell r="F43" t="str">
            <v>4.1.B</v>
          </cell>
        </row>
        <row r="45">
          <cell r="B45" t="str">
            <v>RUTA 5</v>
          </cell>
          <cell r="C45" t="str">
            <v>PPAL</v>
          </cell>
          <cell r="D45" t="str">
            <v>SEC</v>
          </cell>
          <cell r="E45" t="str">
            <v>VAR</v>
          </cell>
          <cell r="F45" t="str">
            <v>RUTA</v>
          </cell>
        </row>
        <row r="46">
          <cell r="B46" t="str">
            <v>IBAGUE</v>
          </cell>
          <cell r="C46">
            <v>5</v>
          </cell>
          <cell r="D46">
            <v>0</v>
          </cell>
          <cell r="F46" t="str">
            <v>5.0</v>
          </cell>
        </row>
        <row r="47">
          <cell r="B47" t="str">
            <v>GIRARDOT</v>
          </cell>
          <cell r="C47">
            <v>5</v>
          </cell>
          <cell r="D47">
            <v>1</v>
          </cell>
          <cell r="E47" t="str">
            <v>A</v>
          </cell>
          <cell r="F47" t="str">
            <v>5.1.A</v>
          </cell>
        </row>
        <row r="48">
          <cell r="B48" t="str">
            <v>MELGAR</v>
          </cell>
          <cell r="C48">
            <v>5</v>
          </cell>
          <cell r="D48">
            <v>1</v>
          </cell>
          <cell r="E48" t="str">
            <v>A</v>
          </cell>
          <cell r="F48" t="str">
            <v>5.1.A</v>
          </cell>
        </row>
        <row r="49">
          <cell r="B49" t="str">
            <v>ESPINAL</v>
          </cell>
          <cell r="C49">
            <v>5</v>
          </cell>
          <cell r="D49">
            <v>1</v>
          </cell>
          <cell r="F49" t="str">
            <v>5.1</v>
          </cell>
        </row>
        <row r="50">
          <cell r="B50" t="str">
            <v>GUAMO</v>
          </cell>
          <cell r="C50">
            <v>5</v>
          </cell>
          <cell r="D50">
            <v>1</v>
          </cell>
          <cell r="F50" t="str">
            <v>5.1</v>
          </cell>
        </row>
        <row r="51">
          <cell r="B51" t="str">
            <v>CHAPARRAL</v>
          </cell>
          <cell r="C51">
            <v>5</v>
          </cell>
          <cell r="D51">
            <v>1</v>
          </cell>
          <cell r="E51" t="str">
            <v>A</v>
          </cell>
          <cell r="F51" t="str">
            <v>5.1.A</v>
          </cell>
        </row>
        <row r="52">
          <cell r="B52" t="str">
            <v>PURIFICACION</v>
          </cell>
          <cell r="C52">
            <v>5</v>
          </cell>
          <cell r="D52">
            <v>2</v>
          </cell>
          <cell r="F52" t="str">
            <v>5.2</v>
          </cell>
        </row>
        <row r="53">
          <cell r="B53" t="str">
            <v>NEIVA</v>
          </cell>
          <cell r="C53">
            <v>5</v>
          </cell>
          <cell r="D53">
            <v>2</v>
          </cell>
          <cell r="F53" t="str">
            <v>5.2</v>
          </cell>
        </row>
        <row r="54">
          <cell r="B54" t="str">
            <v>LA PLATA</v>
          </cell>
          <cell r="C54">
            <v>5</v>
          </cell>
          <cell r="D54">
            <v>2</v>
          </cell>
          <cell r="F54" t="str">
            <v>5.2</v>
          </cell>
        </row>
        <row r="55">
          <cell r="B55" t="str">
            <v>GARZON</v>
          </cell>
          <cell r="C55">
            <v>5</v>
          </cell>
          <cell r="D55">
            <v>2</v>
          </cell>
          <cell r="F55" t="str">
            <v>5.2</v>
          </cell>
        </row>
        <row r="56">
          <cell r="B56" t="str">
            <v>PITALITO</v>
          </cell>
          <cell r="C56">
            <v>5</v>
          </cell>
          <cell r="D56">
            <v>2</v>
          </cell>
          <cell r="E56" t="str">
            <v>A</v>
          </cell>
          <cell r="F56" t="str">
            <v>5.2.A</v>
          </cell>
        </row>
        <row r="57">
          <cell r="B57" t="str">
            <v>MOCOA</v>
          </cell>
          <cell r="C57">
            <v>5</v>
          </cell>
          <cell r="D57">
            <v>2</v>
          </cell>
          <cell r="E57" t="str">
            <v>A</v>
          </cell>
          <cell r="F57" t="str">
            <v>5.2.A</v>
          </cell>
        </row>
        <row r="58">
          <cell r="B58" t="str">
            <v>PUERTO ASIS</v>
          </cell>
          <cell r="C58">
            <v>5</v>
          </cell>
          <cell r="D58">
            <v>2</v>
          </cell>
          <cell r="E58" t="str">
            <v>A</v>
          </cell>
          <cell r="F58" t="str">
            <v>5.2.A</v>
          </cell>
        </row>
        <row r="59">
          <cell r="B59" t="str">
            <v>FLORENCIA</v>
          </cell>
          <cell r="C59">
            <v>5</v>
          </cell>
          <cell r="D59">
            <v>2</v>
          </cell>
          <cell r="E59" t="str">
            <v>B</v>
          </cell>
          <cell r="F59" t="str">
            <v>5.2.B</v>
          </cell>
        </row>
        <row r="60">
          <cell r="B60" t="str">
            <v>EL DONCELLO</v>
          </cell>
          <cell r="C60">
            <v>5</v>
          </cell>
          <cell r="D60">
            <v>2</v>
          </cell>
          <cell r="E60" t="str">
            <v>B</v>
          </cell>
          <cell r="F60" t="str">
            <v>5.2.B</v>
          </cell>
        </row>
        <row r="61">
          <cell r="B61" t="str">
            <v>SAN VICENTE DEL CAGUAN</v>
          </cell>
          <cell r="C61">
            <v>5</v>
          </cell>
          <cell r="D61">
            <v>2</v>
          </cell>
          <cell r="E61" t="str">
            <v>B</v>
          </cell>
          <cell r="F61" t="str">
            <v>5.2.B</v>
          </cell>
        </row>
        <row r="63">
          <cell r="B63" t="str">
            <v>RUTA 6</v>
          </cell>
          <cell r="C63" t="str">
            <v>PPAL</v>
          </cell>
          <cell r="D63" t="str">
            <v>SEC</v>
          </cell>
          <cell r="E63" t="str">
            <v>VAR</v>
          </cell>
          <cell r="F63" t="str">
            <v>RUTA</v>
          </cell>
        </row>
        <row r="64">
          <cell r="B64" t="str">
            <v>IBAGUE</v>
          </cell>
          <cell r="C64">
            <v>6</v>
          </cell>
          <cell r="D64">
            <v>0</v>
          </cell>
          <cell r="F64" t="str">
            <v>6.0</v>
          </cell>
        </row>
        <row r="65">
          <cell r="B65" t="str">
            <v>LIBANO</v>
          </cell>
          <cell r="C65">
            <v>6</v>
          </cell>
          <cell r="D65">
            <v>1</v>
          </cell>
          <cell r="E65" t="str">
            <v>A</v>
          </cell>
          <cell r="F65" t="str">
            <v>6.1.A</v>
          </cell>
        </row>
        <row r="66">
          <cell r="B66" t="str">
            <v>MARIQUITA</v>
          </cell>
          <cell r="C66">
            <v>6</v>
          </cell>
          <cell r="D66">
            <v>1</v>
          </cell>
          <cell r="F66" t="str">
            <v>6.1</v>
          </cell>
        </row>
        <row r="67">
          <cell r="B67" t="str">
            <v>HONDA</v>
          </cell>
          <cell r="C67">
            <v>6</v>
          </cell>
          <cell r="D67">
            <v>1</v>
          </cell>
          <cell r="F67" t="str">
            <v>6.1</v>
          </cell>
        </row>
        <row r="68">
          <cell r="B68" t="str">
            <v>LA DORADA</v>
          </cell>
          <cell r="C68">
            <v>6</v>
          </cell>
          <cell r="D68">
            <v>1</v>
          </cell>
          <cell r="F68" t="str">
            <v>6.1</v>
          </cell>
        </row>
        <row r="69">
          <cell r="B69" t="str">
            <v>PUERTO BOYACA</v>
          </cell>
          <cell r="C69">
            <v>6</v>
          </cell>
          <cell r="D69">
            <v>2</v>
          </cell>
          <cell r="F69" t="str">
            <v>6.2</v>
          </cell>
        </row>
        <row r="70">
          <cell r="B70" t="str">
            <v>PUERTO BERRIO</v>
          </cell>
          <cell r="C70">
            <v>6</v>
          </cell>
          <cell r="D70">
            <v>2</v>
          </cell>
          <cell r="F70" t="str">
            <v>6.2</v>
          </cell>
        </row>
        <row r="71">
          <cell r="B71" t="str">
            <v>CIMITARRA</v>
          </cell>
          <cell r="C71">
            <v>6</v>
          </cell>
          <cell r="D71">
            <v>2</v>
          </cell>
          <cell r="E71" t="str">
            <v>A</v>
          </cell>
          <cell r="F71" t="str">
            <v>6.2.A</v>
          </cell>
        </row>
        <row r="72">
          <cell r="B72" t="str">
            <v>BARRANCABERMEJA</v>
          </cell>
          <cell r="C72">
            <v>6</v>
          </cell>
          <cell r="D72">
            <v>2</v>
          </cell>
          <cell r="E72" t="str">
            <v>A</v>
          </cell>
          <cell r="F72" t="str">
            <v>6.2.A</v>
          </cell>
        </row>
        <row r="73">
          <cell r="B73" t="str">
            <v>SAN PABLO</v>
          </cell>
          <cell r="C73">
            <v>6</v>
          </cell>
          <cell r="D73">
            <v>2</v>
          </cell>
          <cell r="E73" t="str">
            <v>A</v>
          </cell>
          <cell r="F73" t="str">
            <v>6.2.A</v>
          </cell>
        </row>
        <row r="74">
          <cell r="B74" t="str">
            <v>SANTA ROSA DEL SUR</v>
          </cell>
          <cell r="C74">
            <v>6</v>
          </cell>
          <cell r="D74">
            <v>2</v>
          </cell>
          <cell r="E74" t="str">
            <v>A</v>
          </cell>
          <cell r="F74" t="str">
            <v>6.2.A</v>
          </cell>
        </row>
        <row r="75">
          <cell r="B75" t="str">
            <v>LEBRIJA</v>
          </cell>
          <cell r="C75">
            <v>6</v>
          </cell>
          <cell r="D75">
            <v>2</v>
          </cell>
          <cell r="E75" t="str">
            <v>B</v>
          </cell>
          <cell r="F75" t="str">
            <v>6.2.B</v>
          </cell>
        </row>
        <row r="76">
          <cell r="B76" t="str">
            <v>GIRON</v>
          </cell>
          <cell r="C76">
            <v>6</v>
          </cell>
          <cell r="D76">
            <v>2</v>
          </cell>
          <cell r="E76" t="str">
            <v>B</v>
          </cell>
          <cell r="F76" t="str">
            <v>6.2.B</v>
          </cell>
        </row>
        <row r="77">
          <cell r="B77" t="str">
            <v>FLORIDABLANCA</v>
          </cell>
          <cell r="C77">
            <v>6</v>
          </cell>
          <cell r="D77">
            <v>2</v>
          </cell>
          <cell r="E77" t="str">
            <v>B</v>
          </cell>
          <cell r="F77" t="str">
            <v>6.2.B</v>
          </cell>
        </row>
        <row r="78">
          <cell r="B78" t="str">
            <v>BUCARAMANGA</v>
          </cell>
          <cell r="C78">
            <v>6</v>
          </cell>
          <cell r="D78">
            <v>2</v>
          </cell>
          <cell r="E78" t="str">
            <v>B</v>
          </cell>
          <cell r="F78" t="str">
            <v>6.2.B</v>
          </cell>
        </row>
        <row r="79">
          <cell r="B79" t="str">
            <v>PAMPLONA</v>
          </cell>
          <cell r="C79">
            <v>6</v>
          </cell>
          <cell r="D79">
            <v>3</v>
          </cell>
          <cell r="F79" t="str">
            <v>6.3</v>
          </cell>
        </row>
        <row r="80">
          <cell r="B80" t="str">
            <v>CUCUTA</v>
          </cell>
          <cell r="C80">
            <v>6</v>
          </cell>
          <cell r="D80">
            <v>3</v>
          </cell>
          <cell r="F80" t="str">
            <v>6.3</v>
          </cell>
        </row>
        <row r="81">
          <cell r="B81" t="str">
            <v>ABREGO</v>
          </cell>
          <cell r="C81">
            <v>6</v>
          </cell>
          <cell r="D81">
            <v>3</v>
          </cell>
          <cell r="F81" t="str">
            <v>6.3</v>
          </cell>
        </row>
        <row r="82">
          <cell r="B82" t="str">
            <v>OCAÑA</v>
          </cell>
          <cell r="C82">
            <v>6</v>
          </cell>
          <cell r="D82">
            <v>3</v>
          </cell>
          <cell r="F82" t="str">
            <v>6.3</v>
          </cell>
        </row>
        <row r="83">
          <cell r="B83" t="str">
            <v>SAN ALBERTO</v>
          </cell>
          <cell r="C83">
            <v>6</v>
          </cell>
          <cell r="D83">
            <v>3</v>
          </cell>
          <cell r="E83" t="str">
            <v>A</v>
          </cell>
          <cell r="F83" t="str">
            <v>6.3.A</v>
          </cell>
        </row>
        <row r="84">
          <cell r="B84" t="str">
            <v>CURUMANI</v>
          </cell>
          <cell r="C84">
            <v>6</v>
          </cell>
          <cell r="D84">
            <v>4</v>
          </cell>
          <cell r="F84" t="str">
            <v>6.4</v>
          </cell>
        </row>
        <row r="85">
          <cell r="B85" t="str">
            <v>ASTREA</v>
          </cell>
          <cell r="C85">
            <v>6</v>
          </cell>
          <cell r="D85">
            <v>4</v>
          </cell>
          <cell r="F85" t="str">
            <v>6.4</v>
          </cell>
        </row>
        <row r="86">
          <cell r="B86" t="str">
            <v>BOSCONIA</v>
          </cell>
          <cell r="C86">
            <v>6</v>
          </cell>
          <cell r="D86">
            <v>4</v>
          </cell>
          <cell r="F86" t="str">
            <v>6.4</v>
          </cell>
        </row>
        <row r="87">
          <cell r="B87" t="str">
            <v>VALLEDUPAR</v>
          </cell>
          <cell r="C87">
            <v>6</v>
          </cell>
          <cell r="D87">
            <v>4</v>
          </cell>
          <cell r="F87" t="str">
            <v>6.4</v>
          </cell>
        </row>
        <row r="88">
          <cell r="B88" t="str">
            <v>VILLANUEVA</v>
          </cell>
          <cell r="C88">
            <v>6</v>
          </cell>
          <cell r="D88">
            <v>4</v>
          </cell>
          <cell r="F88" t="str">
            <v>6.4</v>
          </cell>
        </row>
        <row r="89">
          <cell r="B89" t="str">
            <v>SAN JUAN DEL CESAR</v>
          </cell>
          <cell r="C89">
            <v>6</v>
          </cell>
          <cell r="D89">
            <v>4</v>
          </cell>
          <cell r="F89" t="str">
            <v>6.4</v>
          </cell>
        </row>
        <row r="90">
          <cell r="B90" t="str">
            <v>HATO NUEVO</v>
          </cell>
          <cell r="C90">
            <v>6</v>
          </cell>
          <cell r="D90">
            <v>4</v>
          </cell>
          <cell r="F90" t="str">
            <v>6.4</v>
          </cell>
        </row>
        <row r="91">
          <cell r="B91" t="str">
            <v>RIOHACHA</v>
          </cell>
          <cell r="C91">
            <v>6</v>
          </cell>
          <cell r="D91">
            <v>4</v>
          </cell>
          <cell r="F91" t="str">
            <v>6.4</v>
          </cell>
        </row>
        <row r="93">
          <cell r="B93" t="str">
            <v>RUTA 7</v>
          </cell>
          <cell r="C93" t="str">
            <v>PPAL</v>
          </cell>
          <cell r="D93" t="str">
            <v>SEC</v>
          </cell>
          <cell r="E93" t="str">
            <v>VAR</v>
          </cell>
          <cell r="F93" t="str">
            <v>RUTA</v>
          </cell>
        </row>
        <row r="94">
          <cell r="B94" t="str">
            <v>IBAGUE</v>
          </cell>
          <cell r="C94">
            <v>7</v>
          </cell>
          <cell r="D94">
            <v>0</v>
          </cell>
          <cell r="F94" t="str">
            <v>7.0</v>
          </cell>
        </row>
        <row r="95">
          <cell r="B95" t="str">
            <v>FUSAGASUGA</v>
          </cell>
          <cell r="C95">
            <v>7</v>
          </cell>
          <cell r="D95">
            <v>1</v>
          </cell>
          <cell r="F95" t="str">
            <v>7.1</v>
          </cell>
        </row>
        <row r="96">
          <cell r="B96" t="str">
            <v>FUNZA</v>
          </cell>
          <cell r="C96">
            <v>7</v>
          </cell>
          <cell r="D96">
            <v>1</v>
          </cell>
          <cell r="F96" t="str">
            <v>7.1</v>
          </cell>
        </row>
        <row r="97">
          <cell r="B97" t="str">
            <v>MADRID</v>
          </cell>
          <cell r="C97">
            <v>7</v>
          </cell>
          <cell r="D97">
            <v>1</v>
          </cell>
          <cell r="E97" t="str">
            <v>A</v>
          </cell>
          <cell r="F97" t="str">
            <v>7.1.A</v>
          </cell>
        </row>
        <row r="98">
          <cell r="B98" t="str">
            <v>FACATATIVA</v>
          </cell>
          <cell r="C98">
            <v>7</v>
          </cell>
          <cell r="D98">
            <v>1</v>
          </cell>
          <cell r="E98" t="str">
            <v>A</v>
          </cell>
          <cell r="F98" t="str">
            <v>7.1.A</v>
          </cell>
        </row>
        <row r="99">
          <cell r="B99" t="str">
            <v>VILLETA</v>
          </cell>
          <cell r="C99">
            <v>7</v>
          </cell>
          <cell r="D99">
            <v>1</v>
          </cell>
          <cell r="E99" t="str">
            <v>A</v>
          </cell>
          <cell r="F99" t="str">
            <v>7.1.A</v>
          </cell>
        </row>
        <row r="100">
          <cell r="B100" t="str">
            <v>BOGOTA D.C.</v>
          </cell>
          <cell r="C100">
            <v>7</v>
          </cell>
          <cell r="D100">
            <v>2</v>
          </cell>
          <cell r="F100" t="str">
            <v>7.2</v>
          </cell>
        </row>
        <row r="101">
          <cell r="B101" t="str">
            <v>LETICIA (EL DORADO)</v>
          </cell>
          <cell r="C101">
            <v>7</v>
          </cell>
          <cell r="D101">
            <v>2</v>
          </cell>
          <cell r="F101" t="str">
            <v>7.2</v>
          </cell>
        </row>
        <row r="102">
          <cell r="B102" t="str">
            <v>SAN ANDRES (EL DORADO)</v>
          </cell>
          <cell r="C102">
            <v>7</v>
          </cell>
          <cell r="D102">
            <v>2</v>
          </cell>
          <cell r="F102" t="str">
            <v>7.2</v>
          </cell>
        </row>
        <row r="103">
          <cell r="B103" t="str">
            <v>INIRIDA (EL DORADO)</v>
          </cell>
          <cell r="C103">
            <v>7</v>
          </cell>
          <cell r="D103">
            <v>2</v>
          </cell>
          <cell r="F103" t="str">
            <v>7.2</v>
          </cell>
        </row>
        <row r="104">
          <cell r="B104" t="str">
            <v>CHIA</v>
          </cell>
          <cell r="C104">
            <v>7</v>
          </cell>
          <cell r="D104">
            <v>2</v>
          </cell>
          <cell r="E104" t="str">
            <v>A</v>
          </cell>
          <cell r="F104" t="str">
            <v>7.2.A</v>
          </cell>
        </row>
        <row r="105">
          <cell r="B105" t="str">
            <v>ZIPAQUIRA</v>
          </cell>
          <cell r="C105">
            <v>7</v>
          </cell>
          <cell r="D105">
            <v>2</v>
          </cell>
          <cell r="E105" t="str">
            <v>A</v>
          </cell>
          <cell r="F105" t="str">
            <v>7.2.A</v>
          </cell>
        </row>
        <row r="106">
          <cell r="B106" t="str">
            <v>UBATE</v>
          </cell>
          <cell r="C106">
            <v>7</v>
          </cell>
          <cell r="D106">
            <v>2</v>
          </cell>
          <cell r="E106" t="str">
            <v>A</v>
          </cell>
          <cell r="F106" t="str">
            <v>7.2.A</v>
          </cell>
        </row>
        <row r="107">
          <cell r="B107" t="str">
            <v>CHIQUINQUIRA</v>
          </cell>
          <cell r="C107">
            <v>7</v>
          </cell>
          <cell r="D107">
            <v>2</v>
          </cell>
          <cell r="E107" t="str">
            <v>A</v>
          </cell>
          <cell r="F107" t="str">
            <v>7.2.A</v>
          </cell>
        </row>
        <row r="108">
          <cell r="B108" t="str">
            <v>BARBOSA SANTANDER</v>
          </cell>
          <cell r="C108">
            <v>7</v>
          </cell>
          <cell r="D108">
            <v>2</v>
          </cell>
          <cell r="E108" t="str">
            <v>A</v>
          </cell>
          <cell r="F108" t="str">
            <v>7.2.A</v>
          </cell>
        </row>
        <row r="109">
          <cell r="B109" t="str">
            <v>TUNJA</v>
          </cell>
          <cell r="C109">
            <v>7</v>
          </cell>
          <cell r="D109">
            <v>2</v>
          </cell>
          <cell r="E109" t="str">
            <v>A</v>
          </cell>
          <cell r="F109" t="str">
            <v>7.2.A</v>
          </cell>
        </row>
        <row r="110">
          <cell r="B110" t="str">
            <v>DUITAMA</v>
          </cell>
          <cell r="C110">
            <v>7</v>
          </cell>
          <cell r="D110">
            <v>2</v>
          </cell>
          <cell r="E110" t="str">
            <v>A</v>
          </cell>
          <cell r="F110" t="str">
            <v>7.2.A</v>
          </cell>
        </row>
        <row r="111">
          <cell r="B111" t="str">
            <v>SOGAMOSO</v>
          </cell>
          <cell r="C111">
            <v>7</v>
          </cell>
          <cell r="D111">
            <v>2</v>
          </cell>
          <cell r="E111" t="str">
            <v>A</v>
          </cell>
          <cell r="F111" t="str">
            <v>7.2.A</v>
          </cell>
        </row>
        <row r="112">
          <cell r="B112" t="str">
            <v>MALAGA</v>
          </cell>
          <cell r="C112">
            <v>7</v>
          </cell>
          <cell r="D112">
            <v>2</v>
          </cell>
          <cell r="E112" t="str">
            <v>A</v>
          </cell>
          <cell r="F112" t="str">
            <v>7.2.A</v>
          </cell>
        </row>
        <row r="113">
          <cell r="B113" t="str">
            <v>SAN GIL</v>
          </cell>
          <cell r="C113">
            <v>7</v>
          </cell>
          <cell r="D113">
            <v>2</v>
          </cell>
          <cell r="E113" t="str">
            <v>A</v>
          </cell>
          <cell r="F113" t="str">
            <v>7.2.A</v>
          </cell>
        </row>
        <row r="114">
          <cell r="B114" t="str">
            <v>SOCORRO</v>
          </cell>
          <cell r="C114">
            <v>7</v>
          </cell>
          <cell r="D114">
            <v>2</v>
          </cell>
          <cell r="E114" t="str">
            <v>A</v>
          </cell>
          <cell r="F114" t="str">
            <v>7.2.A</v>
          </cell>
        </row>
        <row r="115">
          <cell r="B115" t="str">
            <v>VILLAVICENCIO</v>
          </cell>
          <cell r="C115">
            <v>7</v>
          </cell>
          <cell r="D115">
            <v>2</v>
          </cell>
          <cell r="E115" t="str">
            <v>B</v>
          </cell>
          <cell r="F115" t="str">
            <v>7.2.B</v>
          </cell>
        </row>
        <row r="116">
          <cell r="B116" t="str">
            <v>ACACIAS</v>
          </cell>
          <cell r="C116">
            <v>7</v>
          </cell>
          <cell r="D116">
            <v>2</v>
          </cell>
          <cell r="E116" t="str">
            <v>B</v>
          </cell>
          <cell r="F116" t="str">
            <v>7.2.B</v>
          </cell>
        </row>
        <row r="117">
          <cell r="B117" t="str">
            <v>GRANADA</v>
          </cell>
          <cell r="C117">
            <v>7</v>
          </cell>
          <cell r="D117">
            <v>2</v>
          </cell>
          <cell r="E117" t="str">
            <v>B</v>
          </cell>
          <cell r="F117" t="str">
            <v>7.2.B</v>
          </cell>
        </row>
        <row r="118">
          <cell r="B118" t="str">
            <v>LA PRIMAVERA</v>
          </cell>
          <cell r="C118">
            <v>7</v>
          </cell>
          <cell r="D118">
            <v>2</v>
          </cell>
          <cell r="E118" t="str">
            <v>B</v>
          </cell>
          <cell r="F118" t="str">
            <v>7.2.B</v>
          </cell>
        </row>
        <row r="119">
          <cell r="B119" t="str">
            <v>TAURAMENA</v>
          </cell>
          <cell r="C119">
            <v>7</v>
          </cell>
          <cell r="D119">
            <v>2</v>
          </cell>
          <cell r="E119" t="str">
            <v>B</v>
          </cell>
          <cell r="F119" t="str">
            <v>7.2.B</v>
          </cell>
        </row>
        <row r="120">
          <cell r="B120" t="str">
            <v>YOPAL</v>
          </cell>
          <cell r="C120">
            <v>7</v>
          </cell>
          <cell r="D120">
            <v>2</v>
          </cell>
          <cell r="E120" t="str">
            <v>B</v>
          </cell>
          <cell r="F120" t="str">
            <v>7.2.B</v>
          </cell>
        </row>
        <row r="121">
          <cell r="B121" t="str">
            <v>TAME</v>
          </cell>
          <cell r="C121">
            <v>7</v>
          </cell>
          <cell r="D121">
            <v>2</v>
          </cell>
          <cell r="E121" t="str">
            <v>C</v>
          </cell>
          <cell r="F121" t="str">
            <v>7.2.C</v>
          </cell>
        </row>
        <row r="122">
          <cell r="B122" t="str">
            <v>ARAUCA</v>
          </cell>
          <cell r="C122">
            <v>7</v>
          </cell>
          <cell r="D122">
            <v>2</v>
          </cell>
          <cell r="E122" t="str">
            <v>C</v>
          </cell>
          <cell r="F122" t="str">
            <v>7.2.C</v>
          </cell>
        </row>
        <row r="123">
          <cell r="B123" t="str">
            <v>ARAUQUITA</v>
          </cell>
          <cell r="C123">
            <v>7</v>
          </cell>
          <cell r="D123">
            <v>2</v>
          </cell>
          <cell r="E123" t="str">
            <v>C</v>
          </cell>
          <cell r="F123" t="str">
            <v>7.2.C</v>
          </cell>
        </row>
        <row r="124">
          <cell r="B124" t="str">
            <v>SARAVENA</v>
          </cell>
          <cell r="C124">
            <v>7</v>
          </cell>
          <cell r="D124">
            <v>2</v>
          </cell>
          <cell r="E124" t="str">
            <v>C</v>
          </cell>
          <cell r="F124" t="str">
            <v>7.2.C</v>
          </cell>
        </row>
        <row r="126">
          <cell r="B126" t="str">
            <v>RUTA 8</v>
          </cell>
          <cell r="C126" t="str">
            <v>PPAL</v>
          </cell>
          <cell r="D126" t="str">
            <v>SEC</v>
          </cell>
          <cell r="E126" t="str">
            <v>VAR</v>
          </cell>
          <cell r="F126" t="str">
            <v>RUTA</v>
          </cell>
        </row>
        <row r="127">
          <cell r="B127" t="str">
            <v>RIOSUCIO</v>
          </cell>
          <cell r="C127">
            <v>8</v>
          </cell>
          <cell r="D127">
            <v>1</v>
          </cell>
          <cell r="F127" t="str">
            <v>8.1</v>
          </cell>
        </row>
        <row r="128">
          <cell r="B128" t="str">
            <v>ANDES</v>
          </cell>
          <cell r="C128">
            <v>8</v>
          </cell>
          <cell r="D128">
            <v>1</v>
          </cell>
          <cell r="E128" t="str">
            <v>A</v>
          </cell>
          <cell r="F128" t="str">
            <v>8.1.A</v>
          </cell>
        </row>
        <row r="129">
          <cell r="B129" t="str">
            <v>CIUDAD BOLIVAR</v>
          </cell>
          <cell r="C129">
            <v>8</v>
          </cell>
          <cell r="D129">
            <v>1</v>
          </cell>
          <cell r="E129" t="str">
            <v>A</v>
          </cell>
          <cell r="F129" t="str">
            <v>8.1.A</v>
          </cell>
        </row>
        <row r="130">
          <cell r="B130" t="str">
            <v>URRAO</v>
          </cell>
          <cell r="C130">
            <v>8</v>
          </cell>
          <cell r="D130">
            <v>1</v>
          </cell>
          <cell r="E130" t="str">
            <v>A</v>
          </cell>
          <cell r="F130" t="str">
            <v>8.1.A</v>
          </cell>
        </row>
        <row r="131">
          <cell r="B131" t="str">
            <v>CALDAS</v>
          </cell>
          <cell r="C131">
            <v>8</v>
          </cell>
          <cell r="D131">
            <v>1</v>
          </cell>
          <cell r="E131" t="str">
            <v>A</v>
          </cell>
          <cell r="F131" t="str">
            <v>8.1.A</v>
          </cell>
        </row>
        <row r="132">
          <cell r="B132" t="str">
            <v>ITAGUI</v>
          </cell>
          <cell r="C132">
            <v>8</v>
          </cell>
          <cell r="D132">
            <v>1</v>
          </cell>
          <cell r="F132" t="str">
            <v>8.1</v>
          </cell>
        </row>
        <row r="133">
          <cell r="B133" t="str">
            <v>ENVIGADO</v>
          </cell>
          <cell r="C133">
            <v>8</v>
          </cell>
          <cell r="D133">
            <v>1</v>
          </cell>
          <cell r="F133" t="str">
            <v>8.1</v>
          </cell>
        </row>
        <row r="134">
          <cell r="B134" t="str">
            <v>MEDELLIN</v>
          </cell>
          <cell r="C134">
            <v>8</v>
          </cell>
          <cell r="D134">
            <v>1</v>
          </cell>
          <cell r="F134" t="str">
            <v>8.1</v>
          </cell>
        </row>
        <row r="135">
          <cell r="B135" t="str">
            <v>BELLO</v>
          </cell>
          <cell r="C135">
            <v>8</v>
          </cell>
          <cell r="D135">
            <v>1</v>
          </cell>
          <cell r="F135" t="str">
            <v>8.1</v>
          </cell>
        </row>
        <row r="136">
          <cell r="B136" t="str">
            <v>SONSON</v>
          </cell>
          <cell r="C136">
            <v>8</v>
          </cell>
          <cell r="D136">
            <v>2</v>
          </cell>
          <cell r="F136" t="str">
            <v>8.2</v>
          </cell>
        </row>
        <row r="137">
          <cell r="B137" t="str">
            <v>RIONEGRO</v>
          </cell>
          <cell r="C137">
            <v>8</v>
          </cell>
          <cell r="D137">
            <v>2</v>
          </cell>
          <cell r="F137" t="str">
            <v>8.2</v>
          </cell>
        </row>
        <row r="138">
          <cell r="B138" t="str">
            <v>COPACABANA</v>
          </cell>
          <cell r="C138">
            <v>8</v>
          </cell>
          <cell r="D138">
            <v>2</v>
          </cell>
          <cell r="E138" t="str">
            <v>A</v>
          </cell>
          <cell r="F138" t="str">
            <v>8.2.A</v>
          </cell>
        </row>
        <row r="139">
          <cell r="B139" t="str">
            <v>BARBOSA</v>
          </cell>
          <cell r="C139">
            <v>8</v>
          </cell>
          <cell r="D139">
            <v>2</v>
          </cell>
          <cell r="E139" t="str">
            <v>A</v>
          </cell>
          <cell r="F139" t="str">
            <v>8.2.A</v>
          </cell>
        </row>
        <row r="140">
          <cell r="B140" t="str">
            <v>SAN ROQUE</v>
          </cell>
          <cell r="C140">
            <v>8</v>
          </cell>
          <cell r="D140">
            <v>2</v>
          </cell>
          <cell r="E140" t="str">
            <v>A</v>
          </cell>
          <cell r="F140" t="str">
            <v>8.2.A</v>
          </cell>
        </row>
        <row r="141">
          <cell r="B141" t="str">
            <v>SEGOVIA</v>
          </cell>
          <cell r="C141">
            <v>8</v>
          </cell>
          <cell r="D141">
            <v>2</v>
          </cell>
          <cell r="E141" t="str">
            <v>A</v>
          </cell>
          <cell r="F141" t="str">
            <v>8.2.A</v>
          </cell>
        </row>
        <row r="142">
          <cell r="B142" t="str">
            <v>SANTA ROSA DE OSOS</v>
          </cell>
          <cell r="C142">
            <v>8</v>
          </cell>
          <cell r="D142">
            <v>3</v>
          </cell>
          <cell r="F142" t="str">
            <v>8.3</v>
          </cell>
        </row>
        <row r="143">
          <cell r="B143" t="str">
            <v>YARUMAL</v>
          </cell>
          <cell r="C143">
            <v>8</v>
          </cell>
          <cell r="D143">
            <v>3</v>
          </cell>
          <cell r="F143" t="str">
            <v>8.3</v>
          </cell>
        </row>
        <row r="144">
          <cell r="B144" t="str">
            <v>TARAZA</v>
          </cell>
          <cell r="C144">
            <v>8</v>
          </cell>
          <cell r="D144">
            <v>3</v>
          </cell>
          <cell r="F144" t="str">
            <v>8.3</v>
          </cell>
        </row>
        <row r="145">
          <cell r="B145" t="str">
            <v>CAUCASIA</v>
          </cell>
          <cell r="C145">
            <v>8</v>
          </cell>
          <cell r="D145">
            <v>3</v>
          </cell>
          <cell r="F145" t="str">
            <v>8.3</v>
          </cell>
        </row>
        <row r="146">
          <cell r="B146" t="str">
            <v>LA APARTADA</v>
          </cell>
          <cell r="C146">
            <v>8</v>
          </cell>
          <cell r="D146">
            <v>3</v>
          </cell>
          <cell r="F146" t="str">
            <v>8.3</v>
          </cell>
        </row>
        <row r="147">
          <cell r="B147" t="str">
            <v>MONTELIBANO</v>
          </cell>
          <cell r="C147">
            <v>8</v>
          </cell>
          <cell r="D147">
            <v>3</v>
          </cell>
          <cell r="E147" t="str">
            <v>A</v>
          </cell>
          <cell r="F147" t="str">
            <v>8.3.A</v>
          </cell>
        </row>
        <row r="148">
          <cell r="B148" t="str">
            <v>PUERTO LIBERTADOR</v>
          </cell>
          <cell r="C148">
            <v>8</v>
          </cell>
          <cell r="D148">
            <v>3</v>
          </cell>
          <cell r="E148" t="str">
            <v>A</v>
          </cell>
          <cell r="F148" t="str">
            <v>8.3.A</v>
          </cell>
        </row>
        <row r="149">
          <cell r="B149" t="str">
            <v>AYAPEL</v>
          </cell>
          <cell r="C149">
            <v>8</v>
          </cell>
          <cell r="D149">
            <v>3</v>
          </cell>
          <cell r="E149" t="str">
            <v>A</v>
          </cell>
          <cell r="F149" t="str">
            <v>8.3.A</v>
          </cell>
        </row>
        <row r="150">
          <cell r="B150" t="str">
            <v>PLANETA RICA</v>
          </cell>
          <cell r="C150">
            <v>8</v>
          </cell>
          <cell r="D150">
            <v>3</v>
          </cell>
          <cell r="F150" t="str">
            <v>8.3</v>
          </cell>
        </row>
        <row r="152">
          <cell r="B152" t="str">
            <v>RUTA 9</v>
          </cell>
          <cell r="C152" t="str">
            <v>PPAL</v>
          </cell>
          <cell r="D152" t="str">
            <v>SEC</v>
          </cell>
          <cell r="E152" t="str">
            <v>VAR</v>
          </cell>
          <cell r="F152" t="str">
            <v>RUTA</v>
          </cell>
        </row>
        <row r="153">
          <cell r="B153" t="str">
            <v>SANTAFE DE ANTIOQUIA</v>
          </cell>
          <cell r="C153">
            <v>9</v>
          </cell>
          <cell r="D153">
            <v>1</v>
          </cell>
          <cell r="F153" t="str">
            <v>9.1</v>
          </cell>
        </row>
        <row r="154">
          <cell r="B154" t="str">
            <v>APARTADO</v>
          </cell>
          <cell r="C154">
            <v>9</v>
          </cell>
          <cell r="D154">
            <v>1</v>
          </cell>
          <cell r="F154" t="str">
            <v>9.1</v>
          </cell>
        </row>
        <row r="155">
          <cell r="B155" t="str">
            <v>TURBO</v>
          </cell>
          <cell r="C155">
            <v>9</v>
          </cell>
          <cell r="D155">
            <v>1</v>
          </cell>
          <cell r="E155" t="str">
            <v>A</v>
          </cell>
          <cell r="F155" t="str">
            <v>9.1.A</v>
          </cell>
        </row>
        <row r="156">
          <cell r="B156" t="str">
            <v>NECLOCLI</v>
          </cell>
          <cell r="C156">
            <v>9</v>
          </cell>
          <cell r="D156">
            <v>1</v>
          </cell>
          <cell r="E156" t="str">
            <v>A</v>
          </cell>
          <cell r="F156" t="str">
            <v>9.1.A</v>
          </cell>
        </row>
        <row r="157">
          <cell r="B157" t="str">
            <v>ARBOLETES</v>
          </cell>
          <cell r="C157">
            <v>9</v>
          </cell>
          <cell r="D157">
            <v>1</v>
          </cell>
          <cell r="E157" t="str">
            <v>A</v>
          </cell>
          <cell r="F157" t="str">
            <v>9.1.A</v>
          </cell>
        </row>
        <row r="158">
          <cell r="B158" t="str">
            <v>VALENCIA</v>
          </cell>
          <cell r="C158">
            <v>9</v>
          </cell>
          <cell r="D158">
            <v>2</v>
          </cell>
          <cell r="F158" t="str">
            <v>9.2</v>
          </cell>
        </row>
        <row r="159">
          <cell r="B159" t="str">
            <v>TIERRALTA</v>
          </cell>
          <cell r="C159">
            <v>9</v>
          </cell>
          <cell r="D159">
            <v>2</v>
          </cell>
          <cell r="F159" t="str">
            <v>9.2</v>
          </cell>
        </row>
        <row r="160">
          <cell r="B160" t="str">
            <v>MONTERIA</v>
          </cell>
          <cell r="C160">
            <v>9</v>
          </cell>
          <cell r="D160">
            <v>2</v>
          </cell>
          <cell r="F160" t="str">
            <v>9.2</v>
          </cell>
        </row>
        <row r="161">
          <cell r="B161" t="str">
            <v>CERETE</v>
          </cell>
          <cell r="C161">
            <v>9</v>
          </cell>
          <cell r="D161">
            <v>2</v>
          </cell>
          <cell r="F161" t="str">
            <v>9.2</v>
          </cell>
        </row>
        <row r="162">
          <cell r="B162" t="str">
            <v>SAN PELAYO</v>
          </cell>
          <cell r="C162">
            <v>9</v>
          </cell>
          <cell r="D162">
            <v>2</v>
          </cell>
          <cell r="F162" t="str">
            <v>9.2</v>
          </cell>
        </row>
        <row r="163">
          <cell r="B163" t="str">
            <v>LORICA</v>
          </cell>
          <cell r="C163">
            <v>9</v>
          </cell>
          <cell r="D163">
            <v>2</v>
          </cell>
          <cell r="F163" t="str">
            <v>9.2</v>
          </cell>
        </row>
        <row r="164">
          <cell r="B164" t="str">
            <v>SAN ANTERO</v>
          </cell>
          <cell r="C164">
            <v>9</v>
          </cell>
          <cell r="D164">
            <v>2</v>
          </cell>
          <cell r="E164" t="str">
            <v>A</v>
          </cell>
          <cell r="F164" t="str">
            <v>9.2.A</v>
          </cell>
        </row>
        <row r="165">
          <cell r="B165" t="str">
            <v>SAN BERNARDO DEL VIENTO</v>
          </cell>
          <cell r="C165">
            <v>9</v>
          </cell>
          <cell r="D165">
            <v>2</v>
          </cell>
          <cell r="E165" t="str">
            <v>A</v>
          </cell>
          <cell r="F165" t="str">
            <v>9.2.A</v>
          </cell>
        </row>
        <row r="166">
          <cell r="B166" t="str">
            <v>SAN ANDRES DE SOTAVENTO</v>
          </cell>
          <cell r="C166">
            <v>9</v>
          </cell>
          <cell r="D166">
            <v>2</v>
          </cell>
          <cell r="F166" t="str">
            <v>9.2</v>
          </cell>
        </row>
        <row r="168">
          <cell r="B168" t="str">
            <v>RUTA 10</v>
          </cell>
          <cell r="C168" t="str">
            <v>PPAL</v>
          </cell>
          <cell r="D168" t="str">
            <v>SEC</v>
          </cell>
          <cell r="E168" t="str">
            <v>VAR</v>
          </cell>
          <cell r="F168" t="str">
            <v>RUTA</v>
          </cell>
        </row>
        <row r="169">
          <cell r="B169" t="str">
            <v>MAJAGUAL</v>
          </cell>
          <cell r="C169">
            <v>10</v>
          </cell>
          <cell r="D169">
            <v>1</v>
          </cell>
          <cell r="F169" t="str">
            <v>10.1</v>
          </cell>
        </row>
        <row r="170">
          <cell r="B170" t="str">
            <v>SAN MARCOS</v>
          </cell>
          <cell r="C170">
            <v>10</v>
          </cell>
          <cell r="D170">
            <v>1</v>
          </cell>
          <cell r="E170" t="str">
            <v>A</v>
          </cell>
          <cell r="F170" t="str">
            <v>10.1.A</v>
          </cell>
        </row>
        <row r="171">
          <cell r="B171" t="str">
            <v>CIENAGA DE ORO</v>
          </cell>
          <cell r="C171">
            <v>10</v>
          </cell>
          <cell r="D171">
            <v>1</v>
          </cell>
          <cell r="E171" t="str">
            <v>A</v>
          </cell>
          <cell r="F171" t="str">
            <v>10.1.A</v>
          </cell>
        </row>
        <row r="172">
          <cell r="B172" t="str">
            <v>SAHAGUN</v>
          </cell>
          <cell r="C172">
            <v>10</v>
          </cell>
          <cell r="D172">
            <v>1</v>
          </cell>
          <cell r="F172" t="str">
            <v>10.1</v>
          </cell>
        </row>
        <row r="173">
          <cell r="B173" t="str">
            <v>CHINU</v>
          </cell>
          <cell r="C173">
            <v>10</v>
          </cell>
          <cell r="D173">
            <v>1</v>
          </cell>
          <cell r="F173" t="str">
            <v>10.1</v>
          </cell>
        </row>
        <row r="174">
          <cell r="B174" t="str">
            <v>SAMPUES</v>
          </cell>
          <cell r="C174">
            <v>10</v>
          </cell>
          <cell r="D174">
            <v>1</v>
          </cell>
          <cell r="F174" t="str">
            <v>10.1</v>
          </cell>
        </row>
        <row r="175">
          <cell r="B175" t="str">
            <v>SINCELEJO</v>
          </cell>
          <cell r="C175">
            <v>10</v>
          </cell>
          <cell r="D175">
            <v>1</v>
          </cell>
          <cell r="F175" t="str">
            <v>10.1</v>
          </cell>
        </row>
        <row r="176">
          <cell r="B176" t="str">
            <v>COROZAL</v>
          </cell>
          <cell r="C176">
            <v>10</v>
          </cell>
          <cell r="D176">
            <v>2</v>
          </cell>
          <cell r="F176" t="str">
            <v>10.2</v>
          </cell>
        </row>
        <row r="177">
          <cell r="B177" t="str">
            <v>MAGANGUE</v>
          </cell>
          <cell r="C177">
            <v>10</v>
          </cell>
          <cell r="D177">
            <v>2</v>
          </cell>
          <cell r="F177" t="str">
            <v>10.2</v>
          </cell>
        </row>
        <row r="178">
          <cell r="B178" t="str">
            <v>SANTA ANA</v>
          </cell>
          <cell r="C178">
            <v>10</v>
          </cell>
          <cell r="D178">
            <v>2</v>
          </cell>
          <cell r="F178" t="str">
            <v>10.2</v>
          </cell>
        </row>
        <row r="179">
          <cell r="B179" t="str">
            <v>MOMPOS</v>
          </cell>
          <cell r="C179">
            <v>10</v>
          </cell>
          <cell r="D179">
            <v>2</v>
          </cell>
          <cell r="F179" t="str">
            <v>10.2</v>
          </cell>
        </row>
        <row r="180">
          <cell r="B180" t="str">
            <v>SAN SEBASTIAN BUENAVIST</v>
          </cell>
          <cell r="C180">
            <v>10</v>
          </cell>
          <cell r="D180">
            <v>2</v>
          </cell>
          <cell r="F180" t="str">
            <v>10.2</v>
          </cell>
        </row>
        <row r="181">
          <cell r="B181" t="str">
            <v>GUAMAL</v>
          </cell>
          <cell r="C181">
            <v>10</v>
          </cell>
          <cell r="D181">
            <v>2</v>
          </cell>
          <cell r="F181" t="str">
            <v>10.2</v>
          </cell>
        </row>
        <row r="182">
          <cell r="B182" t="str">
            <v>EL BANCO</v>
          </cell>
          <cell r="C182">
            <v>10</v>
          </cell>
          <cell r="D182">
            <v>2</v>
          </cell>
          <cell r="F182" t="str">
            <v>10.2</v>
          </cell>
        </row>
        <row r="184">
          <cell r="B184" t="str">
            <v>RUTA 11</v>
          </cell>
          <cell r="C184" t="str">
            <v>PPAL</v>
          </cell>
          <cell r="D184" t="str">
            <v>SEC</v>
          </cell>
          <cell r="E184" t="str">
            <v>VAR</v>
          </cell>
          <cell r="F184" t="str">
            <v>RUTA</v>
          </cell>
        </row>
        <row r="185">
          <cell r="B185" t="str">
            <v>EL CARMEN DE BOLIVAR</v>
          </cell>
          <cell r="C185">
            <v>11</v>
          </cell>
          <cell r="D185">
            <v>1</v>
          </cell>
          <cell r="F185" t="str">
            <v>11.1</v>
          </cell>
        </row>
        <row r="186">
          <cell r="B186" t="str">
            <v>PLATO</v>
          </cell>
          <cell r="C186">
            <v>11</v>
          </cell>
          <cell r="D186">
            <v>1</v>
          </cell>
          <cell r="E186" t="str">
            <v>A</v>
          </cell>
          <cell r="F186" t="str">
            <v>11.1.A</v>
          </cell>
        </row>
        <row r="187">
          <cell r="B187" t="str">
            <v>CARTAGENA</v>
          </cell>
          <cell r="C187">
            <v>11</v>
          </cell>
          <cell r="D187">
            <v>1</v>
          </cell>
          <cell r="E187" t="str">
            <v>A</v>
          </cell>
          <cell r="F187" t="str">
            <v>11.1.A</v>
          </cell>
        </row>
        <row r="188">
          <cell r="B188" t="str">
            <v>SABANALARGA</v>
          </cell>
          <cell r="C188">
            <v>11</v>
          </cell>
          <cell r="D188">
            <v>2</v>
          </cell>
          <cell r="F188" t="str">
            <v>11.2</v>
          </cell>
        </row>
        <row r="189">
          <cell r="B189" t="str">
            <v>PIVIJAY</v>
          </cell>
          <cell r="C189">
            <v>11</v>
          </cell>
          <cell r="D189">
            <v>2</v>
          </cell>
          <cell r="F189" t="str">
            <v>11.2</v>
          </cell>
        </row>
        <row r="190">
          <cell r="B190" t="str">
            <v>BARRANQUILLA</v>
          </cell>
          <cell r="C190">
            <v>11</v>
          </cell>
          <cell r="D190">
            <v>2</v>
          </cell>
          <cell r="F190" t="str">
            <v>11.2</v>
          </cell>
        </row>
        <row r="191">
          <cell r="B191" t="str">
            <v>SOLEDAD</v>
          </cell>
          <cell r="C191">
            <v>11</v>
          </cell>
          <cell r="D191">
            <v>2</v>
          </cell>
          <cell r="F191" t="str">
            <v>11.2</v>
          </cell>
        </row>
        <row r="192">
          <cell r="B192" t="str">
            <v>CIENAGA</v>
          </cell>
          <cell r="C192">
            <v>11</v>
          </cell>
          <cell r="D192">
            <v>2</v>
          </cell>
          <cell r="F192" t="str">
            <v>11.2</v>
          </cell>
        </row>
        <row r="193">
          <cell r="B193" t="str">
            <v>SANTA MARTA</v>
          </cell>
          <cell r="C193">
            <v>11</v>
          </cell>
          <cell r="D193">
            <v>2</v>
          </cell>
          <cell r="F193" t="str">
            <v>11.2</v>
          </cell>
        </row>
        <row r="194">
          <cell r="B194" t="str">
            <v>FUNDACION</v>
          </cell>
          <cell r="C194">
            <v>11</v>
          </cell>
          <cell r="D194">
            <v>2</v>
          </cell>
          <cell r="F194" t="str">
            <v>11.2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ndar de Rutas"/>
      <sheetName val="DATOS"/>
      <sheetName val="DIRECTORIO"/>
      <sheetName val="PASO 2 DISPONIBILIDAD"/>
      <sheetName val="PASO 3 MOTOS DESCUENTO"/>
      <sheetName val="PASO 4 INF. DE CUPOS"/>
      <sheetName val="Status Rutas"/>
      <sheetName val="PROGRAMACION DE VIAJES"/>
      <sheetName val="INF. CLIENTE"/>
      <sheetName val="INF. PORTERIA"/>
      <sheetName val="ESTANDAR"/>
      <sheetName val="Hoja4"/>
    </sheetNames>
    <sheetDataSet>
      <sheetData sheetId="0"/>
      <sheetData sheetId="1">
        <row r="1">
          <cell r="N1" t="str">
            <v>Cliente factura</v>
          </cell>
        </row>
        <row r="2">
          <cell r="N2">
            <v>900593566</v>
          </cell>
        </row>
        <row r="3">
          <cell r="N3">
            <v>900593566</v>
          </cell>
        </row>
        <row r="4">
          <cell r="N4">
            <v>900593566</v>
          </cell>
        </row>
        <row r="5">
          <cell r="N5">
            <v>900593566</v>
          </cell>
        </row>
        <row r="6">
          <cell r="N6">
            <v>900593566</v>
          </cell>
        </row>
        <row r="7">
          <cell r="N7">
            <v>900593566</v>
          </cell>
        </row>
        <row r="8">
          <cell r="N8">
            <v>900593566</v>
          </cell>
        </row>
        <row r="9">
          <cell r="N9">
            <v>900593566</v>
          </cell>
        </row>
        <row r="10">
          <cell r="N10">
            <v>900593566</v>
          </cell>
        </row>
        <row r="11">
          <cell r="N11">
            <v>900593566</v>
          </cell>
        </row>
        <row r="12">
          <cell r="N12">
            <v>900228870</v>
          </cell>
        </row>
        <row r="13">
          <cell r="N13">
            <v>900228870</v>
          </cell>
        </row>
        <row r="14">
          <cell r="N14">
            <v>900228870</v>
          </cell>
        </row>
        <row r="15">
          <cell r="N15">
            <v>900228870</v>
          </cell>
        </row>
        <row r="16">
          <cell r="N16">
            <v>900228870</v>
          </cell>
        </row>
        <row r="17">
          <cell r="N17">
            <v>900228870</v>
          </cell>
        </row>
        <row r="18">
          <cell r="N18">
            <v>900334447</v>
          </cell>
        </row>
        <row r="19">
          <cell r="N19">
            <v>900334447</v>
          </cell>
        </row>
        <row r="20">
          <cell r="N20">
            <v>900334447</v>
          </cell>
        </row>
        <row r="21">
          <cell r="N21">
            <v>900334447</v>
          </cell>
        </row>
        <row r="22">
          <cell r="N22">
            <v>900334447</v>
          </cell>
        </row>
        <row r="23">
          <cell r="N23">
            <v>900334447</v>
          </cell>
        </row>
        <row r="24">
          <cell r="N24">
            <v>900334447</v>
          </cell>
        </row>
        <row r="25">
          <cell r="N25">
            <v>900334447</v>
          </cell>
        </row>
        <row r="26">
          <cell r="N26">
            <v>900334447</v>
          </cell>
        </row>
        <row r="27">
          <cell r="N27">
            <v>900334447</v>
          </cell>
        </row>
        <row r="28">
          <cell r="N28">
            <v>900334447</v>
          </cell>
        </row>
        <row r="29">
          <cell r="N29">
            <v>900334447</v>
          </cell>
        </row>
        <row r="30">
          <cell r="N30">
            <v>900334447</v>
          </cell>
        </row>
        <row r="31">
          <cell r="N31">
            <v>900334447</v>
          </cell>
        </row>
        <row r="32">
          <cell r="N32">
            <v>900334447</v>
          </cell>
        </row>
        <row r="33">
          <cell r="N33">
            <v>900334447</v>
          </cell>
        </row>
        <row r="34">
          <cell r="N34">
            <v>900334447</v>
          </cell>
        </row>
        <row r="35">
          <cell r="N35">
            <v>900334447</v>
          </cell>
        </row>
        <row r="36">
          <cell r="N36">
            <v>900334447</v>
          </cell>
        </row>
        <row r="37">
          <cell r="N37">
            <v>900334447</v>
          </cell>
        </row>
        <row r="38">
          <cell r="N38">
            <v>900334447</v>
          </cell>
        </row>
        <row r="39">
          <cell r="N39">
            <v>900334447</v>
          </cell>
        </row>
        <row r="40">
          <cell r="N40">
            <v>900334447</v>
          </cell>
        </row>
        <row r="41">
          <cell r="N41">
            <v>900334447</v>
          </cell>
        </row>
        <row r="42">
          <cell r="N42">
            <v>900334447</v>
          </cell>
        </row>
        <row r="43">
          <cell r="N43">
            <v>900334447</v>
          </cell>
        </row>
        <row r="44">
          <cell r="N44">
            <v>900334447</v>
          </cell>
        </row>
        <row r="45">
          <cell r="N45">
            <v>900334447</v>
          </cell>
        </row>
        <row r="46">
          <cell r="N46">
            <v>900334447</v>
          </cell>
        </row>
        <row r="47">
          <cell r="N47">
            <v>900334447</v>
          </cell>
        </row>
        <row r="48">
          <cell r="N48">
            <v>900334447</v>
          </cell>
        </row>
        <row r="49">
          <cell r="N49">
            <v>900334447</v>
          </cell>
        </row>
        <row r="50">
          <cell r="N50">
            <v>900334447</v>
          </cell>
        </row>
        <row r="51">
          <cell r="N51">
            <v>900334447</v>
          </cell>
        </row>
        <row r="52">
          <cell r="N52">
            <v>1046902802</v>
          </cell>
        </row>
        <row r="53">
          <cell r="N53">
            <v>891903377</v>
          </cell>
        </row>
        <row r="54">
          <cell r="N54">
            <v>891903377</v>
          </cell>
        </row>
        <row r="55">
          <cell r="N55">
            <v>891903377</v>
          </cell>
        </row>
        <row r="56">
          <cell r="N56">
            <v>891903377</v>
          </cell>
        </row>
        <row r="57">
          <cell r="N57">
            <v>891903377</v>
          </cell>
        </row>
        <row r="58">
          <cell r="N58">
            <v>891903377</v>
          </cell>
        </row>
        <row r="59">
          <cell r="N59">
            <v>9398760</v>
          </cell>
        </row>
        <row r="60">
          <cell r="N60">
            <v>9398760</v>
          </cell>
        </row>
        <row r="61">
          <cell r="N61">
            <v>9398760</v>
          </cell>
        </row>
        <row r="62">
          <cell r="N62">
            <v>9398760</v>
          </cell>
        </row>
        <row r="63">
          <cell r="N63">
            <v>9398760</v>
          </cell>
        </row>
        <row r="64">
          <cell r="N64">
            <v>9398760</v>
          </cell>
        </row>
        <row r="65">
          <cell r="N65">
            <v>9398760</v>
          </cell>
        </row>
        <row r="66">
          <cell r="N66">
            <v>9398760</v>
          </cell>
        </row>
        <row r="67">
          <cell r="N67">
            <v>9398760</v>
          </cell>
        </row>
        <row r="68">
          <cell r="N68">
            <v>9398760</v>
          </cell>
        </row>
        <row r="69">
          <cell r="N69">
            <v>9398760</v>
          </cell>
        </row>
        <row r="70">
          <cell r="N70">
            <v>9398760</v>
          </cell>
        </row>
        <row r="71">
          <cell r="N71">
            <v>37807909</v>
          </cell>
        </row>
        <row r="72">
          <cell r="N72">
            <v>37807909</v>
          </cell>
        </row>
        <row r="73">
          <cell r="N73">
            <v>37807909</v>
          </cell>
        </row>
        <row r="74">
          <cell r="N74">
            <v>37807909</v>
          </cell>
        </row>
        <row r="75">
          <cell r="N75">
            <v>37807909</v>
          </cell>
        </row>
        <row r="76">
          <cell r="N76">
            <v>37807909</v>
          </cell>
        </row>
        <row r="77">
          <cell r="N77">
            <v>37807909</v>
          </cell>
        </row>
        <row r="78">
          <cell r="N78">
            <v>37807909</v>
          </cell>
        </row>
        <row r="79">
          <cell r="N79">
            <v>37807909</v>
          </cell>
        </row>
        <row r="80">
          <cell r="N80">
            <v>37807909</v>
          </cell>
        </row>
        <row r="81">
          <cell r="N81">
            <v>900768559</v>
          </cell>
        </row>
        <row r="82">
          <cell r="N82">
            <v>900768559</v>
          </cell>
        </row>
        <row r="83">
          <cell r="N83">
            <v>900768559</v>
          </cell>
        </row>
        <row r="84">
          <cell r="N84">
            <v>900768559</v>
          </cell>
        </row>
        <row r="85">
          <cell r="N85">
            <v>900768559</v>
          </cell>
        </row>
        <row r="86">
          <cell r="N86">
            <v>900768559</v>
          </cell>
        </row>
        <row r="87">
          <cell r="N87">
            <v>900768559</v>
          </cell>
        </row>
        <row r="88">
          <cell r="N88">
            <v>900768559</v>
          </cell>
        </row>
        <row r="89">
          <cell r="N89">
            <v>900768559</v>
          </cell>
        </row>
        <row r="90">
          <cell r="N90">
            <v>900768559</v>
          </cell>
        </row>
        <row r="91">
          <cell r="N91">
            <v>900768559</v>
          </cell>
        </row>
        <row r="92">
          <cell r="N92">
            <v>900768559</v>
          </cell>
        </row>
        <row r="93">
          <cell r="N93">
            <v>900095491</v>
          </cell>
        </row>
        <row r="94">
          <cell r="N94">
            <v>900095491</v>
          </cell>
        </row>
        <row r="95">
          <cell r="N95">
            <v>900095491</v>
          </cell>
        </row>
        <row r="96">
          <cell r="N96">
            <v>900095491</v>
          </cell>
        </row>
        <row r="97">
          <cell r="N97">
            <v>900095491</v>
          </cell>
        </row>
        <row r="98">
          <cell r="N98">
            <v>900095491</v>
          </cell>
        </row>
        <row r="99">
          <cell r="N99">
            <v>900095491</v>
          </cell>
        </row>
        <row r="100">
          <cell r="N100">
            <v>900095491</v>
          </cell>
        </row>
        <row r="101">
          <cell r="N101">
            <v>900095491</v>
          </cell>
        </row>
        <row r="102">
          <cell r="N102">
            <v>900095491</v>
          </cell>
        </row>
        <row r="103">
          <cell r="N103">
            <v>900095491</v>
          </cell>
        </row>
        <row r="104">
          <cell r="N104">
            <v>900095491</v>
          </cell>
        </row>
        <row r="105">
          <cell r="N105">
            <v>900095491</v>
          </cell>
        </row>
        <row r="106">
          <cell r="N106">
            <v>900095491</v>
          </cell>
        </row>
        <row r="107">
          <cell r="N107">
            <v>900095491</v>
          </cell>
        </row>
        <row r="108">
          <cell r="N108">
            <v>890705341</v>
          </cell>
        </row>
        <row r="109">
          <cell r="N109">
            <v>890705341</v>
          </cell>
        </row>
        <row r="110">
          <cell r="N110">
            <v>890705341</v>
          </cell>
        </row>
        <row r="111">
          <cell r="N111">
            <v>890705341</v>
          </cell>
        </row>
        <row r="112">
          <cell r="N112">
            <v>890705341</v>
          </cell>
        </row>
        <row r="113">
          <cell r="N113">
            <v>890705341</v>
          </cell>
        </row>
        <row r="114">
          <cell r="N114">
            <v>890705341</v>
          </cell>
        </row>
        <row r="115">
          <cell r="N115">
            <v>890705341</v>
          </cell>
        </row>
        <row r="116">
          <cell r="N116">
            <v>890705341</v>
          </cell>
        </row>
        <row r="117">
          <cell r="N117">
            <v>890705341</v>
          </cell>
        </row>
        <row r="118">
          <cell r="N118">
            <v>890705341</v>
          </cell>
        </row>
        <row r="119">
          <cell r="N119">
            <v>890705341</v>
          </cell>
        </row>
        <row r="120">
          <cell r="N120">
            <v>890705341</v>
          </cell>
        </row>
        <row r="121">
          <cell r="N121">
            <v>890705341</v>
          </cell>
        </row>
        <row r="122">
          <cell r="N122">
            <v>890705341</v>
          </cell>
        </row>
        <row r="123">
          <cell r="N123">
            <v>890705341</v>
          </cell>
        </row>
        <row r="124">
          <cell r="N124">
            <v>890705341</v>
          </cell>
        </row>
        <row r="125">
          <cell r="N125">
            <v>890705341</v>
          </cell>
        </row>
        <row r="126">
          <cell r="N126">
            <v>890705341</v>
          </cell>
        </row>
        <row r="127">
          <cell r="N127">
            <v>890705341</v>
          </cell>
        </row>
        <row r="128">
          <cell r="N128">
            <v>890705341</v>
          </cell>
        </row>
        <row r="129">
          <cell r="N129">
            <v>890705341</v>
          </cell>
        </row>
        <row r="130">
          <cell r="N130">
            <v>890705341</v>
          </cell>
        </row>
        <row r="131">
          <cell r="N131">
            <v>890705341</v>
          </cell>
        </row>
        <row r="132">
          <cell r="N132">
            <v>890705341</v>
          </cell>
        </row>
        <row r="133">
          <cell r="N133">
            <v>890705341</v>
          </cell>
        </row>
        <row r="134">
          <cell r="N134">
            <v>890705341</v>
          </cell>
        </row>
        <row r="135">
          <cell r="N135">
            <v>890705341</v>
          </cell>
        </row>
        <row r="136">
          <cell r="N136">
            <v>890705341</v>
          </cell>
        </row>
        <row r="137">
          <cell r="N137">
            <v>890705341</v>
          </cell>
        </row>
        <row r="138">
          <cell r="N138">
            <v>890705341</v>
          </cell>
        </row>
        <row r="139">
          <cell r="N139">
            <v>890705341</v>
          </cell>
        </row>
        <row r="140">
          <cell r="N140">
            <v>890705341</v>
          </cell>
        </row>
        <row r="141">
          <cell r="N141">
            <v>890705341</v>
          </cell>
        </row>
        <row r="142">
          <cell r="N142">
            <v>890705341</v>
          </cell>
        </row>
        <row r="143">
          <cell r="N143">
            <v>890705341</v>
          </cell>
        </row>
        <row r="144">
          <cell r="N144">
            <v>890705341</v>
          </cell>
        </row>
        <row r="145">
          <cell r="N145">
            <v>890705341</v>
          </cell>
        </row>
        <row r="146">
          <cell r="N146">
            <v>890705341</v>
          </cell>
        </row>
        <row r="147">
          <cell r="N147">
            <v>890705341</v>
          </cell>
        </row>
        <row r="148">
          <cell r="N148">
            <v>890705341</v>
          </cell>
        </row>
        <row r="149">
          <cell r="N149">
            <v>890705341</v>
          </cell>
        </row>
        <row r="150">
          <cell r="N150">
            <v>890705341</v>
          </cell>
        </row>
        <row r="151">
          <cell r="N151">
            <v>890705341</v>
          </cell>
        </row>
        <row r="152">
          <cell r="N152">
            <v>890705341</v>
          </cell>
        </row>
        <row r="153">
          <cell r="N153">
            <v>890705341</v>
          </cell>
        </row>
        <row r="154">
          <cell r="N154">
            <v>890705341</v>
          </cell>
        </row>
        <row r="155">
          <cell r="N155">
            <v>890705341</v>
          </cell>
        </row>
        <row r="156">
          <cell r="N156">
            <v>890705341</v>
          </cell>
        </row>
        <row r="157">
          <cell r="N157">
            <v>900181404</v>
          </cell>
        </row>
        <row r="158">
          <cell r="N158">
            <v>900181404</v>
          </cell>
        </row>
        <row r="159">
          <cell r="N159">
            <v>900181404</v>
          </cell>
        </row>
        <row r="160">
          <cell r="N160">
            <v>900181404</v>
          </cell>
        </row>
        <row r="161">
          <cell r="N161">
            <v>900181404</v>
          </cell>
        </row>
        <row r="162">
          <cell r="N162">
            <v>900181404</v>
          </cell>
        </row>
        <row r="163">
          <cell r="N163">
            <v>900181404</v>
          </cell>
        </row>
        <row r="164">
          <cell r="N164">
            <v>900182433</v>
          </cell>
        </row>
        <row r="165">
          <cell r="N165">
            <v>900182433</v>
          </cell>
        </row>
        <row r="166">
          <cell r="N166">
            <v>900182433</v>
          </cell>
        </row>
        <row r="167">
          <cell r="N167">
            <v>900182433</v>
          </cell>
        </row>
        <row r="168">
          <cell r="N168">
            <v>900182433</v>
          </cell>
        </row>
        <row r="169">
          <cell r="N169">
            <v>900182433</v>
          </cell>
        </row>
        <row r="170">
          <cell r="N170">
            <v>900052338</v>
          </cell>
        </row>
        <row r="171">
          <cell r="N171">
            <v>900052338</v>
          </cell>
        </row>
        <row r="172">
          <cell r="N172">
            <v>900052338</v>
          </cell>
        </row>
        <row r="173">
          <cell r="N173">
            <v>900052338</v>
          </cell>
        </row>
        <row r="174">
          <cell r="N174">
            <v>900052338</v>
          </cell>
        </row>
        <row r="175">
          <cell r="N175">
            <v>890705577</v>
          </cell>
        </row>
        <row r="176">
          <cell r="N176">
            <v>890705577</v>
          </cell>
        </row>
        <row r="177">
          <cell r="N177">
            <v>890705577</v>
          </cell>
        </row>
        <row r="178">
          <cell r="N178">
            <v>890705577</v>
          </cell>
        </row>
        <row r="179">
          <cell r="N179">
            <v>890705577</v>
          </cell>
        </row>
        <row r="180">
          <cell r="N180">
            <v>890705577</v>
          </cell>
        </row>
        <row r="181">
          <cell r="N181">
            <v>890705577</v>
          </cell>
        </row>
        <row r="182">
          <cell r="N182">
            <v>890705577</v>
          </cell>
        </row>
        <row r="183">
          <cell r="N183">
            <v>890705577</v>
          </cell>
        </row>
        <row r="184">
          <cell r="N184">
            <v>890705577</v>
          </cell>
        </row>
        <row r="185">
          <cell r="N185">
            <v>890705577</v>
          </cell>
        </row>
        <row r="186">
          <cell r="N186">
            <v>890705577</v>
          </cell>
        </row>
        <row r="187">
          <cell r="N187">
            <v>890705577</v>
          </cell>
        </row>
        <row r="188">
          <cell r="N188">
            <v>890705577</v>
          </cell>
        </row>
        <row r="189">
          <cell r="N189">
            <v>890705577</v>
          </cell>
        </row>
        <row r="190">
          <cell r="N190">
            <v>890705577</v>
          </cell>
        </row>
        <row r="191">
          <cell r="N191">
            <v>890705577</v>
          </cell>
        </row>
        <row r="192">
          <cell r="N192">
            <v>890705577</v>
          </cell>
        </row>
        <row r="193">
          <cell r="N193">
            <v>890705577</v>
          </cell>
        </row>
        <row r="194">
          <cell r="N194">
            <v>890705577</v>
          </cell>
        </row>
        <row r="195">
          <cell r="N195">
            <v>890705577</v>
          </cell>
        </row>
        <row r="196">
          <cell r="N196">
            <v>890705577</v>
          </cell>
        </row>
        <row r="197">
          <cell r="N197">
            <v>890705577</v>
          </cell>
        </row>
        <row r="198">
          <cell r="N198">
            <v>890705577</v>
          </cell>
        </row>
        <row r="199">
          <cell r="N199">
            <v>890705577</v>
          </cell>
        </row>
        <row r="200">
          <cell r="N200">
            <v>890705577</v>
          </cell>
        </row>
        <row r="201">
          <cell r="N201">
            <v>890705577</v>
          </cell>
        </row>
        <row r="202">
          <cell r="N202">
            <v>890705577</v>
          </cell>
        </row>
        <row r="203">
          <cell r="N203">
            <v>890705577</v>
          </cell>
        </row>
        <row r="204">
          <cell r="N204">
            <v>890705577</v>
          </cell>
        </row>
        <row r="205">
          <cell r="N205">
            <v>890705577</v>
          </cell>
        </row>
        <row r="206">
          <cell r="N206">
            <v>890705577</v>
          </cell>
        </row>
        <row r="207">
          <cell r="N207">
            <v>890705577</v>
          </cell>
        </row>
        <row r="208">
          <cell r="N208">
            <v>890705577</v>
          </cell>
        </row>
        <row r="209">
          <cell r="N209">
            <v>890705577</v>
          </cell>
        </row>
        <row r="210">
          <cell r="N210">
            <v>900078079</v>
          </cell>
        </row>
        <row r="211">
          <cell r="N211">
            <v>900078079</v>
          </cell>
        </row>
        <row r="212">
          <cell r="N212">
            <v>900078079</v>
          </cell>
        </row>
        <row r="213">
          <cell r="N213">
            <v>900078079</v>
          </cell>
        </row>
        <row r="214">
          <cell r="N214">
            <v>900078079</v>
          </cell>
        </row>
        <row r="215">
          <cell r="N215">
            <v>900078079</v>
          </cell>
        </row>
        <row r="216">
          <cell r="N216">
            <v>900078079</v>
          </cell>
        </row>
        <row r="217">
          <cell r="N217">
            <v>900078079</v>
          </cell>
        </row>
        <row r="218">
          <cell r="N218">
            <v>900078079</v>
          </cell>
        </row>
        <row r="219">
          <cell r="N219">
            <v>817000553</v>
          </cell>
        </row>
        <row r="220">
          <cell r="N220">
            <v>817000553</v>
          </cell>
        </row>
        <row r="221">
          <cell r="N221">
            <v>817000553</v>
          </cell>
        </row>
        <row r="222">
          <cell r="N222">
            <v>817000553</v>
          </cell>
        </row>
        <row r="223">
          <cell r="N223">
            <v>817000553</v>
          </cell>
        </row>
        <row r="224">
          <cell r="N224">
            <v>817000553</v>
          </cell>
        </row>
        <row r="225">
          <cell r="N225">
            <v>817000553</v>
          </cell>
        </row>
        <row r="226">
          <cell r="N226">
            <v>817000553</v>
          </cell>
        </row>
        <row r="227">
          <cell r="N227">
            <v>816008547</v>
          </cell>
        </row>
        <row r="228">
          <cell r="N228">
            <v>816008547</v>
          </cell>
        </row>
        <row r="229">
          <cell r="N229">
            <v>816008547</v>
          </cell>
        </row>
        <row r="230">
          <cell r="N230">
            <v>816008547</v>
          </cell>
        </row>
        <row r="231">
          <cell r="N231">
            <v>816008547</v>
          </cell>
        </row>
        <row r="232">
          <cell r="N232">
            <v>816008547</v>
          </cell>
        </row>
        <row r="233">
          <cell r="N233">
            <v>816008547</v>
          </cell>
        </row>
        <row r="234">
          <cell r="N234">
            <v>816008547</v>
          </cell>
        </row>
        <row r="235">
          <cell r="N235">
            <v>816008547</v>
          </cell>
        </row>
        <row r="236">
          <cell r="N236">
            <v>816008547</v>
          </cell>
        </row>
        <row r="237">
          <cell r="N237">
            <v>816008547</v>
          </cell>
        </row>
        <row r="238">
          <cell r="N238">
            <v>816008547</v>
          </cell>
        </row>
        <row r="239">
          <cell r="N239">
            <v>816008547</v>
          </cell>
        </row>
        <row r="240">
          <cell r="N240">
            <v>816008547</v>
          </cell>
        </row>
        <row r="241">
          <cell r="N241">
            <v>816008547</v>
          </cell>
        </row>
        <row r="242">
          <cell r="N242">
            <v>816008547</v>
          </cell>
        </row>
        <row r="243">
          <cell r="N243">
            <v>816008547</v>
          </cell>
        </row>
        <row r="244">
          <cell r="N244">
            <v>816008547</v>
          </cell>
        </row>
        <row r="245">
          <cell r="N245">
            <v>816008547</v>
          </cell>
        </row>
        <row r="246">
          <cell r="N246">
            <v>816008547</v>
          </cell>
        </row>
        <row r="247">
          <cell r="N247">
            <v>816008547</v>
          </cell>
        </row>
        <row r="248">
          <cell r="N248">
            <v>816008547</v>
          </cell>
        </row>
        <row r="249">
          <cell r="N249">
            <v>816008547</v>
          </cell>
        </row>
        <row r="250">
          <cell r="N250">
            <v>816008547</v>
          </cell>
        </row>
        <row r="251">
          <cell r="N251">
            <v>816008547</v>
          </cell>
        </row>
        <row r="252">
          <cell r="N252">
            <v>816008547</v>
          </cell>
        </row>
        <row r="253">
          <cell r="N253">
            <v>816008547</v>
          </cell>
        </row>
        <row r="254">
          <cell r="N254">
            <v>816008547</v>
          </cell>
        </row>
        <row r="255">
          <cell r="N255">
            <v>816008547</v>
          </cell>
        </row>
        <row r="256">
          <cell r="N256">
            <v>816008547</v>
          </cell>
        </row>
        <row r="257">
          <cell r="N257">
            <v>816008547</v>
          </cell>
        </row>
        <row r="258">
          <cell r="N258">
            <v>816008547</v>
          </cell>
        </row>
        <row r="259">
          <cell r="N259">
            <v>816008547</v>
          </cell>
        </row>
        <row r="260">
          <cell r="N260">
            <v>816008547</v>
          </cell>
        </row>
        <row r="261">
          <cell r="N261">
            <v>800191135</v>
          </cell>
        </row>
        <row r="262">
          <cell r="N262">
            <v>800191135</v>
          </cell>
        </row>
        <row r="263">
          <cell r="N263">
            <v>800191135</v>
          </cell>
        </row>
        <row r="264">
          <cell r="N264">
            <v>800191135</v>
          </cell>
        </row>
        <row r="265">
          <cell r="N265">
            <v>800191135</v>
          </cell>
        </row>
        <row r="266">
          <cell r="N266">
            <v>800191135</v>
          </cell>
        </row>
        <row r="267">
          <cell r="N267">
            <v>800191135</v>
          </cell>
        </row>
        <row r="268">
          <cell r="N268">
            <v>890207088</v>
          </cell>
        </row>
        <row r="269">
          <cell r="N269">
            <v>890207088</v>
          </cell>
        </row>
        <row r="270">
          <cell r="N270">
            <v>890207088</v>
          </cell>
        </row>
        <row r="271">
          <cell r="N271">
            <v>890207088</v>
          </cell>
        </row>
        <row r="272">
          <cell r="N272">
            <v>890207088</v>
          </cell>
        </row>
        <row r="273">
          <cell r="N273">
            <v>890207088</v>
          </cell>
        </row>
        <row r="274">
          <cell r="N274">
            <v>890207088</v>
          </cell>
        </row>
        <row r="275">
          <cell r="N275">
            <v>890207088</v>
          </cell>
        </row>
        <row r="276">
          <cell r="N276">
            <v>890207088</v>
          </cell>
        </row>
        <row r="277">
          <cell r="N277">
            <v>890207088</v>
          </cell>
        </row>
        <row r="278">
          <cell r="N278">
            <v>890207088</v>
          </cell>
        </row>
        <row r="279">
          <cell r="N279">
            <v>890207088</v>
          </cell>
        </row>
        <row r="280">
          <cell r="N280">
            <v>890207088</v>
          </cell>
        </row>
        <row r="281">
          <cell r="N281">
            <v>890207088</v>
          </cell>
        </row>
        <row r="282">
          <cell r="N282">
            <v>890207088</v>
          </cell>
        </row>
        <row r="283">
          <cell r="N283">
            <v>890207088</v>
          </cell>
        </row>
        <row r="284">
          <cell r="N284">
            <v>890207088</v>
          </cell>
        </row>
        <row r="285">
          <cell r="N285">
            <v>890207088</v>
          </cell>
        </row>
        <row r="286">
          <cell r="N286">
            <v>890207088</v>
          </cell>
        </row>
        <row r="287">
          <cell r="N287">
            <v>890207088</v>
          </cell>
        </row>
        <row r="288">
          <cell r="N288">
            <v>890207088</v>
          </cell>
        </row>
        <row r="289">
          <cell r="N289">
            <v>890207088</v>
          </cell>
        </row>
        <row r="290">
          <cell r="N290">
            <v>890207088</v>
          </cell>
        </row>
        <row r="291">
          <cell r="N291">
            <v>890207088</v>
          </cell>
        </row>
        <row r="292">
          <cell r="N292">
            <v>890207088</v>
          </cell>
        </row>
        <row r="293">
          <cell r="N293">
            <v>890207088</v>
          </cell>
        </row>
        <row r="294">
          <cell r="N294">
            <v>890207088</v>
          </cell>
        </row>
        <row r="295">
          <cell r="N295">
            <v>890207088</v>
          </cell>
        </row>
        <row r="296">
          <cell r="N296">
            <v>890207088</v>
          </cell>
        </row>
        <row r="297">
          <cell r="N297">
            <v>814006664</v>
          </cell>
        </row>
        <row r="298">
          <cell r="N298">
            <v>814006664</v>
          </cell>
        </row>
        <row r="299">
          <cell r="N299">
            <v>814006664</v>
          </cell>
        </row>
        <row r="300">
          <cell r="N300">
            <v>814006664</v>
          </cell>
        </row>
        <row r="301">
          <cell r="N301">
            <v>814006664</v>
          </cell>
        </row>
        <row r="302">
          <cell r="N302">
            <v>814006664</v>
          </cell>
        </row>
        <row r="303">
          <cell r="N303">
            <v>814006664</v>
          </cell>
        </row>
        <row r="304">
          <cell r="N304">
            <v>814006664</v>
          </cell>
        </row>
        <row r="305">
          <cell r="N305">
            <v>814006664</v>
          </cell>
        </row>
        <row r="306">
          <cell r="N306">
            <v>814006664</v>
          </cell>
        </row>
        <row r="307">
          <cell r="N307">
            <v>814006664</v>
          </cell>
        </row>
        <row r="308">
          <cell r="N308">
            <v>814006664</v>
          </cell>
        </row>
        <row r="309">
          <cell r="N309">
            <v>814006664</v>
          </cell>
        </row>
        <row r="310">
          <cell r="N310">
            <v>890924996</v>
          </cell>
        </row>
        <row r="311">
          <cell r="N311">
            <v>890924996</v>
          </cell>
        </row>
        <row r="312">
          <cell r="N312">
            <v>890924996</v>
          </cell>
        </row>
        <row r="313">
          <cell r="N313">
            <v>890924996</v>
          </cell>
        </row>
        <row r="314">
          <cell r="N314">
            <v>890924996</v>
          </cell>
        </row>
        <row r="315">
          <cell r="N315">
            <v>890924996</v>
          </cell>
        </row>
        <row r="316">
          <cell r="N316">
            <v>890924996</v>
          </cell>
        </row>
        <row r="317">
          <cell r="N317">
            <v>890924996</v>
          </cell>
        </row>
        <row r="318">
          <cell r="N318">
            <v>890924996</v>
          </cell>
        </row>
        <row r="319">
          <cell r="N319">
            <v>890924996</v>
          </cell>
        </row>
        <row r="320">
          <cell r="N320">
            <v>890924996</v>
          </cell>
        </row>
        <row r="321">
          <cell r="N321">
            <v>890924996</v>
          </cell>
        </row>
        <row r="322">
          <cell r="N322">
            <v>890924996</v>
          </cell>
        </row>
        <row r="323">
          <cell r="N323">
            <v>890924996</v>
          </cell>
        </row>
        <row r="324">
          <cell r="N324">
            <v>890924996</v>
          </cell>
        </row>
        <row r="325">
          <cell r="N325">
            <v>890924996</v>
          </cell>
        </row>
        <row r="326">
          <cell r="N326">
            <v>890924996</v>
          </cell>
        </row>
        <row r="327">
          <cell r="N327">
            <v>890924996</v>
          </cell>
        </row>
        <row r="328">
          <cell r="N328">
            <v>890924996</v>
          </cell>
        </row>
        <row r="329">
          <cell r="N329">
            <v>890924996</v>
          </cell>
        </row>
        <row r="330">
          <cell r="N330">
            <v>890924996</v>
          </cell>
        </row>
        <row r="331">
          <cell r="N331">
            <v>890924996</v>
          </cell>
        </row>
        <row r="332">
          <cell r="N332">
            <v>890924996</v>
          </cell>
        </row>
        <row r="333">
          <cell r="N333">
            <v>900129262</v>
          </cell>
        </row>
        <row r="334">
          <cell r="N334">
            <v>900129262</v>
          </cell>
        </row>
        <row r="335">
          <cell r="N335">
            <v>900129262</v>
          </cell>
        </row>
        <row r="336">
          <cell r="N336">
            <v>900129262</v>
          </cell>
        </row>
        <row r="337">
          <cell r="N337">
            <v>900129262</v>
          </cell>
        </row>
        <row r="338">
          <cell r="N338">
            <v>900129262</v>
          </cell>
        </row>
        <row r="339">
          <cell r="N339">
            <v>900129262</v>
          </cell>
        </row>
        <row r="340">
          <cell r="N340">
            <v>900129262</v>
          </cell>
        </row>
        <row r="341">
          <cell r="N341">
            <v>900129262</v>
          </cell>
        </row>
        <row r="342">
          <cell r="N342">
            <v>900129262</v>
          </cell>
        </row>
        <row r="343">
          <cell r="N343">
            <v>900129262</v>
          </cell>
        </row>
        <row r="344">
          <cell r="N344">
            <v>900129262</v>
          </cell>
        </row>
        <row r="345">
          <cell r="N345">
            <v>900129262</v>
          </cell>
        </row>
        <row r="346">
          <cell r="N346">
            <v>900129262</v>
          </cell>
        </row>
        <row r="347">
          <cell r="N347">
            <v>900129262</v>
          </cell>
        </row>
        <row r="348">
          <cell r="N348">
            <v>900129262</v>
          </cell>
        </row>
        <row r="349">
          <cell r="N349">
            <v>900129262</v>
          </cell>
        </row>
        <row r="350">
          <cell r="N350">
            <v>900129262</v>
          </cell>
        </row>
        <row r="351">
          <cell r="N351">
            <v>900129262</v>
          </cell>
        </row>
        <row r="352">
          <cell r="N352">
            <v>900129262</v>
          </cell>
        </row>
        <row r="353">
          <cell r="N353">
            <v>900129262</v>
          </cell>
        </row>
        <row r="354">
          <cell r="N354">
            <v>900129262</v>
          </cell>
        </row>
        <row r="355">
          <cell r="N355">
            <v>900129262</v>
          </cell>
        </row>
        <row r="356">
          <cell r="N356">
            <v>900129262</v>
          </cell>
        </row>
        <row r="357">
          <cell r="N357">
            <v>900129262</v>
          </cell>
        </row>
        <row r="358">
          <cell r="N358">
            <v>900129262</v>
          </cell>
        </row>
        <row r="359">
          <cell r="N359">
            <v>900129262</v>
          </cell>
        </row>
        <row r="360">
          <cell r="N360">
            <v>900129262</v>
          </cell>
        </row>
        <row r="361">
          <cell r="N361">
            <v>900129262</v>
          </cell>
        </row>
        <row r="362">
          <cell r="N362">
            <v>900129262</v>
          </cell>
        </row>
        <row r="363">
          <cell r="N363">
            <v>900129262</v>
          </cell>
        </row>
        <row r="364">
          <cell r="N364">
            <v>900129262</v>
          </cell>
        </row>
        <row r="365">
          <cell r="N365">
            <v>900129262</v>
          </cell>
        </row>
        <row r="366">
          <cell r="N366">
            <v>900129262</v>
          </cell>
        </row>
        <row r="367">
          <cell r="N367">
            <v>900129262</v>
          </cell>
        </row>
        <row r="368">
          <cell r="N368">
            <v>900129262</v>
          </cell>
        </row>
        <row r="369">
          <cell r="N369">
            <v>900129262</v>
          </cell>
        </row>
        <row r="370">
          <cell r="N370">
            <v>900129262</v>
          </cell>
        </row>
        <row r="371">
          <cell r="N371">
            <v>900129262</v>
          </cell>
        </row>
        <row r="372">
          <cell r="N372">
            <v>900129262</v>
          </cell>
        </row>
        <row r="373">
          <cell r="N373">
            <v>900129262</v>
          </cell>
        </row>
        <row r="374">
          <cell r="N374">
            <v>900129262</v>
          </cell>
        </row>
        <row r="375">
          <cell r="N375">
            <v>900129262</v>
          </cell>
        </row>
        <row r="376">
          <cell r="N376">
            <v>900129262</v>
          </cell>
        </row>
        <row r="377">
          <cell r="N377">
            <v>900129262</v>
          </cell>
        </row>
        <row r="378">
          <cell r="N378">
            <v>900129262</v>
          </cell>
        </row>
        <row r="379">
          <cell r="N379">
            <v>900129262</v>
          </cell>
        </row>
        <row r="380">
          <cell r="N380">
            <v>900129262</v>
          </cell>
        </row>
        <row r="381">
          <cell r="N381">
            <v>900129262</v>
          </cell>
        </row>
        <row r="382">
          <cell r="N382">
            <v>900129262</v>
          </cell>
        </row>
        <row r="383">
          <cell r="N383">
            <v>900129262</v>
          </cell>
        </row>
        <row r="384">
          <cell r="N384">
            <v>900129262</v>
          </cell>
        </row>
        <row r="385">
          <cell r="N385">
            <v>900129262</v>
          </cell>
        </row>
        <row r="386">
          <cell r="N386">
            <v>900129262</v>
          </cell>
        </row>
        <row r="387">
          <cell r="N387">
            <v>900129262</v>
          </cell>
        </row>
        <row r="388">
          <cell r="N388">
            <v>900129262</v>
          </cell>
        </row>
        <row r="389">
          <cell r="N389">
            <v>900129262</v>
          </cell>
        </row>
        <row r="390">
          <cell r="N390">
            <v>900129262</v>
          </cell>
        </row>
        <row r="391">
          <cell r="N391">
            <v>900129262</v>
          </cell>
        </row>
        <row r="392">
          <cell r="N392">
            <v>900129262</v>
          </cell>
        </row>
        <row r="393">
          <cell r="N393">
            <v>900056664</v>
          </cell>
        </row>
        <row r="394">
          <cell r="N394">
            <v>900056664</v>
          </cell>
        </row>
        <row r="395">
          <cell r="N395">
            <v>900056664</v>
          </cell>
        </row>
        <row r="396">
          <cell r="N396">
            <v>900056664</v>
          </cell>
        </row>
        <row r="397">
          <cell r="N397">
            <v>900056664</v>
          </cell>
        </row>
        <row r="398">
          <cell r="N398">
            <v>900056664</v>
          </cell>
        </row>
        <row r="399">
          <cell r="N399">
            <v>900056664</v>
          </cell>
        </row>
        <row r="400">
          <cell r="N400">
            <v>900056664</v>
          </cell>
        </row>
        <row r="401">
          <cell r="N401">
            <v>900056664</v>
          </cell>
        </row>
        <row r="402">
          <cell r="N402">
            <v>900056664</v>
          </cell>
        </row>
        <row r="403">
          <cell r="N403">
            <v>900056664</v>
          </cell>
        </row>
        <row r="404">
          <cell r="N404">
            <v>900056664</v>
          </cell>
        </row>
        <row r="405">
          <cell r="N405">
            <v>900056664</v>
          </cell>
        </row>
        <row r="406">
          <cell r="N406">
            <v>900056664</v>
          </cell>
        </row>
        <row r="407">
          <cell r="N407">
            <v>900056664</v>
          </cell>
        </row>
        <row r="408">
          <cell r="N408">
            <v>900056664</v>
          </cell>
        </row>
        <row r="409">
          <cell r="N409">
            <v>900056664</v>
          </cell>
        </row>
        <row r="410">
          <cell r="N410">
            <v>900056664</v>
          </cell>
        </row>
        <row r="411">
          <cell r="N411">
            <v>900056664</v>
          </cell>
        </row>
        <row r="412">
          <cell r="N412">
            <v>900056664</v>
          </cell>
        </row>
        <row r="413">
          <cell r="N413">
            <v>812008359</v>
          </cell>
        </row>
        <row r="414">
          <cell r="N414">
            <v>812008359</v>
          </cell>
        </row>
        <row r="415">
          <cell r="N415">
            <v>812008359</v>
          </cell>
        </row>
        <row r="416">
          <cell r="N416">
            <v>812008359</v>
          </cell>
        </row>
        <row r="417">
          <cell r="N417">
            <v>812008359</v>
          </cell>
        </row>
        <row r="418">
          <cell r="N418">
            <v>812008359</v>
          </cell>
        </row>
        <row r="419">
          <cell r="N419">
            <v>812008359</v>
          </cell>
        </row>
        <row r="420">
          <cell r="N420">
            <v>812008359</v>
          </cell>
        </row>
        <row r="421">
          <cell r="N421">
            <v>812008359</v>
          </cell>
        </row>
        <row r="422">
          <cell r="N422">
            <v>812008359</v>
          </cell>
        </row>
        <row r="423">
          <cell r="N423">
            <v>812008359</v>
          </cell>
        </row>
        <row r="424">
          <cell r="N424">
            <v>812008359</v>
          </cell>
        </row>
        <row r="425">
          <cell r="N425">
            <v>812008359</v>
          </cell>
        </row>
        <row r="426">
          <cell r="N426">
            <v>812008359</v>
          </cell>
        </row>
        <row r="427">
          <cell r="N427">
            <v>812008359</v>
          </cell>
        </row>
        <row r="428">
          <cell r="N428">
            <v>812008359</v>
          </cell>
        </row>
        <row r="429">
          <cell r="N429">
            <v>812008359</v>
          </cell>
        </row>
        <row r="430">
          <cell r="N430">
            <v>812008359</v>
          </cell>
        </row>
        <row r="431">
          <cell r="N431">
            <v>890330584</v>
          </cell>
        </row>
        <row r="432">
          <cell r="N432">
            <v>890330584</v>
          </cell>
        </row>
        <row r="433">
          <cell r="N433">
            <v>890330584</v>
          </cell>
        </row>
        <row r="434">
          <cell r="N434">
            <v>890330584</v>
          </cell>
        </row>
        <row r="435">
          <cell r="N435">
            <v>890330584</v>
          </cell>
        </row>
        <row r="436">
          <cell r="N436">
            <v>890330584</v>
          </cell>
        </row>
        <row r="437">
          <cell r="N437">
            <v>890330584</v>
          </cell>
        </row>
        <row r="438">
          <cell r="N438">
            <v>890330584</v>
          </cell>
        </row>
        <row r="439">
          <cell r="N439">
            <v>890330584</v>
          </cell>
        </row>
        <row r="440">
          <cell r="N440">
            <v>890330584</v>
          </cell>
        </row>
        <row r="441">
          <cell r="N441">
            <v>890330584</v>
          </cell>
        </row>
        <row r="442">
          <cell r="N442">
            <v>890330584</v>
          </cell>
        </row>
        <row r="443">
          <cell r="N443">
            <v>890330584</v>
          </cell>
        </row>
        <row r="444">
          <cell r="N444">
            <v>890330584</v>
          </cell>
        </row>
        <row r="445">
          <cell r="N445">
            <v>890330584</v>
          </cell>
        </row>
        <row r="446">
          <cell r="N446">
            <v>890330584</v>
          </cell>
        </row>
        <row r="447">
          <cell r="N447">
            <v>890330584</v>
          </cell>
        </row>
        <row r="448">
          <cell r="N448">
            <v>890330584</v>
          </cell>
        </row>
        <row r="449">
          <cell r="N449">
            <v>890330584</v>
          </cell>
        </row>
        <row r="450">
          <cell r="N450">
            <v>890330584</v>
          </cell>
        </row>
        <row r="451">
          <cell r="N451">
            <v>890330584</v>
          </cell>
        </row>
        <row r="452">
          <cell r="N452">
            <v>890330584</v>
          </cell>
        </row>
        <row r="453">
          <cell r="N453">
            <v>890330584</v>
          </cell>
        </row>
        <row r="454">
          <cell r="N454">
            <v>890330584</v>
          </cell>
        </row>
        <row r="455">
          <cell r="N455">
            <v>890330584</v>
          </cell>
        </row>
        <row r="456">
          <cell r="N456">
            <v>890330584</v>
          </cell>
        </row>
        <row r="457">
          <cell r="N457">
            <v>890330584</v>
          </cell>
        </row>
        <row r="458">
          <cell r="N458">
            <v>890330584</v>
          </cell>
        </row>
        <row r="459">
          <cell r="N459">
            <v>890330584</v>
          </cell>
        </row>
        <row r="460">
          <cell r="N460">
            <v>890330584</v>
          </cell>
        </row>
        <row r="461">
          <cell r="N461">
            <v>890330584</v>
          </cell>
        </row>
        <row r="462">
          <cell r="N462">
            <v>890330584</v>
          </cell>
        </row>
        <row r="463">
          <cell r="N463">
            <v>890330584</v>
          </cell>
        </row>
        <row r="464">
          <cell r="N464">
            <v>890330584</v>
          </cell>
        </row>
        <row r="465">
          <cell r="N465">
            <v>890330584</v>
          </cell>
        </row>
        <row r="466">
          <cell r="N466">
            <v>890330584</v>
          </cell>
        </row>
        <row r="467">
          <cell r="N467">
            <v>890330584</v>
          </cell>
        </row>
        <row r="468">
          <cell r="N468">
            <v>890330584</v>
          </cell>
        </row>
        <row r="469">
          <cell r="N469">
            <v>890330584</v>
          </cell>
        </row>
        <row r="470">
          <cell r="N470">
            <v>890330584</v>
          </cell>
        </row>
        <row r="471">
          <cell r="N471">
            <v>890330584</v>
          </cell>
        </row>
        <row r="472">
          <cell r="N472">
            <v>890330584</v>
          </cell>
        </row>
        <row r="473">
          <cell r="N473">
            <v>890330584</v>
          </cell>
        </row>
        <row r="474">
          <cell r="N474">
            <v>890330584</v>
          </cell>
        </row>
        <row r="475">
          <cell r="N475">
            <v>890330584</v>
          </cell>
        </row>
        <row r="476">
          <cell r="N476">
            <v>890330584</v>
          </cell>
        </row>
        <row r="477">
          <cell r="N477">
            <v>890330584</v>
          </cell>
        </row>
        <row r="478">
          <cell r="N478">
            <v>890330584</v>
          </cell>
        </row>
        <row r="479">
          <cell r="N479">
            <v>890330584</v>
          </cell>
        </row>
        <row r="480">
          <cell r="N480">
            <v>890330584</v>
          </cell>
        </row>
        <row r="481">
          <cell r="N481">
            <v>890330584</v>
          </cell>
        </row>
        <row r="482">
          <cell r="N482">
            <v>890330584</v>
          </cell>
        </row>
        <row r="483">
          <cell r="N483">
            <v>890330584</v>
          </cell>
        </row>
        <row r="484">
          <cell r="N484">
            <v>890330584</v>
          </cell>
        </row>
        <row r="485">
          <cell r="N485">
            <v>890330584</v>
          </cell>
        </row>
        <row r="486">
          <cell r="N486">
            <v>890330584</v>
          </cell>
        </row>
        <row r="487">
          <cell r="N487">
            <v>890330584</v>
          </cell>
        </row>
        <row r="488">
          <cell r="N488">
            <v>890330584</v>
          </cell>
        </row>
        <row r="489">
          <cell r="N489">
            <v>890330584</v>
          </cell>
        </row>
        <row r="490">
          <cell r="N490">
            <v>890330584</v>
          </cell>
        </row>
        <row r="491">
          <cell r="N491">
            <v>890330584</v>
          </cell>
        </row>
        <row r="492">
          <cell r="N492">
            <v>890330584</v>
          </cell>
        </row>
        <row r="493">
          <cell r="N493">
            <v>890330584</v>
          </cell>
        </row>
        <row r="494">
          <cell r="N494">
            <v>890330584</v>
          </cell>
        </row>
        <row r="495">
          <cell r="N495">
            <v>890406707</v>
          </cell>
        </row>
        <row r="496">
          <cell r="N496">
            <v>890406707</v>
          </cell>
        </row>
        <row r="497">
          <cell r="N497">
            <v>860062808</v>
          </cell>
        </row>
        <row r="498">
          <cell r="N498">
            <v>860062808</v>
          </cell>
        </row>
        <row r="499">
          <cell r="N499">
            <v>860062808</v>
          </cell>
        </row>
        <row r="500">
          <cell r="N500">
            <v>860062808</v>
          </cell>
        </row>
        <row r="501">
          <cell r="N501">
            <v>860062808</v>
          </cell>
        </row>
        <row r="502">
          <cell r="N502">
            <v>860062808</v>
          </cell>
        </row>
        <row r="503">
          <cell r="N503">
            <v>860062808</v>
          </cell>
        </row>
        <row r="504">
          <cell r="N504">
            <v>860062808</v>
          </cell>
        </row>
        <row r="505">
          <cell r="N505">
            <v>860062808</v>
          </cell>
        </row>
        <row r="506">
          <cell r="N506">
            <v>860062808</v>
          </cell>
        </row>
        <row r="507">
          <cell r="N507">
            <v>860062808</v>
          </cell>
        </row>
        <row r="508">
          <cell r="N508">
            <v>860062808</v>
          </cell>
        </row>
        <row r="509">
          <cell r="N509">
            <v>860062808</v>
          </cell>
        </row>
        <row r="510">
          <cell r="N510">
            <v>860062808</v>
          </cell>
        </row>
        <row r="511">
          <cell r="N511">
            <v>860062808</v>
          </cell>
        </row>
        <row r="512">
          <cell r="N512">
            <v>860062808</v>
          </cell>
        </row>
        <row r="513">
          <cell r="N513">
            <v>860062808</v>
          </cell>
        </row>
        <row r="514">
          <cell r="N514">
            <v>860062808</v>
          </cell>
        </row>
        <row r="515">
          <cell r="N515">
            <v>860062808</v>
          </cell>
        </row>
        <row r="516">
          <cell r="N516">
            <v>860062808</v>
          </cell>
        </row>
        <row r="517">
          <cell r="N517">
            <v>860062808</v>
          </cell>
        </row>
        <row r="518">
          <cell r="N518">
            <v>860062808</v>
          </cell>
        </row>
        <row r="519">
          <cell r="N519">
            <v>860062808</v>
          </cell>
        </row>
        <row r="520">
          <cell r="N520">
            <v>860062808</v>
          </cell>
        </row>
        <row r="521">
          <cell r="N521">
            <v>860062808</v>
          </cell>
        </row>
        <row r="522">
          <cell r="N522">
            <v>860062808</v>
          </cell>
        </row>
        <row r="523">
          <cell r="N523">
            <v>860062808</v>
          </cell>
        </row>
        <row r="524">
          <cell r="N524">
            <v>860062808</v>
          </cell>
        </row>
        <row r="525">
          <cell r="N525">
            <v>860062808</v>
          </cell>
        </row>
        <row r="526">
          <cell r="N526">
            <v>860062808</v>
          </cell>
        </row>
        <row r="527">
          <cell r="N527">
            <v>860062808</v>
          </cell>
        </row>
        <row r="528">
          <cell r="N528">
            <v>860062808</v>
          </cell>
        </row>
        <row r="529">
          <cell r="N529">
            <v>860062808</v>
          </cell>
        </row>
        <row r="530">
          <cell r="N530">
            <v>860062808</v>
          </cell>
        </row>
        <row r="531">
          <cell r="N531">
            <v>860062808</v>
          </cell>
        </row>
        <row r="532">
          <cell r="N532">
            <v>860062808</v>
          </cell>
        </row>
        <row r="533">
          <cell r="N533">
            <v>860062808</v>
          </cell>
        </row>
        <row r="534">
          <cell r="N534">
            <v>860062808</v>
          </cell>
        </row>
        <row r="535">
          <cell r="N535">
            <v>860062808</v>
          </cell>
        </row>
        <row r="536">
          <cell r="N536">
            <v>860062808</v>
          </cell>
        </row>
        <row r="537">
          <cell r="N537">
            <v>860062808</v>
          </cell>
        </row>
        <row r="538">
          <cell r="N538">
            <v>860062808</v>
          </cell>
        </row>
        <row r="539">
          <cell r="N539">
            <v>860062808</v>
          </cell>
        </row>
        <row r="540">
          <cell r="N540">
            <v>860062808</v>
          </cell>
        </row>
        <row r="541">
          <cell r="N541">
            <v>860062808</v>
          </cell>
        </row>
        <row r="542">
          <cell r="N542">
            <v>860062808</v>
          </cell>
        </row>
        <row r="543">
          <cell r="N543">
            <v>860062808</v>
          </cell>
        </row>
        <row r="544">
          <cell r="N544">
            <v>860062808</v>
          </cell>
        </row>
        <row r="545">
          <cell r="N545">
            <v>860062808</v>
          </cell>
        </row>
        <row r="546">
          <cell r="N546">
            <v>860062808</v>
          </cell>
        </row>
        <row r="547">
          <cell r="N547">
            <v>860062808</v>
          </cell>
        </row>
        <row r="548">
          <cell r="N548">
            <v>860062808</v>
          </cell>
        </row>
        <row r="549">
          <cell r="N549">
            <v>860062808</v>
          </cell>
        </row>
        <row r="550">
          <cell r="N550">
            <v>860062808</v>
          </cell>
        </row>
        <row r="551">
          <cell r="N551">
            <v>860062808</v>
          </cell>
        </row>
        <row r="552">
          <cell r="N552">
            <v>860062808</v>
          </cell>
        </row>
        <row r="553">
          <cell r="N553">
            <v>860062808</v>
          </cell>
        </row>
        <row r="554">
          <cell r="N554">
            <v>860062808</v>
          </cell>
        </row>
        <row r="555">
          <cell r="N555">
            <v>860062808</v>
          </cell>
        </row>
        <row r="556">
          <cell r="N556">
            <v>860062808</v>
          </cell>
        </row>
        <row r="557">
          <cell r="N557">
            <v>860062808</v>
          </cell>
        </row>
        <row r="558">
          <cell r="N558">
            <v>860062808</v>
          </cell>
        </row>
        <row r="559">
          <cell r="N559">
            <v>860062808</v>
          </cell>
        </row>
        <row r="560">
          <cell r="N560">
            <v>860062808</v>
          </cell>
        </row>
        <row r="561">
          <cell r="N561">
            <v>860062808</v>
          </cell>
        </row>
        <row r="562">
          <cell r="N562">
            <v>860062808</v>
          </cell>
        </row>
        <row r="563">
          <cell r="N563">
            <v>860062808</v>
          </cell>
        </row>
        <row r="564">
          <cell r="N564">
            <v>860062808</v>
          </cell>
        </row>
        <row r="565">
          <cell r="N565">
            <v>860062808</v>
          </cell>
        </row>
        <row r="566">
          <cell r="N566">
            <v>860062808</v>
          </cell>
        </row>
        <row r="567">
          <cell r="N567">
            <v>860062808</v>
          </cell>
        </row>
        <row r="568">
          <cell r="N568">
            <v>860062808</v>
          </cell>
        </row>
        <row r="569">
          <cell r="N569">
            <v>860062808</v>
          </cell>
        </row>
        <row r="570">
          <cell r="N570">
            <v>860062808</v>
          </cell>
        </row>
        <row r="571">
          <cell r="N571">
            <v>860062808</v>
          </cell>
        </row>
        <row r="572">
          <cell r="N572">
            <v>860062808</v>
          </cell>
        </row>
        <row r="573">
          <cell r="N573">
            <v>860062808</v>
          </cell>
        </row>
        <row r="574">
          <cell r="N574">
            <v>860062808</v>
          </cell>
        </row>
        <row r="575">
          <cell r="N575">
            <v>860062808</v>
          </cell>
        </row>
        <row r="576">
          <cell r="N576">
            <v>860062808</v>
          </cell>
        </row>
        <row r="577">
          <cell r="N577">
            <v>860062808</v>
          </cell>
        </row>
        <row r="578">
          <cell r="N578">
            <v>860062808</v>
          </cell>
        </row>
        <row r="579">
          <cell r="N579">
            <v>860062808</v>
          </cell>
        </row>
        <row r="580">
          <cell r="N580">
            <v>860062808</v>
          </cell>
        </row>
        <row r="581">
          <cell r="N581">
            <v>860062808</v>
          </cell>
        </row>
        <row r="582">
          <cell r="N582">
            <v>860062808</v>
          </cell>
        </row>
        <row r="583">
          <cell r="N583">
            <v>860062808</v>
          </cell>
        </row>
        <row r="584">
          <cell r="N584">
            <v>860062808</v>
          </cell>
        </row>
        <row r="585">
          <cell r="N585">
            <v>860062808</v>
          </cell>
        </row>
        <row r="586">
          <cell r="N586">
            <v>860062808</v>
          </cell>
        </row>
        <row r="587">
          <cell r="N587">
            <v>860062808</v>
          </cell>
        </row>
        <row r="588">
          <cell r="N588">
            <v>860062808</v>
          </cell>
        </row>
        <row r="589">
          <cell r="N589">
            <v>860062808</v>
          </cell>
        </row>
        <row r="590">
          <cell r="N590">
            <v>860062808</v>
          </cell>
        </row>
        <row r="591">
          <cell r="N591">
            <v>860062808</v>
          </cell>
        </row>
        <row r="592">
          <cell r="N592">
            <v>860062808</v>
          </cell>
        </row>
        <row r="593">
          <cell r="N593">
            <v>860062808</v>
          </cell>
        </row>
        <row r="594">
          <cell r="N594">
            <v>860062808</v>
          </cell>
        </row>
        <row r="595">
          <cell r="N595">
            <v>860062808</v>
          </cell>
        </row>
        <row r="596">
          <cell r="N596">
            <v>860062808</v>
          </cell>
        </row>
        <row r="597">
          <cell r="N597">
            <v>860062808</v>
          </cell>
        </row>
        <row r="598">
          <cell r="N598">
            <v>860062808</v>
          </cell>
        </row>
        <row r="599">
          <cell r="N599">
            <v>860062808</v>
          </cell>
        </row>
        <row r="600">
          <cell r="N600">
            <v>900185816</v>
          </cell>
        </row>
        <row r="601">
          <cell r="N601">
            <v>900185816</v>
          </cell>
        </row>
        <row r="602">
          <cell r="N602">
            <v>900185816</v>
          </cell>
        </row>
        <row r="603">
          <cell r="N603">
            <v>900185816</v>
          </cell>
        </row>
        <row r="604">
          <cell r="N604">
            <v>900185816</v>
          </cell>
        </row>
        <row r="605">
          <cell r="N605">
            <v>900185816</v>
          </cell>
        </row>
        <row r="606">
          <cell r="N606">
            <v>900185816</v>
          </cell>
        </row>
        <row r="607">
          <cell r="N607">
            <v>900185816</v>
          </cell>
        </row>
        <row r="608">
          <cell r="N608">
            <v>900185816</v>
          </cell>
        </row>
        <row r="609">
          <cell r="N609">
            <v>900185816</v>
          </cell>
        </row>
        <row r="610">
          <cell r="N610">
            <v>900185816</v>
          </cell>
        </row>
        <row r="611">
          <cell r="N611">
            <v>900185816</v>
          </cell>
        </row>
        <row r="612">
          <cell r="N612">
            <v>900185816</v>
          </cell>
        </row>
        <row r="613">
          <cell r="N613">
            <v>900185816</v>
          </cell>
        </row>
        <row r="614">
          <cell r="N614">
            <v>900185816</v>
          </cell>
        </row>
        <row r="615">
          <cell r="N615">
            <v>900185816</v>
          </cell>
        </row>
        <row r="616">
          <cell r="N616">
            <v>900185816</v>
          </cell>
        </row>
        <row r="617">
          <cell r="N617">
            <v>900185816</v>
          </cell>
        </row>
        <row r="618">
          <cell r="N618">
            <v>900185816</v>
          </cell>
        </row>
        <row r="619">
          <cell r="N619">
            <v>900185816</v>
          </cell>
        </row>
        <row r="620">
          <cell r="N620">
            <v>900185816</v>
          </cell>
        </row>
        <row r="621">
          <cell r="N621">
            <v>900185816</v>
          </cell>
        </row>
        <row r="622">
          <cell r="N622">
            <v>900185816</v>
          </cell>
        </row>
        <row r="623">
          <cell r="N623">
            <v>900185816</v>
          </cell>
        </row>
        <row r="624">
          <cell r="N624">
            <v>16891092</v>
          </cell>
        </row>
        <row r="625">
          <cell r="N625">
            <v>16891092</v>
          </cell>
        </row>
        <row r="626">
          <cell r="N626">
            <v>16891092</v>
          </cell>
        </row>
        <row r="627">
          <cell r="N627">
            <v>900810098</v>
          </cell>
        </row>
        <row r="628">
          <cell r="N628">
            <v>900810098</v>
          </cell>
        </row>
        <row r="629">
          <cell r="N629">
            <v>900810098</v>
          </cell>
        </row>
        <row r="630">
          <cell r="N630">
            <v>18184960</v>
          </cell>
        </row>
        <row r="631">
          <cell r="N631">
            <v>18184960</v>
          </cell>
        </row>
        <row r="632">
          <cell r="N632">
            <v>18184960</v>
          </cell>
        </row>
        <row r="633">
          <cell r="N633">
            <v>18184960</v>
          </cell>
        </row>
        <row r="634">
          <cell r="N634">
            <v>18184960</v>
          </cell>
        </row>
        <row r="635">
          <cell r="N635">
            <v>18184960</v>
          </cell>
        </row>
        <row r="636">
          <cell r="N636">
            <v>18184960</v>
          </cell>
        </row>
        <row r="637">
          <cell r="N637">
            <v>18184960</v>
          </cell>
        </row>
        <row r="638">
          <cell r="N638">
            <v>18184960</v>
          </cell>
        </row>
        <row r="639">
          <cell r="N639">
            <v>18184960</v>
          </cell>
        </row>
        <row r="640">
          <cell r="N640">
            <v>18184960</v>
          </cell>
        </row>
        <row r="641">
          <cell r="N641">
            <v>18184960</v>
          </cell>
        </row>
        <row r="642">
          <cell r="N642">
            <v>18184960</v>
          </cell>
        </row>
        <row r="643">
          <cell r="N643">
            <v>18184960</v>
          </cell>
        </row>
        <row r="644">
          <cell r="N644">
            <v>18184960</v>
          </cell>
        </row>
        <row r="645">
          <cell r="N645">
            <v>18184960</v>
          </cell>
        </row>
        <row r="646">
          <cell r="N646">
            <v>18184960</v>
          </cell>
        </row>
        <row r="647">
          <cell r="N647">
            <v>18184960</v>
          </cell>
        </row>
        <row r="648">
          <cell r="N648">
            <v>19291768</v>
          </cell>
        </row>
        <row r="649">
          <cell r="N649">
            <v>19291768</v>
          </cell>
        </row>
        <row r="650">
          <cell r="N650">
            <v>19291768</v>
          </cell>
        </row>
        <row r="651">
          <cell r="N651">
            <v>19291768</v>
          </cell>
        </row>
        <row r="652">
          <cell r="N652">
            <v>19291768</v>
          </cell>
        </row>
        <row r="653">
          <cell r="N653">
            <v>900485301</v>
          </cell>
        </row>
        <row r="654">
          <cell r="N654">
            <v>900485301</v>
          </cell>
        </row>
        <row r="655">
          <cell r="N655">
            <v>900485301</v>
          </cell>
        </row>
        <row r="656">
          <cell r="N656">
            <v>900485301</v>
          </cell>
        </row>
        <row r="657">
          <cell r="N657">
            <v>900485301</v>
          </cell>
        </row>
        <row r="658">
          <cell r="N658">
            <v>900485301</v>
          </cell>
        </row>
        <row r="659">
          <cell r="N659">
            <v>900485301</v>
          </cell>
        </row>
        <row r="660">
          <cell r="N660">
            <v>900485301</v>
          </cell>
        </row>
        <row r="661">
          <cell r="N661">
            <v>900485301</v>
          </cell>
        </row>
        <row r="662">
          <cell r="N662">
            <v>900485301</v>
          </cell>
        </row>
        <row r="663">
          <cell r="N663">
            <v>900485301</v>
          </cell>
        </row>
        <row r="664">
          <cell r="N664">
            <v>900485301</v>
          </cell>
        </row>
        <row r="665">
          <cell r="N665">
            <v>900485301</v>
          </cell>
        </row>
        <row r="666">
          <cell r="N666">
            <v>900485301</v>
          </cell>
        </row>
        <row r="667">
          <cell r="N667">
            <v>900485301</v>
          </cell>
        </row>
        <row r="668">
          <cell r="N668">
            <v>900485301</v>
          </cell>
        </row>
        <row r="669">
          <cell r="N669">
            <v>900485301</v>
          </cell>
        </row>
        <row r="670">
          <cell r="N670">
            <v>900485301</v>
          </cell>
        </row>
        <row r="671">
          <cell r="N671">
            <v>1072648809</v>
          </cell>
        </row>
        <row r="672">
          <cell r="N672">
            <v>1072648809</v>
          </cell>
        </row>
        <row r="673">
          <cell r="N673">
            <v>1072648809</v>
          </cell>
        </row>
        <row r="674">
          <cell r="N674">
            <v>1072648809</v>
          </cell>
        </row>
        <row r="675">
          <cell r="N675">
            <v>1072648809</v>
          </cell>
        </row>
        <row r="676">
          <cell r="N676">
            <v>1072648809</v>
          </cell>
        </row>
        <row r="677">
          <cell r="N677">
            <v>1072648809</v>
          </cell>
        </row>
        <row r="678">
          <cell r="N678">
            <v>1072648809</v>
          </cell>
        </row>
        <row r="679">
          <cell r="N679">
            <v>1072648809</v>
          </cell>
        </row>
        <row r="680">
          <cell r="N680">
            <v>1072648809</v>
          </cell>
        </row>
        <row r="681">
          <cell r="N681">
            <v>1072648809</v>
          </cell>
        </row>
        <row r="682">
          <cell r="N682">
            <v>73020742</v>
          </cell>
        </row>
        <row r="683">
          <cell r="N683">
            <v>73020742</v>
          </cell>
        </row>
        <row r="684">
          <cell r="N684">
            <v>49760639</v>
          </cell>
        </row>
        <row r="685">
          <cell r="N685">
            <v>49760639</v>
          </cell>
        </row>
        <row r="686">
          <cell r="N686">
            <v>900473906</v>
          </cell>
        </row>
        <row r="687">
          <cell r="N687">
            <v>900473906</v>
          </cell>
        </row>
        <row r="688">
          <cell r="N688">
            <v>900473906</v>
          </cell>
        </row>
        <row r="689">
          <cell r="N689">
            <v>900473906</v>
          </cell>
        </row>
        <row r="690">
          <cell r="N690">
            <v>1047964676</v>
          </cell>
        </row>
        <row r="691">
          <cell r="N691">
            <v>17668211</v>
          </cell>
        </row>
        <row r="692">
          <cell r="N692">
            <v>17668211</v>
          </cell>
        </row>
        <row r="693">
          <cell r="N693">
            <v>17668211</v>
          </cell>
        </row>
        <row r="694">
          <cell r="N694">
            <v>17668211</v>
          </cell>
        </row>
        <row r="695">
          <cell r="N695">
            <v>17668211</v>
          </cell>
        </row>
        <row r="696">
          <cell r="N696">
            <v>17668211</v>
          </cell>
        </row>
        <row r="697">
          <cell r="N697">
            <v>17668211</v>
          </cell>
        </row>
        <row r="698">
          <cell r="N698">
            <v>17668211</v>
          </cell>
        </row>
        <row r="699">
          <cell r="N699">
            <v>17668211</v>
          </cell>
        </row>
        <row r="700">
          <cell r="N700">
            <v>17668211</v>
          </cell>
        </row>
        <row r="701">
          <cell r="N701">
            <v>17668211</v>
          </cell>
        </row>
        <row r="702">
          <cell r="N702">
            <v>17668211</v>
          </cell>
        </row>
        <row r="703">
          <cell r="N703">
            <v>5084051</v>
          </cell>
        </row>
        <row r="704">
          <cell r="N704">
            <v>5084051</v>
          </cell>
        </row>
        <row r="705">
          <cell r="N705">
            <v>5084051</v>
          </cell>
        </row>
        <row r="706">
          <cell r="N706">
            <v>5084051</v>
          </cell>
        </row>
        <row r="707">
          <cell r="N707">
            <v>900439362</v>
          </cell>
        </row>
        <row r="708">
          <cell r="N708">
            <v>900439362</v>
          </cell>
        </row>
        <row r="709">
          <cell r="N709">
            <v>900439362</v>
          </cell>
        </row>
        <row r="710">
          <cell r="N710">
            <v>900439362</v>
          </cell>
        </row>
        <row r="711">
          <cell r="N711">
            <v>900439362</v>
          </cell>
        </row>
        <row r="712">
          <cell r="N712">
            <v>900439362</v>
          </cell>
        </row>
        <row r="713">
          <cell r="N713">
            <v>900439362</v>
          </cell>
        </row>
        <row r="714">
          <cell r="N714">
            <v>900439362</v>
          </cell>
        </row>
        <row r="715">
          <cell r="N715">
            <v>900439362</v>
          </cell>
        </row>
        <row r="716">
          <cell r="N716">
            <v>900439362</v>
          </cell>
        </row>
        <row r="717">
          <cell r="N717">
            <v>900439362</v>
          </cell>
        </row>
        <row r="718">
          <cell r="N718">
            <v>900439362</v>
          </cell>
        </row>
        <row r="719">
          <cell r="N719">
            <v>900439362</v>
          </cell>
        </row>
        <row r="720">
          <cell r="N720">
            <v>900439362</v>
          </cell>
        </row>
        <row r="721">
          <cell r="N721">
            <v>900439362</v>
          </cell>
        </row>
        <row r="722">
          <cell r="N722">
            <v>900439362</v>
          </cell>
        </row>
        <row r="723">
          <cell r="N723">
            <v>900314554</v>
          </cell>
        </row>
        <row r="724">
          <cell r="N724">
            <v>900314554</v>
          </cell>
        </row>
        <row r="725">
          <cell r="N725">
            <v>900314554</v>
          </cell>
        </row>
        <row r="726">
          <cell r="N726">
            <v>900314554</v>
          </cell>
        </row>
        <row r="727">
          <cell r="N727">
            <v>900314554</v>
          </cell>
        </row>
        <row r="728">
          <cell r="N728">
            <v>900661269</v>
          </cell>
        </row>
        <row r="729">
          <cell r="N729">
            <v>900661269</v>
          </cell>
        </row>
        <row r="730">
          <cell r="N730">
            <v>900661269</v>
          </cell>
        </row>
        <row r="731">
          <cell r="N731">
            <v>900661269</v>
          </cell>
        </row>
        <row r="732">
          <cell r="N732">
            <v>900661269</v>
          </cell>
        </row>
        <row r="733">
          <cell r="N733">
            <v>900661269</v>
          </cell>
        </row>
        <row r="734">
          <cell r="N734">
            <v>900929001</v>
          </cell>
        </row>
        <row r="735">
          <cell r="N735">
            <v>900929001</v>
          </cell>
        </row>
        <row r="736">
          <cell r="N736">
            <v>900929001</v>
          </cell>
        </row>
        <row r="737">
          <cell r="N737">
            <v>900929001</v>
          </cell>
        </row>
        <row r="738">
          <cell r="N738">
            <v>900367920</v>
          </cell>
        </row>
        <row r="739">
          <cell r="N739">
            <v>900367920</v>
          </cell>
        </row>
        <row r="740">
          <cell r="N740">
            <v>900367920</v>
          </cell>
        </row>
        <row r="741">
          <cell r="N741">
            <v>900367920</v>
          </cell>
        </row>
        <row r="742">
          <cell r="N742">
            <v>900367920</v>
          </cell>
        </row>
        <row r="743">
          <cell r="N743">
            <v>900367920</v>
          </cell>
        </row>
        <row r="744">
          <cell r="N744">
            <v>900367920</v>
          </cell>
        </row>
        <row r="745">
          <cell r="N745">
            <v>900367920</v>
          </cell>
        </row>
        <row r="746">
          <cell r="N746">
            <v>900367920</v>
          </cell>
        </row>
        <row r="747">
          <cell r="N747">
            <v>900367920</v>
          </cell>
        </row>
        <row r="748">
          <cell r="N748">
            <v>900367920</v>
          </cell>
        </row>
        <row r="749">
          <cell r="N749">
            <v>900367920</v>
          </cell>
        </row>
        <row r="750">
          <cell r="N750">
            <v>900367920</v>
          </cell>
        </row>
        <row r="751">
          <cell r="N751">
            <v>900367920</v>
          </cell>
        </row>
        <row r="752">
          <cell r="N752">
            <v>900367920</v>
          </cell>
        </row>
        <row r="753">
          <cell r="N753">
            <v>900367920</v>
          </cell>
        </row>
        <row r="754">
          <cell r="N754">
            <v>900202461</v>
          </cell>
        </row>
        <row r="755">
          <cell r="N755">
            <v>900202461</v>
          </cell>
        </row>
        <row r="756">
          <cell r="N756">
            <v>900060537</v>
          </cell>
        </row>
        <row r="757">
          <cell r="N757">
            <v>900060537</v>
          </cell>
        </row>
        <row r="758">
          <cell r="N758">
            <v>900060537</v>
          </cell>
        </row>
        <row r="759">
          <cell r="N759">
            <v>900060537</v>
          </cell>
        </row>
        <row r="760">
          <cell r="N760">
            <v>900060537</v>
          </cell>
        </row>
        <row r="761">
          <cell r="N761">
            <v>900060537</v>
          </cell>
        </row>
        <row r="762">
          <cell r="N762">
            <v>900060537</v>
          </cell>
        </row>
        <row r="763">
          <cell r="N763">
            <v>900060537</v>
          </cell>
        </row>
        <row r="764">
          <cell r="N764">
            <v>900060537</v>
          </cell>
        </row>
        <row r="765">
          <cell r="N765">
            <v>900060537</v>
          </cell>
        </row>
        <row r="766">
          <cell r="N766">
            <v>900060537</v>
          </cell>
        </row>
        <row r="767">
          <cell r="N767">
            <v>900060537</v>
          </cell>
        </row>
        <row r="768">
          <cell r="N768">
            <v>900060537</v>
          </cell>
        </row>
        <row r="769">
          <cell r="N769">
            <v>900060537</v>
          </cell>
        </row>
        <row r="770">
          <cell r="N770">
            <v>900060537</v>
          </cell>
        </row>
        <row r="771">
          <cell r="N771">
            <v>900060537</v>
          </cell>
        </row>
        <row r="772">
          <cell r="N772">
            <v>900060537</v>
          </cell>
        </row>
        <row r="773">
          <cell r="N773">
            <v>900060537</v>
          </cell>
        </row>
        <row r="774">
          <cell r="N774">
            <v>900060537</v>
          </cell>
        </row>
        <row r="775">
          <cell r="N775">
            <v>900060537</v>
          </cell>
        </row>
        <row r="776">
          <cell r="N776">
            <v>900060537</v>
          </cell>
        </row>
        <row r="777">
          <cell r="N777">
            <v>900060537</v>
          </cell>
        </row>
        <row r="778">
          <cell r="N778">
            <v>900060537</v>
          </cell>
        </row>
        <row r="779">
          <cell r="N779">
            <v>900060537</v>
          </cell>
        </row>
        <row r="780">
          <cell r="N780">
            <v>900060537</v>
          </cell>
        </row>
        <row r="781">
          <cell r="N781">
            <v>900637901</v>
          </cell>
        </row>
        <row r="782">
          <cell r="N782">
            <v>900637901</v>
          </cell>
        </row>
        <row r="783">
          <cell r="N783">
            <v>806015728</v>
          </cell>
        </row>
        <row r="784">
          <cell r="N784">
            <v>806015728</v>
          </cell>
        </row>
        <row r="785">
          <cell r="N785">
            <v>806015728</v>
          </cell>
        </row>
        <row r="786">
          <cell r="N786">
            <v>900731201</v>
          </cell>
        </row>
        <row r="787">
          <cell r="N787">
            <v>900731201</v>
          </cell>
        </row>
        <row r="788">
          <cell r="N788">
            <v>900731201</v>
          </cell>
        </row>
        <row r="789">
          <cell r="N789">
            <v>900330225</v>
          </cell>
        </row>
        <row r="790">
          <cell r="N790">
            <v>900330225</v>
          </cell>
        </row>
        <row r="791">
          <cell r="N791">
            <v>900330225</v>
          </cell>
        </row>
        <row r="792">
          <cell r="N792">
            <v>900330225</v>
          </cell>
        </row>
        <row r="793">
          <cell r="N793">
            <v>900330225</v>
          </cell>
        </row>
        <row r="794">
          <cell r="N794">
            <v>900330225</v>
          </cell>
        </row>
        <row r="795">
          <cell r="N795">
            <v>900330225</v>
          </cell>
        </row>
        <row r="796">
          <cell r="N796">
            <v>900330225</v>
          </cell>
        </row>
        <row r="797">
          <cell r="N797">
            <v>900330225</v>
          </cell>
        </row>
        <row r="798">
          <cell r="N798">
            <v>900330225</v>
          </cell>
        </row>
        <row r="799">
          <cell r="N799">
            <v>900330225</v>
          </cell>
        </row>
        <row r="800">
          <cell r="N800">
            <v>900330225</v>
          </cell>
        </row>
        <row r="801">
          <cell r="N801">
            <v>900330225</v>
          </cell>
        </row>
        <row r="802">
          <cell r="N802">
            <v>900330225</v>
          </cell>
        </row>
        <row r="803">
          <cell r="N803">
            <v>900330225</v>
          </cell>
        </row>
        <row r="804">
          <cell r="N804">
            <v>900330225</v>
          </cell>
        </row>
        <row r="805">
          <cell r="N805">
            <v>900330225</v>
          </cell>
        </row>
        <row r="806">
          <cell r="N806">
            <v>900330225</v>
          </cell>
        </row>
        <row r="807">
          <cell r="N807">
            <v>900330225</v>
          </cell>
        </row>
        <row r="808">
          <cell r="N808">
            <v>900330225</v>
          </cell>
        </row>
        <row r="809">
          <cell r="N809">
            <v>900330225</v>
          </cell>
        </row>
        <row r="810">
          <cell r="N810">
            <v>900330225</v>
          </cell>
        </row>
        <row r="811">
          <cell r="N811">
            <v>900330225</v>
          </cell>
        </row>
        <row r="812">
          <cell r="N812">
            <v>900330225</v>
          </cell>
        </row>
        <row r="813">
          <cell r="N813">
            <v>900330225</v>
          </cell>
        </row>
        <row r="814">
          <cell r="N814">
            <v>900330225</v>
          </cell>
        </row>
        <row r="815">
          <cell r="N815">
            <v>900330225</v>
          </cell>
        </row>
        <row r="816">
          <cell r="N816">
            <v>900330225</v>
          </cell>
        </row>
        <row r="817">
          <cell r="N817">
            <v>900330225</v>
          </cell>
        </row>
        <row r="818">
          <cell r="N818">
            <v>900330225</v>
          </cell>
        </row>
        <row r="819">
          <cell r="N819">
            <v>900330225</v>
          </cell>
        </row>
        <row r="820">
          <cell r="N820">
            <v>900330225</v>
          </cell>
        </row>
        <row r="821">
          <cell r="N821">
            <v>900330225</v>
          </cell>
        </row>
        <row r="822">
          <cell r="N822">
            <v>900330225</v>
          </cell>
        </row>
        <row r="823">
          <cell r="N823">
            <v>900330225</v>
          </cell>
        </row>
        <row r="824">
          <cell r="N824">
            <v>900345712</v>
          </cell>
        </row>
        <row r="825">
          <cell r="N825">
            <v>900345712</v>
          </cell>
        </row>
        <row r="826">
          <cell r="N826">
            <v>900345712</v>
          </cell>
        </row>
        <row r="827">
          <cell r="N827">
            <v>900345712</v>
          </cell>
        </row>
        <row r="828">
          <cell r="N828">
            <v>900345712</v>
          </cell>
        </row>
        <row r="829">
          <cell r="N829">
            <v>900345712</v>
          </cell>
        </row>
        <row r="830">
          <cell r="N830">
            <v>900345712</v>
          </cell>
        </row>
        <row r="831">
          <cell r="N831">
            <v>900345712</v>
          </cell>
        </row>
        <row r="832">
          <cell r="N832">
            <v>900345712</v>
          </cell>
        </row>
        <row r="833">
          <cell r="N833">
            <v>900345712</v>
          </cell>
        </row>
        <row r="834">
          <cell r="N834">
            <v>812004443</v>
          </cell>
        </row>
        <row r="835">
          <cell r="N835">
            <v>812004443</v>
          </cell>
        </row>
        <row r="836">
          <cell r="N836">
            <v>812004443</v>
          </cell>
        </row>
        <row r="837">
          <cell r="N837">
            <v>812004443</v>
          </cell>
        </row>
        <row r="838">
          <cell r="N838">
            <v>812004443</v>
          </cell>
        </row>
        <row r="839">
          <cell r="N839">
            <v>812004443</v>
          </cell>
        </row>
        <row r="840">
          <cell r="N840">
            <v>812004443</v>
          </cell>
        </row>
        <row r="841">
          <cell r="N841">
            <v>812004443</v>
          </cell>
        </row>
        <row r="842">
          <cell r="N842">
            <v>812004443</v>
          </cell>
        </row>
        <row r="843">
          <cell r="N843">
            <v>812004443</v>
          </cell>
        </row>
        <row r="844">
          <cell r="N844">
            <v>812004443</v>
          </cell>
        </row>
        <row r="845">
          <cell r="N845">
            <v>812004443</v>
          </cell>
        </row>
        <row r="846">
          <cell r="N846">
            <v>812004443</v>
          </cell>
        </row>
        <row r="847">
          <cell r="N847">
            <v>812004443</v>
          </cell>
        </row>
        <row r="848">
          <cell r="N848">
            <v>812004443</v>
          </cell>
        </row>
        <row r="849">
          <cell r="N849">
            <v>812004443</v>
          </cell>
        </row>
        <row r="850">
          <cell r="N850">
            <v>812004443</v>
          </cell>
        </row>
        <row r="851">
          <cell r="N851">
            <v>812004443</v>
          </cell>
        </row>
        <row r="852">
          <cell r="N852">
            <v>812004443</v>
          </cell>
        </row>
        <row r="853">
          <cell r="N853">
            <v>812004443</v>
          </cell>
        </row>
        <row r="854">
          <cell r="N854">
            <v>812004443</v>
          </cell>
        </row>
        <row r="855">
          <cell r="N855">
            <v>812004443</v>
          </cell>
        </row>
        <row r="856">
          <cell r="N856">
            <v>812004443</v>
          </cell>
        </row>
        <row r="857">
          <cell r="N857">
            <v>812004443</v>
          </cell>
        </row>
        <row r="858">
          <cell r="N858">
            <v>812004443</v>
          </cell>
        </row>
        <row r="859">
          <cell r="N859">
            <v>812004443</v>
          </cell>
        </row>
        <row r="860">
          <cell r="N860">
            <v>812004443</v>
          </cell>
        </row>
        <row r="861">
          <cell r="N861">
            <v>812004443</v>
          </cell>
        </row>
        <row r="862">
          <cell r="N862">
            <v>812004443</v>
          </cell>
        </row>
        <row r="863">
          <cell r="N863">
            <v>812004443</v>
          </cell>
        </row>
        <row r="864">
          <cell r="N864">
            <v>812004443</v>
          </cell>
        </row>
        <row r="865">
          <cell r="N865">
            <v>812004443</v>
          </cell>
        </row>
        <row r="866">
          <cell r="N866">
            <v>812004443</v>
          </cell>
        </row>
        <row r="867">
          <cell r="N867">
            <v>812004443</v>
          </cell>
        </row>
        <row r="868">
          <cell r="N868">
            <v>812004443</v>
          </cell>
        </row>
        <row r="869">
          <cell r="N869">
            <v>812004443</v>
          </cell>
        </row>
        <row r="870">
          <cell r="N870">
            <v>812004443</v>
          </cell>
        </row>
        <row r="871">
          <cell r="N871">
            <v>812004443</v>
          </cell>
        </row>
        <row r="872">
          <cell r="N872">
            <v>812004443</v>
          </cell>
        </row>
        <row r="873">
          <cell r="N873">
            <v>900086472</v>
          </cell>
        </row>
        <row r="874">
          <cell r="N874">
            <v>900086472</v>
          </cell>
        </row>
        <row r="875">
          <cell r="N875">
            <v>900086472</v>
          </cell>
        </row>
        <row r="876">
          <cell r="N876">
            <v>900086472</v>
          </cell>
        </row>
        <row r="877">
          <cell r="N877">
            <v>900086472</v>
          </cell>
        </row>
        <row r="878">
          <cell r="N878">
            <v>10305214</v>
          </cell>
        </row>
        <row r="879">
          <cell r="N879">
            <v>10305214</v>
          </cell>
        </row>
        <row r="880">
          <cell r="N880">
            <v>10305214</v>
          </cell>
        </row>
        <row r="881">
          <cell r="N881">
            <v>10305214</v>
          </cell>
        </row>
        <row r="882">
          <cell r="N882">
            <v>10305214</v>
          </cell>
        </row>
        <row r="883">
          <cell r="N883">
            <v>10305214</v>
          </cell>
        </row>
        <row r="884">
          <cell r="N884">
            <v>10305214</v>
          </cell>
        </row>
        <row r="885">
          <cell r="N885">
            <v>10305214</v>
          </cell>
        </row>
        <row r="886">
          <cell r="N886">
            <v>79487375</v>
          </cell>
        </row>
        <row r="887">
          <cell r="N887">
            <v>79487375</v>
          </cell>
        </row>
        <row r="888">
          <cell r="N888">
            <v>79487375</v>
          </cell>
        </row>
        <row r="889">
          <cell r="N889">
            <v>79487375</v>
          </cell>
        </row>
        <row r="890">
          <cell r="N890">
            <v>79487375</v>
          </cell>
        </row>
        <row r="891">
          <cell r="N891">
            <v>79487375</v>
          </cell>
        </row>
        <row r="892">
          <cell r="N892">
            <v>79487375</v>
          </cell>
        </row>
        <row r="893">
          <cell r="N893">
            <v>79487375</v>
          </cell>
        </row>
        <row r="894">
          <cell r="N894">
            <v>94404403</v>
          </cell>
        </row>
        <row r="895">
          <cell r="N895">
            <v>94404403</v>
          </cell>
        </row>
        <row r="896">
          <cell r="N896">
            <v>94404403</v>
          </cell>
        </row>
        <row r="897">
          <cell r="N897">
            <v>94404403</v>
          </cell>
        </row>
        <row r="898">
          <cell r="N898">
            <v>94404403</v>
          </cell>
        </row>
        <row r="899">
          <cell r="N899">
            <v>900400965</v>
          </cell>
        </row>
        <row r="900">
          <cell r="N900">
            <v>900400965</v>
          </cell>
        </row>
        <row r="901">
          <cell r="N901">
            <v>900400965</v>
          </cell>
        </row>
        <row r="902">
          <cell r="N902">
            <v>900400965</v>
          </cell>
        </row>
        <row r="903">
          <cell r="N903">
            <v>900400965</v>
          </cell>
        </row>
        <row r="904">
          <cell r="N904">
            <v>900400965</v>
          </cell>
        </row>
        <row r="905">
          <cell r="N905">
            <v>900400965</v>
          </cell>
        </row>
        <row r="906">
          <cell r="N906">
            <v>14011711</v>
          </cell>
        </row>
        <row r="907">
          <cell r="N907">
            <v>14011711</v>
          </cell>
        </row>
        <row r="908">
          <cell r="N908">
            <v>14011711</v>
          </cell>
        </row>
        <row r="909">
          <cell r="N909">
            <v>14011711</v>
          </cell>
        </row>
        <row r="910">
          <cell r="N910">
            <v>14011711</v>
          </cell>
        </row>
        <row r="911">
          <cell r="N911">
            <v>14011711</v>
          </cell>
        </row>
        <row r="912">
          <cell r="N912">
            <v>14011711</v>
          </cell>
        </row>
        <row r="913">
          <cell r="N913">
            <v>14011711</v>
          </cell>
        </row>
        <row r="914">
          <cell r="N914">
            <v>14011711</v>
          </cell>
        </row>
        <row r="915">
          <cell r="N915">
            <v>14011711</v>
          </cell>
        </row>
        <row r="916">
          <cell r="N916">
            <v>14011711</v>
          </cell>
        </row>
        <row r="917">
          <cell r="N917">
            <v>14011711</v>
          </cell>
        </row>
        <row r="918">
          <cell r="N918">
            <v>14011711</v>
          </cell>
        </row>
        <row r="919">
          <cell r="N919">
            <v>14011711</v>
          </cell>
        </row>
        <row r="920">
          <cell r="N920">
            <v>14011711</v>
          </cell>
        </row>
        <row r="921">
          <cell r="N921">
            <v>14011711</v>
          </cell>
        </row>
        <row r="922">
          <cell r="N922">
            <v>14011711</v>
          </cell>
        </row>
        <row r="923">
          <cell r="N923">
            <v>14011711</v>
          </cell>
        </row>
        <row r="924">
          <cell r="N924">
            <v>14011711</v>
          </cell>
        </row>
        <row r="925">
          <cell r="N925">
            <v>830145805</v>
          </cell>
        </row>
        <row r="926">
          <cell r="N926">
            <v>830145805</v>
          </cell>
        </row>
        <row r="927">
          <cell r="N927">
            <v>830145805</v>
          </cell>
        </row>
        <row r="928">
          <cell r="N928">
            <v>830145805</v>
          </cell>
        </row>
        <row r="929">
          <cell r="N929">
            <v>830145805</v>
          </cell>
        </row>
        <row r="930">
          <cell r="N930">
            <v>830145805</v>
          </cell>
        </row>
        <row r="931">
          <cell r="N931">
            <v>830145805</v>
          </cell>
        </row>
        <row r="932">
          <cell r="N932">
            <v>23780840</v>
          </cell>
        </row>
        <row r="933">
          <cell r="N933">
            <v>23780840</v>
          </cell>
        </row>
        <row r="934">
          <cell r="N934">
            <v>23780840</v>
          </cell>
        </row>
        <row r="935">
          <cell r="N935">
            <v>23780840</v>
          </cell>
        </row>
        <row r="936">
          <cell r="N936">
            <v>23780840</v>
          </cell>
        </row>
        <row r="937">
          <cell r="N937">
            <v>85166081</v>
          </cell>
        </row>
        <row r="938">
          <cell r="N938">
            <v>85166081</v>
          </cell>
        </row>
        <row r="939">
          <cell r="N939">
            <v>85166081</v>
          </cell>
        </row>
        <row r="940">
          <cell r="N940">
            <v>85166081</v>
          </cell>
        </row>
        <row r="941">
          <cell r="N941">
            <v>85166081</v>
          </cell>
        </row>
        <row r="942">
          <cell r="N942">
            <v>85166081</v>
          </cell>
        </row>
        <row r="943">
          <cell r="N943">
            <v>85166081</v>
          </cell>
        </row>
        <row r="944">
          <cell r="N944">
            <v>900573176</v>
          </cell>
        </row>
        <row r="945">
          <cell r="N945">
            <v>900573176</v>
          </cell>
        </row>
        <row r="946">
          <cell r="N946">
            <v>900573176</v>
          </cell>
        </row>
        <row r="947">
          <cell r="N947">
            <v>900573176</v>
          </cell>
        </row>
        <row r="948">
          <cell r="N948">
            <v>900573176</v>
          </cell>
        </row>
        <row r="949">
          <cell r="N949">
            <v>900573176</v>
          </cell>
        </row>
        <row r="950">
          <cell r="N950">
            <v>900573176</v>
          </cell>
        </row>
        <row r="951">
          <cell r="N951">
            <v>900573176</v>
          </cell>
        </row>
        <row r="952">
          <cell r="N952">
            <v>9261453</v>
          </cell>
        </row>
        <row r="953">
          <cell r="N953">
            <v>9261453</v>
          </cell>
        </row>
        <row r="954">
          <cell r="N954">
            <v>800155894</v>
          </cell>
        </row>
        <row r="955">
          <cell r="N955">
            <v>800155894</v>
          </cell>
        </row>
        <row r="956">
          <cell r="N956">
            <v>800155894</v>
          </cell>
        </row>
        <row r="957">
          <cell r="N957">
            <v>800155894</v>
          </cell>
        </row>
        <row r="958">
          <cell r="N958">
            <v>800155894</v>
          </cell>
        </row>
        <row r="959">
          <cell r="N959">
            <v>800155894</v>
          </cell>
        </row>
        <row r="960">
          <cell r="N960">
            <v>900648202</v>
          </cell>
        </row>
        <row r="961">
          <cell r="N961">
            <v>900648202</v>
          </cell>
        </row>
        <row r="962">
          <cell r="N962">
            <v>900648202</v>
          </cell>
        </row>
        <row r="963">
          <cell r="N963">
            <v>900648202</v>
          </cell>
        </row>
        <row r="964">
          <cell r="N964">
            <v>900648202</v>
          </cell>
        </row>
        <row r="965">
          <cell r="N965">
            <v>900648202</v>
          </cell>
        </row>
        <row r="966">
          <cell r="N966">
            <v>900086154</v>
          </cell>
        </row>
        <row r="967">
          <cell r="N967">
            <v>900086154</v>
          </cell>
        </row>
        <row r="968">
          <cell r="N968">
            <v>900086154</v>
          </cell>
        </row>
        <row r="969">
          <cell r="N969">
            <v>900086154</v>
          </cell>
        </row>
        <row r="970">
          <cell r="N970">
            <v>900086154</v>
          </cell>
        </row>
        <row r="971">
          <cell r="N971">
            <v>900502698</v>
          </cell>
        </row>
        <row r="972">
          <cell r="N972">
            <v>900502698</v>
          </cell>
        </row>
        <row r="973">
          <cell r="N973">
            <v>900502698</v>
          </cell>
        </row>
        <row r="974">
          <cell r="N974">
            <v>900502698</v>
          </cell>
        </row>
        <row r="975">
          <cell r="N975">
            <v>900502698</v>
          </cell>
        </row>
        <row r="976">
          <cell r="N976">
            <v>900502698</v>
          </cell>
        </row>
        <row r="977">
          <cell r="N977">
            <v>811044897</v>
          </cell>
        </row>
        <row r="978">
          <cell r="N978">
            <v>811044897</v>
          </cell>
        </row>
        <row r="979">
          <cell r="N979">
            <v>811044897</v>
          </cell>
        </row>
        <row r="980">
          <cell r="N980">
            <v>811044897</v>
          </cell>
        </row>
        <row r="981">
          <cell r="N981">
            <v>811044897</v>
          </cell>
        </row>
        <row r="982">
          <cell r="N982">
            <v>811044897</v>
          </cell>
        </row>
        <row r="983">
          <cell r="N983">
            <v>811044897</v>
          </cell>
        </row>
        <row r="984">
          <cell r="N984">
            <v>811044897</v>
          </cell>
        </row>
        <row r="985">
          <cell r="N985">
            <v>811044897</v>
          </cell>
        </row>
        <row r="986">
          <cell r="N986">
            <v>811044897</v>
          </cell>
        </row>
        <row r="987">
          <cell r="N987">
            <v>811044897</v>
          </cell>
        </row>
        <row r="988">
          <cell r="N988">
            <v>811044897</v>
          </cell>
        </row>
        <row r="989">
          <cell r="N989">
            <v>811044897</v>
          </cell>
        </row>
        <row r="990">
          <cell r="N990">
            <v>10896832</v>
          </cell>
        </row>
        <row r="991">
          <cell r="N991">
            <v>36284552</v>
          </cell>
        </row>
        <row r="992">
          <cell r="N992">
            <v>36284552</v>
          </cell>
        </row>
        <row r="993">
          <cell r="N993">
            <v>36284552</v>
          </cell>
        </row>
        <row r="994">
          <cell r="N994">
            <v>36284552</v>
          </cell>
        </row>
        <row r="995">
          <cell r="N995">
            <v>900215165</v>
          </cell>
        </row>
        <row r="996">
          <cell r="N996">
            <v>900215165</v>
          </cell>
        </row>
        <row r="997">
          <cell r="N997">
            <v>901023135</v>
          </cell>
        </row>
        <row r="998">
          <cell r="N998">
            <v>901023135</v>
          </cell>
        </row>
        <row r="999">
          <cell r="N999">
            <v>901023135</v>
          </cell>
        </row>
        <row r="1000">
          <cell r="N1000">
            <v>901023135</v>
          </cell>
        </row>
        <row r="1001">
          <cell r="N1001">
            <v>901023135</v>
          </cell>
        </row>
        <row r="1002">
          <cell r="N1002">
            <v>91239403</v>
          </cell>
        </row>
        <row r="1003">
          <cell r="N1003">
            <v>13747600</v>
          </cell>
        </row>
        <row r="1004">
          <cell r="N1004">
            <v>13747600</v>
          </cell>
        </row>
        <row r="1005">
          <cell r="N1005">
            <v>13747600</v>
          </cell>
        </row>
        <row r="1006">
          <cell r="N1006">
            <v>900454096</v>
          </cell>
        </row>
        <row r="1007">
          <cell r="N1007">
            <v>900454096</v>
          </cell>
        </row>
        <row r="1008">
          <cell r="N1008">
            <v>900454096</v>
          </cell>
        </row>
        <row r="1009">
          <cell r="N1009">
            <v>900454096</v>
          </cell>
        </row>
        <row r="1010">
          <cell r="N1010">
            <v>1042768777</v>
          </cell>
        </row>
        <row r="1011">
          <cell r="N1011">
            <v>1042768777</v>
          </cell>
        </row>
        <row r="1012">
          <cell r="N1012">
            <v>1042768777</v>
          </cell>
        </row>
        <row r="1013">
          <cell r="N1013">
            <v>32259672</v>
          </cell>
        </row>
        <row r="1014">
          <cell r="N1014">
            <v>32259672</v>
          </cell>
        </row>
        <row r="1015">
          <cell r="N1015">
            <v>32259672</v>
          </cell>
        </row>
        <row r="1016">
          <cell r="N1016">
            <v>32259672</v>
          </cell>
        </row>
        <row r="1017">
          <cell r="N1017">
            <v>900599349</v>
          </cell>
        </row>
        <row r="1018">
          <cell r="N1018">
            <v>900599349</v>
          </cell>
        </row>
        <row r="1019">
          <cell r="N1019">
            <v>900599349</v>
          </cell>
        </row>
        <row r="1020">
          <cell r="N1020">
            <v>900599349</v>
          </cell>
        </row>
        <row r="1021">
          <cell r="N1021">
            <v>900599349</v>
          </cell>
        </row>
        <row r="1022">
          <cell r="N1022">
            <v>900599349</v>
          </cell>
        </row>
        <row r="1023">
          <cell r="N1023">
            <v>900599349</v>
          </cell>
        </row>
        <row r="1024">
          <cell r="N1024">
            <v>900599349</v>
          </cell>
        </row>
        <row r="1025">
          <cell r="N1025">
            <v>900599349</v>
          </cell>
        </row>
        <row r="1026">
          <cell r="N1026">
            <v>900599349</v>
          </cell>
        </row>
        <row r="1027">
          <cell r="N1027">
            <v>900599349</v>
          </cell>
        </row>
        <row r="1028">
          <cell r="N1028">
            <v>900599349</v>
          </cell>
        </row>
        <row r="1029">
          <cell r="N1029">
            <v>900599349</v>
          </cell>
        </row>
        <row r="1030">
          <cell r="N1030">
            <v>900599349</v>
          </cell>
        </row>
        <row r="1031">
          <cell r="N1031">
            <v>900599349</v>
          </cell>
        </row>
        <row r="1032">
          <cell r="N1032">
            <v>900599349</v>
          </cell>
        </row>
        <row r="1033">
          <cell r="N1033">
            <v>900599349</v>
          </cell>
        </row>
        <row r="1034">
          <cell r="N1034">
            <v>900599349</v>
          </cell>
        </row>
        <row r="1035">
          <cell r="N1035">
            <v>900599349</v>
          </cell>
        </row>
        <row r="1036">
          <cell r="N1036">
            <v>900599349</v>
          </cell>
        </row>
        <row r="1037">
          <cell r="N1037">
            <v>900599349</v>
          </cell>
        </row>
        <row r="1038">
          <cell r="N1038">
            <v>900599349</v>
          </cell>
        </row>
        <row r="1039">
          <cell r="N1039">
            <v>900599349</v>
          </cell>
        </row>
        <row r="1040">
          <cell r="N1040">
            <v>900599349</v>
          </cell>
        </row>
        <row r="1041">
          <cell r="N1041">
            <v>900599349</v>
          </cell>
        </row>
        <row r="1042">
          <cell r="N1042">
            <v>900599349</v>
          </cell>
        </row>
        <row r="1043">
          <cell r="N1043">
            <v>900599349</v>
          </cell>
        </row>
        <row r="1044">
          <cell r="N1044">
            <v>900599349</v>
          </cell>
        </row>
        <row r="1045">
          <cell r="N1045">
            <v>8357438</v>
          </cell>
        </row>
        <row r="1046">
          <cell r="N1046">
            <v>8357438</v>
          </cell>
        </row>
        <row r="1047">
          <cell r="N1047">
            <v>8357438</v>
          </cell>
        </row>
        <row r="1048">
          <cell r="N1048">
            <v>8357438</v>
          </cell>
        </row>
        <row r="1049">
          <cell r="N1049">
            <v>900266553</v>
          </cell>
        </row>
        <row r="1050">
          <cell r="N1050">
            <v>900266553</v>
          </cell>
        </row>
        <row r="1051">
          <cell r="N1051">
            <v>900266553</v>
          </cell>
        </row>
        <row r="1052">
          <cell r="N1052">
            <v>838000154</v>
          </cell>
        </row>
        <row r="1053">
          <cell r="N1053">
            <v>838000154</v>
          </cell>
        </row>
        <row r="1054">
          <cell r="N1054">
            <v>838000154</v>
          </cell>
        </row>
        <row r="1055">
          <cell r="N1055">
            <v>838000154</v>
          </cell>
        </row>
        <row r="1056">
          <cell r="N1056">
            <v>838000154</v>
          </cell>
        </row>
        <row r="1057">
          <cell r="N1057">
            <v>838000154</v>
          </cell>
        </row>
        <row r="1058">
          <cell r="N1058">
            <v>79204832</v>
          </cell>
        </row>
        <row r="1059">
          <cell r="N1059">
            <v>79204832</v>
          </cell>
        </row>
        <row r="1060">
          <cell r="N1060">
            <v>79204832</v>
          </cell>
        </row>
        <row r="1061">
          <cell r="N1061">
            <v>79204832</v>
          </cell>
        </row>
        <row r="1062">
          <cell r="N1062">
            <v>79204832</v>
          </cell>
        </row>
        <row r="1063">
          <cell r="N1063">
            <v>79204832</v>
          </cell>
        </row>
        <row r="1064">
          <cell r="N1064">
            <v>900426895</v>
          </cell>
        </row>
        <row r="1065">
          <cell r="N1065">
            <v>900426895</v>
          </cell>
        </row>
        <row r="1066">
          <cell r="N1066">
            <v>900426895</v>
          </cell>
        </row>
        <row r="1067">
          <cell r="N1067">
            <v>900426895</v>
          </cell>
        </row>
        <row r="1068">
          <cell r="N1068">
            <v>900426895</v>
          </cell>
        </row>
        <row r="1069">
          <cell r="N1069">
            <v>900426895</v>
          </cell>
        </row>
        <row r="1070">
          <cell r="N1070">
            <v>900426895</v>
          </cell>
        </row>
        <row r="1071">
          <cell r="N1071">
            <v>900426895</v>
          </cell>
        </row>
        <row r="1072">
          <cell r="N1072">
            <v>900426895</v>
          </cell>
        </row>
        <row r="1073">
          <cell r="N1073">
            <v>900426895</v>
          </cell>
        </row>
        <row r="1074">
          <cell r="N1074">
            <v>900426895</v>
          </cell>
        </row>
        <row r="1075">
          <cell r="N1075">
            <v>900426895</v>
          </cell>
        </row>
        <row r="1076">
          <cell r="N1076">
            <v>900426895</v>
          </cell>
        </row>
        <row r="1077">
          <cell r="N1077">
            <v>900426895</v>
          </cell>
        </row>
        <row r="1078">
          <cell r="N1078">
            <v>900426895</v>
          </cell>
        </row>
        <row r="1079">
          <cell r="N1079">
            <v>900426895</v>
          </cell>
        </row>
        <row r="1080">
          <cell r="N1080">
            <v>900426895</v>
          </cell>
        </row>
        <row r="1081">
          <cell r="N1081">
            <v>900426895</v>
          </cell>
        </row>
        <row r="1082">
          <cell r="N1082">
            <v>900426895</v>
          </cell>
        </row>
        <row r="1083">
          <cell r="N1083">
            <v>900426895</v>
          </cell>
        </row>
        <row r="1084">
          <cell r="N1084">
            <v>900426895</v>
          </cell>
        </row>
        <row r="1085">
          <cell r="N1085">
            <v>900426895</v>
          </cell>
        </row>
        <row r="1086">
          <cell r="N1086">
            <v>900426895</v>
          </cell>
        </row>
        <row r="1087">
          <cell r="N1087">
            <v>900426895</v>
          </cell>
        </row>
        <row r="1088">
          <cell r="N1088">
            <v>900426895</v>
          </cell>
        </row>
        <row r="1089">
          <cell r="N1089">
            <v>900426895</v>
          </cell>
        </row>
        <row r="1090">
          <cell r="N1090">
            <v>900426895</v>
          </cell>
        </row>
        <row r="1091">
          <cell r="N1091">
            <v>900426895</v>
          </cell>
        </row>
        <row r="1092">
          <cell r="N1092">
            <v>900426895</v>
          </cell>
        </row>
        <row r="1093">
          <cell r="N1093">
            <v>900426895</v>
          </cell>
        </row>
        <row r="1094">
          <cell r="N1094">
            <v>900426895</v>
          </cell>
        </row>
        <row r="1095">
          <cell r="N1095">
            <v>900426895</v>
          </cell>
        </row>
        <row r="1096">
          <cell r="N1096">
            <v>900426895</v>
          </cell>
        </row>
        <row r="1097">
          <cell r="N1097">
            <v>900426895</v>
          </cell>
        </row>
        <row r="1098">
          <cell r="N1098">
            <v>900426895</v>
          </cell>
        </row>
        <row r="1099">
          <cell r="N1099">
            <v>900426895</v>
          </cell>
        </row>
        <row r="1100">
          <cell r="N1100">
            <v>900426895</v>
          </cell>
        </row>
        <row r="1101">
          <cell r="N1101">
            <v>900426895</v>
          </cell>
        </row>
        <row r="1102">
          <cell r="N1102">
            <v>900426895</v>
          </cell>
        </row>
        <row r="1103">
          <cell r="N1103">
            <v>900426895</v>
          </cell>
        </row>
        <row r="1104">
          <cell r="N1104">
            <v>900426895</v>
          </cell>
        </row>
        <row r="1105">
          <cell r="N1105">
            <v>800186618</v>
          </cell>
        </row>
        <row r="1106">
          <cell r="N1106">
            <v>800186618</v>
          </cell>
        </row>
        <row r="1107">
          <cell r="N1107">
            <v>800186618</v>
          </cell>
        </row>
        <row r="1108">
          <cell r="N1108">
            <v>800186618</v>
          </cell>
        </row>
        <row r="1109">
          <cell r="N1109">
            <v>800186618</v>
          </cell>
        </row>
        <row r="1110">
          <cell r="N1110">
            <v>800186618</v>
          </cell>
        </row>
        <row r="1111">
          <cell r="N1111">
            <v>800186618</v>
          </cell>
        </row>
        <row r="1112">
          <cell r="N1112">
            <v>800186618</v>
          </cell>
        </row>
        <row r="1113">
          <cell r="N1113">
            <v>800186618</v>
          </cell>
        </row>
        <row r="1114">
          <cell r="N1114">
            <v>800186618</v>
          </cell>
        </row>
        <row r="1115">
          <cell r="N1115">
            <v>800186618</v>
          </cell>
        </row>
        <row r="1116">
          <cell r="N1116">
            <v>800186618</v>
          </cell>
        </row>
        <row r="1117">
          <cell r="N1117">
            <v>800186618</v>
          </cell>
        </row>
        <row r="1118">
          <cell r="N1118">
            <v>800186618</v>
          </cell>
        </row>
        <row r="1119">
          <cell r="N1119">
            <v>800186618</v>
          </cell>
        </row>
        <row r="1120">
          <cell r="N1120">
            <v>800186618</v>
          </cell>
        </row>
        <row r="1121">
          <cell r="N1121">
            <v>800186618</v>
          </cell>
        </row>
        <row r="1122">
          <cell r="N1122">
            <v>800186618</v>
          </cell>
        </row>
        <row r="1123">
          <cell r="N1123">
            <v>800186618</v>
          </cell>
        </row>
        <row r="1124">
          <cell r="N1124">
            <v>800186618</v>
          </cell>
        </row>
        <row r="1125">
          <cell r="N1125">
            <v>891701917</v>
          </cell>
        </row>
        <row r="1126">
          <cell r="N1126">
            <v>891701917</v>
          </cell>
        </row>
        <row r="1127">
          <cell r="N1127">
            <v>891701917</v>
          </cell>
        </row>
        <row r="1128">
          <cell r="N1128">
            <v>891701917</v>
          </cell>
        </row>
        <row r="1129">
          <cell r="N1129">
            <v>891701917</v>
          </cell>
        </row>
        <row r="1130">
          <cell r="N1130">
            <v>18125225</v>
          </cell>
        </row>
        <row r="1131">
          <cell r="N1131">
            <v>18125225</v>
          </cell>
        </row>
        <row r="1132">
          <cell r="N1132">
            <v>18125225</v>
          </cell>
        </row>
        <row r="1133">
          <cell r="N1133">
            <v>18125225</v>
          </cell>
        </row>
        <row r="1134">
          <cell r="N1134">
            <v>18125225</v>
          </cell>
        </row>
        <row r="1135">
          <cell r="N1135">
            <v>18125225</v>
          </cell>
        </row>
        <row r="1136">
          <cell r="N1136">
            <v>18125225</v>
          </cell>
        </row>
        <row r="1137">
          <cell r="N1137">
            <v>18125225</v>
          </cell>
        </row>
        <row r="1138">
          <cell r="N1138">
            <v>18125225</v>
          </cell>
        </row>
        <row r="1139">
          <cell r="N1139">
            <v>18125225</v>
          </cell>
        </row>
        <row r="1140">
          <cell r="N1140">
            <v>18125225</v>
          </cell>
        </row>
        <row r="1141">
          <cell r="N1141">
            <v>18125225</v>
          </cell>
        </row>
        <row r="1142">
          <cell r="N1142">
            <v>18125225</v>
          </cell>
        </row>
        <row r="1143">
          <cell r="N1143">
            <v>18125225</v>
          </cell>
        </row>
        <row r="1144">
          <cell r="N1144">
            <v>18125225</v>
          </cell>
        </row>
        <row r="1145">
          <cell r="N1145">
            <v>18125225</v>
          </cell>
        </row>
        <row r="1146">
          <cell r="N1146">
            <v>18125225</v>
          </cell>
        </row>
        <row r="1147">
          <cell r="N1147">
            <v>18125225</v>
          </cell>
        </row>
        <row r="1148">
          <cell r="N1148">
            <v>18125225</v>
          </cell>
        </row>
        <row r="1149">
          <cell r="N1149">
            <v>18125225</v>
          </cell>
        </row>
        <row r="1150">
          <cell r="N1150">
            <v>18125225</v>
          </cell>
        </row>
        <row r="1151">
          <cell r="N1151">
            <v>18125225</v>
          </cell>
        </row>
        <row r="1152">
          <cell r="N1152">
            <v>18125225</v>
          </cell>
        </row>
        <row r="1153">
          <cell r="N1153">
            <v>18125225</v>
          </cell>
        </row>
        <row r="1154">
          <cell r="N1154">
            <v>18125225</v>
          </cell>
        </row>
        <row r="1155">
          <cell r="N1155">
            <v>18125225</v>
          </cell>
        </row>
        <row r="1156">
          <cell r="N1156">
            <v>18125225</v>
          </cell>
        </row>
        <row r="1157">
          <cell r="N1157">
            <v>18125225</v>
          </cell>
        </row>
        <row r="1158">
          <cell r="N1158">
            <v>18125225</v>
          </cell>
        </row>
        <row r="1159">
          <cell r="N1159">
            <v>18125225</v>
          </cell>
        </row>
        <row r="1160">
          <cell r="N1160">
            <v>18125225</v>
          </cell>
        </row>
        <row r="1161">
          <cell r="N1161">
            <v>18125225</v>
          </cell>
        </row>
        <row r="1162">
          <cell r="N1162">
            <v>18125225</v>
          </cell>
        </row>
        <row r="1163">
          <cell r="N1163">
            <v>18125225</v>
          </cell>
        </row>
        <row r="1164">
          <cell r="N1164">
            <v>18125225</v>
          </cell>
        </row>
        <row r="1165">
          <cell r="N1165">
            <v>18125225</v>
          </cell>
        </row>
        <row r="1166">
          <cell r="N1166">
            <v>18125225</v>
          </cell>
        </row>
        <row r="1167">
          <cell r="N1167">
            <v>18125225</v>
          </cell>
        </row>
        <row r="1168">
          <cell r="N1168">
            <v>18125225</v>
          </cell>
        </row>
        <row r="1169">
          <cell r="N1169">
            <v>900425597</v>
          </cell>
        </row>
        <row r="1170">
          <cell r="N1170">
            <v>900425597</v>
          </cell>
        </row>
        <row r="1171">
          <cell r="N1171">
            <v>900425597</v>
          </cell>
        </row>
        <row r="1172">
          <cell r="N1172">
            <v>900425597</v>
          </cell>
        </row>
        <row r="1173">
          <cell r="N1173">
            <v>900425597</v>
          </cell>
        </row>
        <row r="1174">
          <cell r="N1174">
            <v>900425597</v>
          </cell>
        </row>
        <row r="1175">
          <cell r="N1175">
            <v>900425597</v>
          </cell>
        </row>
        <row r="1176">
          <cell r="N1176">
            <v>900425597</v>
          </cell>
        </row>
        <row r="1177">
          <cell r="N1177">
            <v>900425597</v>
          </cell>
        </row>
        <row r="1178">
          <cell r="N1178">
            <v>900425597</v>
          </cell>
        </row>
        <row r="1179">
          <cell r="N1179">
            <v>900777108</v>
          </cell>
        </row>
        <row r="1180">
          <cell r="N1180">
            <v>900777108</v>
          </cell>
        </row>
        <row r="1181">
          <cell r="N1181">
            <v>900695615</v>
          </cell>
        </row>
        <row r="1182">
          <cell r="N1182">
            <v>900695615</v>
          </cell>
        </row>
        <row r="1183">
          <cell r="N1183">
            <v>900695615</v>
          </cell>
        </row>
        <row r="1184">
          <cell r="N1184">
            <v>900695615</v>
          </cell>
        </row>
        <row r="1185">
          <cell r="N1185">
            <v>900695615</v>
          </cell>
        </row>
        <row r="1186">
          <cell r="N1186">
            <v>900695615</v>
          </cell>
        </row>
        <row r="1187">
          <cell r="N1187">
            <v>66842718</v>
          </cell>
        </row>
        <row r="1188">
          <cell r="N1188">
            <v>66842718</v>
          </cell>
        </row>
        <row r="1189">
          <cell r="N1189">
            <v>66842718</v>
          </cell>
        </row>
        <row r="1190">
          <cell r="N1190">
            <v>900500702</v>
          </cell>
        </row>
        <row r="1191">
          <cell r="N1191">
            <v>900500702</v>
          </cell>
        </row>
        <row r="1192">
          <cell r="N1192">
            <v>900500702</v>
          </cell>
        </row>
        <row r="1193">
          <cell r="N1193">
            <v>900500702</v>
          </cell>
        </row>
        <row r="1194">
          <cell r="N1194">
            <v>900500702</v>
          </cell>
        </row>
        <row r="1195">
          <cell r="N1195">
            <v>900500702</v>
          </cell>
        </row>
        <row r="1196">
          <cell r="N1196">
            <v>900500702</v>
          </cell>
        </row>
        <row r="1197">
          <cell r="N1197">
            <v>98370919</v>
          </cell>
        </row>
        <row r="1198">
          <cell r="N1198">
            <v>98370919</v>
          </cell>
        </row>
        <row r="1199">
          <cell r="N1199">
            <v>98370919</v>
          </cell>
        </row>
        <row r="1200">
          <cell r="N1200">
            <v>27452030</v>
          </cell>
        </row>
        <row r="1201">
          <cell r="N1201">
            <v>27452030</v>
          </cell>
        </row>
        <row r="1202">
          <cell r="N1202">
            <v>27452030</v>
          </cell>
        </row>
        <row r="1203">
          <cell r="N1203">
            <v>27452030</v>
          </cell>
        </row>
        <row r="1204">
          <cell r="N1204">
            <v>27452030</v>
          </cell>
        </row>
        <row r="1205">
          <cell r="N1205">
            <v>16614938</v>
          </cell>
        </row>
        <row r="1206">
          <cell r="N1206">
            <v>16614938</v>
          </cell>
        </row>
        <row r="1207">
          <cell r="N1207">
            <v>16614938</v>
          </cell>
        </row>
        <row r="1208">
          <cell r="N1208">
            <v>16614938</v>
          </cell>
        </row>
        <row r="1209">
          <cell r="N1209">
            <v>16614938</v>
          </cell>
        </row>
        <row r="1210">
          <cell r="N1210">
            <v>16614938</v>
          </cell>
        </row>
        <row r="1211">
          <cell r="N1211">
            <v>16614938</v>
          </cell>
        </row>
        <row r="1212">
          <cell r="N1212">
            <v>16614938</v>
          </cell>
        </row>
        <row r="1213">
          <cell r="N1213">
            <v>16614938</v>
          </cell>
        </row>
        <row r="1214">
          <cell r="N1214">
            <v>2907207</v>
          </cell>
        </row>
        <row r="1215">
          <cell r="N1215">
            <v>2907207</v>
          </cell>
        </row>
        <row r="1216">
          <cell r="N1216">
            <v>2907207</v>
          </cell>
        </row>
        <row r="1217">
          <cell r="N1217">
            <v>2907207</v>
          </cell>
        </row>
        <row r="1218">
          <cell r="N1218">
            <v>802016654</v>
          </cell>
        </row>
        <row r="1219">
          <cell r="N1219">
            <v>93402073</v>
          </cell>
        </row>
        <row r="1220">
          <cell r="N1220">
            <v>93402073</v>
          </cell>
        </row>
        <row r="1221">
          <cell r="N1221">
            <v>93402073</v>
          </cell>
        </row>
        <row r="1222">
          <cell r="N1222">
            <v>93402073</v>
          </cell>
        </row>
        <row r="1223">
          <cell r="N1223">
            <v>93402073</v>
          </cell>
        </row>
        <row r="1224">
          <cell r="N1224">
            <v>93402073</v>
          </cell>
        </row>
        <row r="1225">
          <cell r="N1225">
            <v>93402073</v>
          </cell>
        </row>
        <row r="1226">
          <cell r="N1226">
            <v>93402073</v>
          </cell>
        </row>
        <row r="1227">
          <cell r="N1227">
            <v>93402073</v>
          </cell>
        </row>
        <row r="1228">
          <cell r="N1228">
            <v>93402073</v>
          </cell>
        </row>
        <row r="1229">
          <cell r="N1229">
            <v>93402073</v>
          </cell>
        </row>
        <row r="1230">
          <cell r="N1230">
            <v>93402073</v>
          </cell>
        </row>
        <row r="1231">
          <cell r="N1231">
            <v>17529200</v>
          </cell>
        </row>
        <row r="1232">
          <cell r="N1232">
            <v>17529200</v>
          </cell>
        </row>
        <row r="1233">
          <cell r="N1233">
            <v>17529200</v>
          </cell>
        </row>
        <row r="1234">
          <cell r="N1234">
            <v>17529200</v>
          </cell>
        </row>
        <row r="1235">
          <cell r="N1235">
            <v>17529200</v>
          </cell>
        </row>
        <row r="1236">
          <cell r="N1236">
            <v>900861288</v>
          </cell>
        </row>
        <row r="1237">
          <cell r="N1237">
            <v>900861288</v>
          </cell>
        </row>
        <row r="1238">
          <cell r="N1238">
            <v>900861288</v>
          </cell>
        </row>
        <row r="1239">
          <cell r="N1239">
            <v>900861288</v>
          </cell>
        </row>
        <row r="1240">
          <cell r="N1240">
            <v>60345082</v>
          </cell>
        </row>
        <row r="1241">
          <cell r="N1241">
            <v>60345082</v>
          </cell>
        </row>
        <row r="1242">
          <cell r="N1242">
            <v>60345082</v>
          </cell>
        </row>
        <row r="1243">
          <cell r="N1243">
            <v>60345082</v>
          </cell>
        </row>
        <row r="1244">
          <cell r="N1244">
            <v>60345082</v>
          </cell>
        </row>
        <row r="1245">
          <cell r="N1245">
            <v>60345082</v>
          </cell>
        </row>
        <row r="1246">
          <cell r="N1246">
            <v>60345082</v>
          </cell>
        </row>
        <row r="1247">
          <cell r="N1247">
            <v>60345082</v>
          </cell>
        </row>
        <row r="1248">
          <cell r="N1248">
            <v>91076095</v>
          </cell>
        </row>
        <row r="1249">
          <cell r="N1249">
            <v>91076095</v>
          </cell>
        </row>
        <row r="1250">
          <cell r="N1250">
            <v>91076095</v>
          </cell>
        </row>
        <row r="1251">
          <cell r="N1251">
            <v>91076095</v>
          </cell>
        </row>
        <row r="1252">
          <cell r="N1252">
            <v>91076095</v>
          </cell>
        </row>
        <row r="1253">
          <cell r="N1253">
            <v>91076095</v>
          </cell>
        </row>
        <row r="1254">
          <cell r="N1254">
            <v>91076095</v>
          </cell>
        </row>
        <row r="1255">
          <cell r="N1255">
            <v>91076095</v>
          </cell>
        </row>
        <row r="1256">
          <cell r="N1256">
            <v>890907848</v>
          </cell>
        </row>
        <row r="1257">
          <cell r="N1257">
            <v>890907848</v>
          </cell>
        </row>
        <row r="1258">
          <cell r="N1258">
            <v>890907848</v>
          </cell>
        </row>
        <row r="1259">
          <cell r="N1259">
            <v>816008547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osa Hernandez Andres Felipe" refreshedDate="42955.394166203703" createdVersion="4" refreshedVersion="4" minRefreshableVersion="3" recordCount="2192" xr:uid="{00000000-000A-0000-FFFF-FFFF01000000}">
  <cacheSource type="worksheet">
    <worksheetSource name="Tabla3"/>
  </cacheSource>
  <cacheFields count="28">
    <cacheField name="Nro documento" numFmtId="0">
      <sharedItems containsBlank="1" count="1345">
        <s v="PVT-00095497"/>
        <s v="PVT-00095498"/>
        <s v="PVT-00095499"/>
        <s v="PVT-00095500"/>
        <s v="PVT-00095501"/>
        <s v="PVT-00095502"/>
        <s v="PVT-00095503"/>
        <s v="PVT-00095504"/>
        <s v="PVT-00095505"/>
        <s v="PVT-00095506"/>
        <s v="PVT-00095507"/>
        <s v="PVT-00095509"/>
        <s v="PVT-00095510"/>
        <s v="PVT-00095511"/>
        <s v="PVT-00095512"/>
        <s v="PVT-00095513"/>
        <s v="PVT-00095514"/>
        <s v="PVT-00095515"/>
        <s v="PVT-00095516"/>
        <s v="PVT-00095517"/>
        <s v="PVT-00095518"/>
        <s v="PVT-00095519"/>
        <s v="PVT-00095520"/>
        <s v="PVT-00095521"/>
        <s v="PVT-00095522"/>
        <s v="PVT-00095523"/>
        <s v="PVT-00095524"/>
        <s v="PVT-00095525"/>
        <s v="PVT-00095526"/>
        <s v="PVT-00095527"/>
        <s v="PVT-00095528"/>
        <s v="PVT-00095529"/>
        <s v="PVT-00095530"/>
        <s v="PVT-00095531"/>
        <s v="PVT-00095532"/>
        <s v="PVT-00095533"/>
        <s v="PVT-00095534"/>
        <s v="PVT-00095535"/>
        <s v="PVT-00095536"/>
        <s v="PVT-00095537"/>
        <s v="PVT-00095538"/>
        <s v="PVT-00095539"/>
        <s v="PVT-00095540"/>
        <s v="PVT-00095541"/>
        <s v="PVT-00095542"/>
        <s v="PVT-00095543"/>
        <s v="PVT-00095544"/>
        <s v="PVT-00095545"/>
        <s v="PVT-00095546"/>
        <s v="PVT-00095547"/>
        <s v="PVT-00095548"/>
        <s v="PVT-00095549"/>
        <s v="PVT-00095550"/>
        <s v="PVT-00095551"/>
        <s v="PVT-00095552"/>
        <s v="PVT-00095553"/>
        <s v="PVT-00095554"/>
        <s v="PVT-00095555"/>
        <s v="PVT-00095556"/>
        <s v="PVT-00095557"/>
        <s v="PVT-00095559"/>
        <s v="PVT-00095560"/>
        <s v="PVT-00095561"/>
        <s v="PVT-00095562"/>
        <s v="PVT-00095563"/>
        <s v="PVT-00095565"/>
        <s v="PVT-00095566"/>
        <s v="PVT-00095567"/>
        <s v="PVT-00095569"/>
        <s v="PVT-00095571"/>
        <s v="PVT-00095572"/>
        <s v="PVT-00095573"/>
        <s v="PVT-00095575"/>
        <s v="PVT-00095576"/>
        <s v="PVT-00095577"/>
        <s v="PVT-00095578"/>
        <s v="PVT-00095579"/>
        <s v="PVT-00095580"/>
        <s v="PVT-00095581"/>
        <s v="PVT-00095582"/>
        <s v="PVT-00095584"/>
        <s v="PVT-00095585"/>
        <s v="PVT-00095586"/>
        <s v="PVT-00095587"/>
        <s v="PVT-00095588"/>
        <s v="PVT-00095589"/>
        <s v="PVT-00095590"/>
        <s v="PVT-00095591"/>
        <s v="PVT-00095594"/>
        <s v="PVT-00095596"/>
        <s v="PVT-00095597"/>
        <s v="PVT-00095598"/>
        <s v="PVT-00095599"/>
        <s v="PVT-00095600"/>
        <s v="PVT-00095601"/>
        <s v="PVT-00095602"/>
        <s v="PVT-00095604"/>
        <s v="PVT-00095606"/>
        <s v="PVT-00095607"/>
        <s v="PVT-00095608"/>
        <s v="PVT-00095611"/>
        <s v="PVT-00095612"/>
        <s v="PVT-00095613"/>
        <s v="PVT-00095614"/>
        <s v="PVT-00095616"/>
        <s v="PVT-00095617"/>
        <s v="PVT-00095618"/>
        <s v="PVT-00095619"/>
        <s v="PVT-00095621"/>
        <s v="PVT-00095622"/>
        <s v="PVT-00095623"/>
        <s v="PVT-00095624"/>
        <s v="PVT-00095625"/>
        <s v="PVT-00095626"/>
        <s v="PVT-00095627"/>
        <s v="PVT-00095628"/>
        <s v="PVT-00095629"/>
        <s v="PVT-00095630"/>
        <s v="PVT-00095631"/>
        <s v="PVT-00095632"/>
        <s v="PVT-00095633"/>
        <s v="PVT-00095634"/>
        <s v="PVT-00095635"/>
        <s v="PVT-00095636"/>
        <s v="PVT-00095637"/>
        <s v="PVT-00095638"/>
        <s v="PVT-00095643"/>
        <s v="PVT-00095644"/>
        <s v="PVT-00095655"/>
        <s v="PVT-00095657"/>
        <s v="PVT-00095658"/>
        <s v="PVT-00095661"/>
        <s v="PVT-00095669"/>
        <s v="PVT-00095671"/>
        <s v="PVT-00095677"/>
        <s v="PVT-00095678"/>
        <s v="PVT-00095679"/>
        <s v="PVT-00095680"/>
        <s v="PVT-00095681"/>
        <s v="PVT-00095683"/>
        <s v="PVT-00095686"/>
        <s v="PVT-00095689"/>
        <s v="PVT-00095690"/>
        <s v="PVT-00095691"/>
        <s v="PVT-00095692"/>
        <s v="PVT-00095693"/>
        <s v="PVT-00095694"/>
        <s v="PVT-00095700"/>
        <s v="PVT-00095702"/>
        <s v="PVT-00095703"/>
        <s v="PVT-00095704"/>
        <s v="PVT-00095705"/>
        <s v="PVT-00095706"/>
        <s v="PVT-00095707"/>
        <s v="PVT-00095708"/>
        <s v="PVT-00095709"/>
        <s v="PVT-00095710"/>
        <s v="PVT-00095711"/>
        <s v="PVT-00095712"/>
        <s v="PVT-00095713"/>
        <s v="PVT-00095714"/>
        <s v="PVT-00095715"/>
        <s v="PVT-00095716"/>
        <s v="PVT-00095717"/>
        <s v="PVT-00095718"/>
        <s v="PVT-00095720"/>
        <s v="PVT-00095723"/>
        <s v="PVT-00095725"/>
        <s v="PVT-00095726"/>
        <s v="PVT-00095727"/>
        <s v="PVT-00095728"/>
        <s v="PVT-00095729"/>
        <s v="PVT-00095730"/>
        <s v="PVT-00095731"/>
        <s v="PVT-00095742"/>
        <s v="PVT-00095743"/>
        <s v="PVT-00095749"/>
        <s v="PVT-00095750"/>
        <s v="PVT-00095751"/>
        <s v="PVT-00095753"/>
        <s v="PVT-00095755"/>
        <s v="PVT-00095756"/>
        <s v="PVT-00095757"/>
        <s v="PVT-00095760"/>
        <s v="PVT-00095762"/>
        <s v="PVT-00095763"/>
        <s v="PVT-00095771"/>
        <s v="PVT-00095773"/>
        <s v="PVT-00095774"/>
        <s v="PVT-00095775"/>
        <s v="PVT-00095806"/>
        <s v="PVT-00095807"/>
        <s v="PVT-00095808"/>
        <s v="PVT-00095809"/>
        <s v="PVT-00095810"/>
        <s v="PVT-00095813"/>
        <s v="PVT-00095814"/>
        <s v="PVT-00095815"/>
        <s v="PVT-00095817"/>
        <s v="PVT-00005424"/>
        <s v="PVT-00005425"/>
        <s v="PVT-00005426"/>
        <s v="PVT-00005427"/>
        <s v="PVT-00005429"/>
        <s v="PVT-00005430"/>
        <s v="PVT-00005431"/>
        <s v="PVT-00005432"/>
        <s v="PVT-00005433"/>
        <s v="PVT-00005434"/>
        <s v="PVT-00005435"/>
        <s v="PVT-00005436"/>
        <s v="PVT-00005439"/>
        <s v="PVT-00005442"/>
        <s v="PVT-00005444"/>
        <s v="PVT-00005445"/>
        <s v="PVT-00005446"/>
        <s v="PVT-00005447"/>
        <s v="PVT-00005448"/>
        <s v="PVT-00005449"/>
        <s v="PVT-00005451"/>
        <s v="PVT-00005452"/>
        <s v="PVT-00005456"/>
        <s v="PVT-00005459"/>
        <s v="PVT-00005461"/>
        <s v="PVT-00005462"/>
        <s v="PVT-00005463"/>
        <s v="PVT-00005464"/>
        <s v="PVT-00005466"/>
        <s v="PVT-00005468"/>
        <s v="PVT-00005469"/>
        <s v="PVT-00005471"/>
        <s v="PVT-00005472"/>
        <s v="PVT-00005473"/>
        <s v="PVT-00005475"/>
        <s v="PVT-00005476"/>
        <s v="PVT-00005477"/>
        <s v="PVT-00005483"/>
        <m/>
        <s v="PVT-00091706" u="1"/>
        <s v="PVT-00091716" u="1"/>
        <s v="PVT-00004962" u="1"/>
        <s v="PVT-00094525" u="1"/>
        <s v="PVT-00094535" u="1"/>
        <s v="PVT-00089204" u="1"/>
        <s v="PVT-00005231" u="1"/>
        <s v="PVT-00091736" u="1"/>
        <s v="PVT-00089354" u="1"/>
        <s v="PVT-00086555" u="1"/>
        <s v="PVT-00091746" u="1"/>
        <s v="PVT-00091606" u="1"/>
        <s v="PVT-00094555" u="1"/>
        <s v="PVT-00094415" u="1"/>
        <s v="PVT-00086565" u="1"/>
        <s v="PVT-00091756" u="1"/>
        <s v="PVT-00086425" u="1"/>
        <s v="PVT-00005229" u="1"/>
        <s v="PVT-00089234" u="1"/>
        <s v="PVT-00086575" u="1"/>
        <s v="PVT-00091766" u="1"/>
        <s v="PVT-00086435" u="1"/>
        <s v="PVT-00091626" u="1"/>
        <s v="PVT-00004061" u="1"/>
        <s v="PVT-00005239" u="1"/>
        <s v="PVT-00005271" u="1"/>
        <s v="PVT-00089104" u="1"/>
        <s v="PVT-00086585" u="1"/>
        <s v="PVT-00004071" u="1"/>
        <s v="PVT-00089394" u="1"/>
        <s v="PVT-00005249" u="1"/>
        <s v="PVT-00094445" u="1"/>
        <s v="PVT-00089114" u="1"/>
        <s v="PVT-00086595" u="1"/>
        <s v="PVT-00091786" u="1"/>
        <s v="PVT-00004081" u="1"/>
        <s v="PVT-00005259" u="1"/>
        <s v="PVT-00089124" u="1"/>
        <s v="PVT-00094315" u="1"/>
        <s v="PVT-00004059" u="1"/>
        <s v="PVT-00086465" u="1"/>
        <s v="PVT-00086325" u="1"/>
        <s v="PVT-00094465" u="1"/>
        <s v="PVT-00089134" u="1"/>
        <s v="PVT-00094325" u="1"/>
        <s v="PVT-00004069" u="1"/>
        <s v="PVT-00086475" u="1"/>
        <s v="PVT-00091666" u="1"/>
        <s v="PVT-00086335" u="1"/>
        <s v="PVT-00094475" u="1"/>
        <s v="PVT-00089144" u="1"/>
        <s v="PVT-00094335" u="1"/>
        <s v="PVT-00004079" u="1"/>
        <s v="PVT-00086485" u="1"/>
        <s v="PVT-00086345" u="1"/>
        <s v="PVT-00086205" u="1"/>
        <s v="PVT-00094485" u="1"/>
        <s v="PVT-00089154" u="1"/>
        <s v="PVT-00094345" u="1"/>
        <s v="PVT-00091686" u="1"/>
        <s v="PVT-00094495" u="1"/>
        <s v="PVT-00094355" u="1"/>
        <s v="PVT-00086225" u="1"/>
        <s v="PVT-00089174" u="1"/>
        <s v="PVT-00094365" u="1"/>
        <s v="PVT-00089184" u="1"/>
        <s v="PVT-00094375" u="1"/>
        <s v="PVT-00089044" u="1"/>
        <s v="PVT-00086385" u="1"/>
        <s v="PVT-00089194" u="1"/>
        <s v="PVT-00094385" u="1"/>
        <s v="PVT-00089054" u="1"/>
        <s v="PVT-00086115" u="1"/>
        <s v="PVT-00089064" u="1"/>
        <s v="PVT-00086265" u="1"/>
        <s v="PVT-00086125" u="1"/>
        <s v="PVT-00089074" u="1"/>
        <s v="PVT-00086275" u="1"/>
        <s v="PVT-00086135" u="1"/>
        <s v="PVT-00004432" u="1"/>
        <s v="PVT-00089084" u="1"/>
        <s v="PVT-00086285" u="1"/>
        <s v="PVT-00086145" u="1"/>
        <s v="PVT-00004442" u="1"/>
        <s v="PVT-00089094" u="1"/>
        <s v="PVT-00086295" u="1"/>
        <s v="PVT-00086155" u="1"/>
        <s v="PVT-00004452" u="1"/>
        <s v="PVT-00086165" u="1"/>
        <s v="PVT-00004462" u="1"/>
        <s v="PVT-00086175" u="1"/>
        <s v="PVT-00004472" u="1"/>
        <s v="PVT-00094706" u="1"/>
        <s v="PVT-00086185" u="1"/>
        <s v="PVT-00004482" u="1"/>
        <s v="PVT-00089525" u="1"/>
        <s v="PVT-00086055" u="1"/>
        <s v="PVT-00086866" u="1"/>
        <s v="PVT-00004492" u="1"/>
        <s v="PVT-00086065" u="1"/>
        <s v="PVT-00086736" u="1"/>
        <s v="PVT-00086075" u="1"/>
        <s v="PVT-00004903" u="1"/>
        <s v="PVT-00089695" u="1"/>
        <s v="PVT-00094606" u="1"/>
        <s v="PVT-00086085" u="1"/>
        <s v="PVT-00004913" u="1"/>
        <s v="PVT-00086095" u="1"/>
        <s v="PVT-00004923" u="1"/>
        <s v="PVT-00094766" u="1"/>
        <s v="PVT-00091827" u="1"/>
        <s v="PVT-00004933" u="1"/>
        <s v="PVT-00089445" u="1"/>
        <s v="PVT-00086646" u="1"/>
        <s v="PVT-00086506" u="1"/>
        <s v="PVT-00004943" u="1"/>
        <s v="PVT-00094506" u="1"/>
        <s v="PVT-00086656" u="1"/>
        <s v="PVT-00091847" u="1"/>
        <s v="PVT-00086516" u="1"/>
        <s v="PVT-00091707" u="1"/>
        <s v="PVT-00091717" u="1"/>
        <s v="PVT-00004963" u="1"/>
        <s v="PVT-00094526" u="1"/>
        <s v="PVT-00086536" u="1"/>
        <s v="PVT-00091727" u="1"/>
        <s v="PVT-00005372" u="1"/>
        <s v="PVT-00089205" u="1"/>
        <s v="PVT-00005232" u="1"/>
        <s v="PVT-00091737" u="1"/>
        <s v="PVT-00086406" u="1"/>
        <s v="PVT-00089215" u="1"/>
        <s v="PVT-00005242" u="1"/>
        <s v="PVT-00086556" u="1"/>
        <s v="PVT-00091747" u="1"/>
        <s v="PVT-00091607" u="1"/>
        <s v="PVT-00089225" u="1"/>
        <s v="PVT-00086566" u="1"/>
        <s v="PVT-00091757" u="1"/>
        <s v="PVT-00086426" u="1"/>
        <s v="PVT-00004052" u="1"/>
        <s v="PVT-00089235" u="1"/>
        <s v="PVT-00005262" u="1"/>
        <s v="PVT-00086576" u="1"/>
        <s v="PVT-00091767" u="1"/>
        <s v="PVT-00086436" u="1"/>
        <s v="PVT-00091627" u="1"/>
        <s v="PVT-00004062" u="1"/>
        <s v="PVT-00094436" u="1"/>
        <s v="PVT-00089105" u="1"/>
        <s v="PVT-00086586" u="1"/>
        <s v="PVT-00004072" u="1"/>
        <s v="PVT-00086306" u="1"/>
        <s v="PVT-00094446" u="1"/>
        <s v="PVT-00089115" u="1"/>
        <s v="PVT-00086596" u="1"/>
        <s v="PVT-00004082" u="1"/>
        <s v="PVT-00094316" u="1"/>
        <s v="PVT-00086466" u="1"/>
        <s v="PVT-00091657" u="1"/>
        <s v="PVT-00086326" u="1"/>
        <s v="PVT-00094466" u="1"/>
        <s v="PVT-00089135" u="1"/>
        <s v="PVT-00094326" u="1"/>
        <s v="PVT-00086476" u="1"/>
        <s v="PVT-00091667" u="1"/>
        <s v="PVT-00089145" u="1"/>
        <s v="PVT-00094336" u="1"/>
        <s v="PVT-00086486" u="1"/>
        <s v="PVT-00091677" u="1"/>
        <s v="PVT-00094486" u="1"/>
        <s v="PVT-00094346" u="1"/>
        <s v="PVT-00091687" u="1"/>
        <s v="PVT-00094356" u="1"/>
        <s v="PVT-00094366" u="1"/>
        <s v="PVT-00086236" u="1"/>
        <s v="PVT-00089185" u="1"/>
        <s v="PVT-00094376" u="1"/>
        <s v="PVT-00089045" u="1"/>
        <s v="PVT-00094907" u="1"/>
        <s v="PVT-00086386" u="1"/>
        <s v="PVT-00086246" u="1"/>
        <s v="PVT-00086106" u="1"/>
        <s v="PVT-00089195" u="1"/>
        <s v="PVT-00094386" u="1"/>
        <s v="PVT-00089055" u="1"/>
        <s v="PVT-00086256" u="1"/>
        <s v="PVT-00094396" u="1"/>
        <s v="PVT-00089065" u="1"/>
        <s v="PVT-00091597" u="1"/>
        <s v="PVT-00086266" u="1"/>
        <s v="PVT-00004423" u="1"/>
        <s v="PVT-00089075" u="1"/>
        <s v="PVT-00086276" u="1"/>
        <s v="PVT-00004433" u="1"/>
        <s v="PVT-00089085" u="1"/>
        <s v="PVT-00086146" u="1"/>
        <s v="PVT-00004443" u="1"/>
        <s v="PVT-00089095" u="1"/>
        <s v="PVT-00086296" u="1"/>
        <s v="PVT-00086156" u="1"/>
        <s v="PVT-00004453" u="1"/>
        <s v="PVT-00086166" u="1"/>
        <s v="PVT-00094837" u="1"/>
        <s v="PVT-00086176" u="1"/>
        <s v="PVT-00004473" u="1"/>
        <s v="PVT-00089656" u="1"/>
        <s v="PVT-00086186" u="1"/>
        <s v="PVT-00004483" u="1"/>
        <s v="PVT-00086056" u="1"/>
        <s v="PVT-00086727" u="1"/>
        <s v="PVT-00091810" u="1"/>
        <s v="PVT-00086066" u="1"/>
        <s v="PVT-00086076" u="1"/>
        <s v="PVT-00004904" u="1"/>
        <s v="PVT-00094607" u="1"/>
        <s v="PVT-00086086" u="1"/>
        <s v="PVT-00091808" u="1"/>
        <s v="PVT-00004914" u="1"/>
        <s v="PVT-00086096" u="1"/>
        <s v="PVT-00004924" u="1"/>
        <s v="PVT-00091710" u="1"/>
        <s v="PVT-00004934" u="1"/>
        <s v="PVT-00091720" u="1"/>
        <s v="PVT-00089446" u="1"/>
        <s v="PVT-00005333" u="1"/>
        <s v="PVT-00086647" u="1"/>
        <s v="PVT-00091730" u="1"/>
        <s v="PVT-00086657" u="1"/>
        <s v="PVT-00091708" u="1"/>
        <s v="PVT-00004954" u="1"/>
        <s v="PVT-00091740" u="1"/>
        <s v="PVT-00091600" u="1"/>
        <s v="PVT-00091718" u="1"/>
        <s v="PVT-00004964" u="1"/>
        <s v="PVT-00091750" u="1"/>
        <s v="PVT-00094527" u="1"/>
        <s v="PVT-00086537" u="1"/>
        <s v="PVT-00094537" u="1"/>
        <s v="PVT-00005373" u="1"/>
        <s v="PVT-00089206" u="1"/>
        <s v="PVT-00005233" u="1"/>
        <s v="PVT-00086687" u="1"/>
        <s v="PVT-00086547" u="1"/>
        <s v="PVT-00091738" u="1"/>
        <s v="PVT-00091770" u="1"/>
        <s v="PVT-00091630" u="1"/>
        <s v="PVT-00089216" u="1"/>
        <s v="PVT-00005243" u="1"/>
        <s v="PVT-00086557" u="1"/>
        <s v="PVT-00091748" u="1"/>
        <s v="PVT-00091608" u="1"/>
        <s v="PVT-00094417" u="1"/>
        <s v="PVT-00005253" u="1"/>
        <s v="PVT-00086567" u="1"/>
        <s v="PVT-00091758" u="1"/>
        <s v="PVT-00086427" u="1"/>
        <s v="PVT-00005263" u="1"/>
        <s v="PVT-00086577" u="1"/>
        <s v="PVT-00091768" u="1"/>
        <s v="PVT-00086437" u="1"/>
        <s v="PVT-00091628" u="1"/>
        <s v="PVT-00004063" u="1"/>
        <s v="PVT-00091660" u="1"/>
        <s v="PVT-00094437" u="1"/>
        <s v="PVT-00005273" u="1"/>
        <s v="PVT-00089106" u="1"/>
        <s v="PVT-00086587" u="1"/>
        <s v="PVT-00086447" u="1"/>
        <s v="PVT-00004073" u="1"/>
        <s v="PVT-00091670" u="1"/>
        <s v="PVT-00094447" u="1"/>
        <s v="PVT-00089116" u="1"/>
        <s v="PVT-00094307" u="1"/>
        <s v="PVT-00086597" u="1"/>
        <s v="PVT-00004083" u="1"/>
        <s v="PVT-00091680" u="1"/>
        <s v="PVT-00094457" u="1"/>
        <s v="PVT-00089126" u="1"/>
        <s v="PVT-00094317" u="1"/>
        <s v="PVT-00086467" u="1"/>
        <s v="PVT-00091658" u="1"/>
        <s v="PVT-00004093" u="1"/>
        <s v="PVT-00091690" u="1"/>
        <s v="PVT-00089276" u="1"/>
        <s v="PVT-00094467" u="1"/>
        <s v="PVT-00089136" u="1"/>
        <s v="PVT-00094327" u="1"/>
        <s v="PVT-00086477" u="1"/>
        <s v="PVT-00091668" u="1"/>
        <s v="PVT-00086337" u="1"/>
        <s v="PVT-00094337" u="1"/>
        <s v="PVT-00091678" u="1"/>
        <s v="PVT-00086910" u="1"/>
        <s v="PVT-00094487" u="1"/>
        <s v="PVT-00094347" u="1"/>
        <s v="PVT-00091688" u="1"/>
        <s v="PVT-00094497" u="1"/>
        <s v="PVT-00094357" u="1"/>
        <s v="PVT-00086930" u="1"/>
        <s v="PVT-00094367" u="1"/>
        <s v="PVT-00089186" u="1"/>
        <s v="PVT-00094377" u="1"/>
        <s v="PVT-00089046" u="1"/>
        <s v="PVT-00086107" u="1"/>
        <s v="PVT-00089196" u="1"/>
        <s v="PVT-00094387" u="1"/>
        <s v="PVT-00089056" u="1"/>
        <s v="PVT-00094810" u="1"/>
        <s v="PVT-00086117" u="1"/>
        <s v="PVT-00086928" u="1"/>
        <s v="PVT-00094397" u="1"/>
        <s v="PVT-00089066" u="1"/>
        <s v="PVT-00091598" u="1"/>
        <s v="PVT-00086267" u="1"/>
        <s v="PVT-00086127" u="1"/>
        <s v="PVT-00004424" u="1"/>
        <s v="PVT-00089076" u="1"/>
        <s v="PVT-00086277" u="1"/>
        <s v="PVT-00086137" u="1"/>
        <s v="PVT-00004434" u="1"/>
        <s v="PVT-00086700" u="1"/>
        <s v="PVT-00089086" u="1"/>
        <s v="PVT-00086287" u="1"/>
        <s v="PVT-00086147" u="1"/>
        <s v="PVT-00004444" u="1"/>
        <s v="PVT-00089096" u="1"/>
        <s v="PVT-00086297" u="1"/>
        <s v="PVT-00086157" u="1"/>
        <s v="PVT-00004454" u="1"/>
        <s v="PVT-00094860" u="1"/>
        <s v="PVT-00086167" u="1"/>
        <s v="PVT-00004464" u="1"/>
        <s v="PVT-00086870" u="1"/>
        <s v="PVT-00086177" u="1"/>
        <s v="PVT-00004474" u="1"/>
        <s v="PVT-00086880" u="1"/>
        <s v="PVT-00086187" u="1"/>
        <s v="PVT-00094600" u="1"/>
        <s v="PVT-00004484" u="1"/>
        <s v="PVT-00094610" u="1"/>
        <s v="PVT-00004494" u="1"/>
        <s v="PVT-00091811" u="1"/>
        <s v="PVT-00086067" u="1"/>
        <s v="PVT-00091821" u="1"/>
        <s v="PVT-00086077" u="1"/>
        <s v="PVT-00086888" u="1"/>
        <s v="PVT-00086640" u="1"/>
        <s v="PVT-00004905" u="1"/>
        <s v="PVT-00094608" u="1"/>
        <s v="PVT-00086087" u="1"/>
        <s v="PVT-00086790" u="1"/>
        <s v="PVT-00004915" u="1"/>
        <s v="PVT-00091701" u="1"/>
        <s v="PVT-00086097" u="1"/>
        <s v="PVT-00086660" u="1"/>
        <s v="PVT-00004925" u="1"/>
        <s v="PVT-00091711" u="1"/>
        <s v="PVT-00094520" u="1"/>
        <s v="PVT-00086638" u="1"/>
        <s v="PVT-00095027" u="1"/>
        <s v="PVT-00004935" u="1"/>
        <s v="PVT-00091721" u="1"/>
        <s v="PVT-00094530" u="1"/>
        <s v="PVT-00086648" u="1"/>
        <s v="PVT-00091731" u="1"/>
        <s v="PVT-00086400" u="1"/>
        <s v="PVT-00094788" u="1"/>
        <s v="PVT-00094400" u="1"/>
        <s v="PVT-00086658" u="1"/>
        <s v="PVT-00086690" u="1"/>
        <s v="PVT-00091741" u="1"/>
        <s v="PVT-00091601" u="1"/>
        <s v="PVT-00094798" u="1"/>
        <s v="PVT-00094518" u="1"/>
        <s v="PVT-00094550" u="1"/>
        <s v="PVT-00091719" u="1"/>
        <s v="PVT-00086560" u="1"/>
        <s v="PVT-00091751" u="1"/>
        <s v="PVT-00094528" u="1"/>
        <s v="PVT-00086570" u="1"/>
        <s v="PVT-00091761" u="1"/>
        <s v="PVT-00086430" u="1"/>
        <s v="PVT-00094538" u="1"/>
        <s v="PVT-00005374" u="1"/>
        <s v="PVT-00089207" u="1"/>
        <s v="PVT-00005234" u="1"/>
        <s v="PVT-00091739" u="1"/>
        <s v="PVT-00086408" u="1"/>
        <s v="PVT-00086580" u="1"/>
        <s v="PVT-00091771" u="1"/>
        <s v="PVT-00091631" u="1"/>
        <s v="PVT-00086300" u="1"/>
        <s v="PVT-00094688" u="1"/>
        <s v="PVT-00089217" u="1"/>
        <s v="PVT-00005244" u="1"/>
        <s v="PVT-00094440" u="1"/>
        <s v="PVT-00091749" u="1"/>
        <s v="PVT-00086590" u="1"/>
        <s v="PVT-00091609" u="1"/>
        <s v="PVT-00091781" u="1"/>
        <s v="PVT-00086450" u="1"/>
        <s v="PVT-00086310" u="1"/>
        <s v="PVT-00089227" u="1"/>
        <s v="PVT-00094450" u="1"/>
        <s v="PVT-00094310" u="1"/>
        <s v="PVT-00086568" u="1"/>
        <s v="PVT-00091759" u="1"/>
        <s v="PVT-00086428" u="1"/>
        <s v="PVT-00091791" u="1"/>
        <s v="PVT-00094320" u="1"/>
        <s v="PVT-00086578" u="1"/>
        <s v="PVT-00091629" u="1"/>
        <s v="PVT-00004064" u="1"/>
        <s v="PVT-00086470" u="1"/>
        <s v="PVT-00091661" u="1"/>
        <s v="PVT-00089387" u="1"/>
        <s v="PVT-00094438" u="1"/>
        <s v="PVT-00089107" u="1"/>
        <s v="PVT-00094330" u="1"/>
        <s v="PVT-00086588" u="1"/>
        <s v="PVT-00086448" u="1"/>
        <s v="PVT-00004074" u="1"/>
        <s v="PVT-00086308" u="1"/>
        <s v="PVT-00086480" u="1"/>
        <s v="PVT-00091671" u="1"/>
        <s v="PVT-00086200" u="1"/>
        <s v="PVT-00094448" u="1"/>
        <s v="PVT-00005284" u="1"/>
        <s v="PVT-00089117" u="1"/>
        <s v="PVT-00094308" u="1"/>
        <s v="PVT-00094480" u="1"/>
        <s v="PVT-00094340" u="1"/>
        <s v="PVT-00091789" u="1"/>
        <s v="PVT-00004084" u="1"/>
        <s v="PVT-00086490" u="1"/>
        <s v="PVT-00094458" u="1"/>
        <s v="PVT-00005294" u="1"/>
        <s v="PVT-00089127" u="1"/>
        <s v="PVT-00094318" u="1"/>
        <s v="PVT-00094490" u="1"/>
        <s v="PVT-00094350" u="1"/>
        <s v="PVT-00086468" u="1"/>
        <s v="PVT-00091691" u="1"/>
        <s v="PVT-00086360" u="1"/>
        <s v="PVT-00086220" u="1"/>
        <s v="PVT-00094468" u="1"/>
        <s v="PVT-00089137" u="1"/>
        <s v="PVT-00094328" u="1"/>
        <s v="PVT-00094360" u="1"/>
        <s v="PVT-00086478" u="1"/>
        <s v="PVT-00091669" u="1"/>
        <s v="PVT-00086230" u="1"/>
        <s v="PVT-00094478" u="1"/>
        <s v="PVT-00089147" u="1"/>
        <s v="PVT-00094338" u="1"/>
        <s v="PVT-00089818" u="1"/>
        <s v="PVT-00094370" u="1"/>
        <s v="PVT-00091679" u="1"/>
        <s v="PVT-00086208" u="1"/>
        <s v="PVT-00086911" u="1"/>
        <s v="PVT-00094348" u="1"/>
        <s v="PVT-00094380" u="1"/>
        <s v="PVT-00086498" u="1"/>
        <s v="PVT-00091689" u="1"/>
        <s v="PVT-00086250" u="1"/>
        <s v="PVT-00086110" u="1"/>
        <s v="PVT-00094498" u="1"/>
        <s v="PVT-00094358" u="1"/>
        <s v="PVT-00094390" u="1"/>
        <s v="PVT-00091699" u="1"/>
        <s v="PVT-00086228" u="1"/>
        <s v="PVT-00086260" u="1"/>
        <s v="PVT-00086120" u="1"/>
        <s v="PVT-00086931" u="1"/>
        <s v="PVT-00094368" u="1"/>
        <s v="PVT-00086238" u="1"/>
        <s v="PVT-00086270" u="1"/>
        <s v="PVT-00086130" u="1"/>
        <s v="PVT-00089187" u="1"/>
        <s v="PVT-00089047" u="1"/>
        <s v="PVT-00086248" u="1"/>
        <s v="PVT-00086280" u="1"/>
        <s v="PVT-00089197" u="1"/>
        <s v="PVT-00094388" u="1"/>
        <s v="PVT-00089057" u="1"/>
        <s v="PVT-00086258" u="1"/>
        <s v="PVT-00086118" u="1"/>
        <s v="PVT-00086290" u="1"/>
        <s v="PVT-00086150" u="1"/>
        <s v="PVT-00089067" u="1"/>
        <s v="PVT-00091599" u="1"/>
        <s v="PVT-00086268" u="1"/>
        <s v="PVT-00086128" u="1"/>
        <s v="PVT-00086160" u="1"/>
        <s v="PVT-00004425" u="1"/>
        <s v="PVT-00089077" u="1"/>
        <s v="PVT-00086278" u="1"/>
        <s v="PVT-00086170" u="1"/>
        <s v="PVT-00004435" u="1"/>
        <s v="PVT-00089087" u="1"/>
        <s v="PVT-00086148" u="1"/>
        <s v="PVT-00086180" u="1"/>
        <s v="PVT-00004445" u="1"/>
        <s v="PVT-00086298" u="1"/>
        <s v="PVT-00086158" u="1"/>
        <s v="PVT-00086190" u="1"/>
        <s v="PVT-00004455" u="1"/>
        <s v="PVT-00086168" u="1"/>
        <s v="PVT-00004465" u="1"/>
        <s v="PVT-00086060" u="1"/>
        <s v="PVT-00086871" u="1"/>
        <s v="PVT-00086731" u="1"/>
        <s v="PVT-00086178" u="1"/>
        <s v="PVT-00004475" u="1"/>
        <s v="PVT-00086070" u="1"/>
        <s v="PVT-00086881" u="1"/>
        <s v="PVT-00086188" u="1"/>
        <s v="PVT-00094601" u="1"/>
        <s v="PVT-00086080" u="1"/>
        <s v="PVT-00086611" u="1"/>
        <s v="PVT-00094859" u="1"/>
        <s v="PVT-00086058" u="1"/>
        <s v="PVT-00004495" u="1"/>
        <s v="PVT-00086090" u="1"/>
        <s v="PVT-00095010" u="1"/>
        <s v="PVT-00086068" u="1"/>
        <s v="PVT-00095020" u="1"/>
        <s v="PVT-00094739" u="1"/>
        <s v="PVT-00089440" u="1"/>
        <s v="PVT-00086078" u="1"/>
        <s v="PVT-00086641" u="1"/>
        <s v="PVT-00004906" u="1"/>
        <s v="PVT-00089418" u="1"/>
        <s v="PVT-00086088" u="1"/>
        <s v="PVT-00094501" u="1"/>
        <s v="PVT-00086791" u="1"/>
        <s v="PVT-00004916" u="1"/>
        <s v="PVT-00091702" u="1"/>
        <s v="PVT-00094759" u="1"/>
        <s v="PVT-00086098" u="1"/>
        <s v="PVT-00086661" u="1"/>
        <s v="PVT-00091852" u="1"/>
        <s v="PVT-00095050" u="1"/>
        <s v="PVT-00004926" u="1"/>
        <s v="PVT-00091712" u="1"/>
        <s v="PVT-00005325" u="1"/>
        <s v="PVT-00094521" u="1"/>
        <s v="PVT-00086639" u="1"/>
        <s v="PVT-00095028" u="1"/>
        <s v="PVT-00004936" u="1"/>
        <s v="PVT-00091722" u="1"/>
        <s v="PVT-00089340" u="1"/>
        <s v="PVT-00094531" u="1"/>
        <s v="PVT-00086789" u="1"/>
        <s v="PVT-00089200" u="1"/>
        <s v="PVT-00086649" u="1"/>
        <s v="PVT-00086681" u="1"/>
        <s v="PVT-00086541" u="1"/>
        <s v="PVT-00091732" u="1"/>
        <s v="PVT-00086401" u="1"/>
        <s v="PVT-00094541" u="1"/>
        <s v="PVT-00089210" u="1"/>
        <s v="PVT-00094401" u="1"/>
        <s v="PVT-00086659" u="1"/>
        <s v="PVT-00004956" u="1"/>
        <s v="PVT-00086551" u="1"/>
        <s v="PVT-00091742" u="1"/>
        <s v="PVT-00091602" u="1"/>
        <s v="PVT-00089468" u="1"/>
        <s v="PVT-00089220" u="1"/>
        <s v="PVT-00091752" u="1"/>
        <s v="PVT-00089338" u="1"/>
        <s v="PVT-00094529" u="1"/>
        <s v="PVT-00005225" u="1"/>
        <s v="PVT-00089230" u="1"/>
        <s v="PVT-00086539" u="1"/>
        <s v="PVT-00086571" u="1"/>
        <s v="PVT-00091762" u="1"/>
        <s v="PVT-00086431" u="1"/>
        <s v="PVT-00091622" u="1"/>
        <s v="PVT-00089348" u="1"/>
        <s v="PVT-00094539" u="1"/>
        <s v="PVT-00005375" u="1"/>
        <s v="PVT-00089208" u="1"/>
        <s v="PVT-00005235" u="1"/>
        <s v="PVT-00089100" u="1"/>
        <s v="PVT-00086581" u="1"/>
        <s v="PVT-00091772" u="1"/>
        <s v="PVT-00086301" u="1"/>
        <s v="PVT-00089218" u="1"/>
        <s v="PVT-00094441" u="1"/>
        <s v="PVT-00089110" u="1"/>
        <s v="PVT-00086559" u="1"/>
        <s v="PVT-00086591" u="1"/>
        <s v="PVT-00094451" u="1"/>
        <s v="PVT-00089120" u="1"/>
        <s v="PVT-00094311" u="1"/>
        <s v="PVT-00086569" u="1"/>
        <s v="PVT-00086429" u="1"/>
        <s v="PVT-00004055" u="1"/>
        <s v="PVT-00091652" u="1"/>
        <s v="PVT-00005265" u="1"/>
        <s v="PVT-00094461" u="1"/>
        <s v="PVT-00094321" u="1"/>
        <s v="PVT-00086579" u="1"/>
        <s v="PVT-00004065" u="1"/>
        <s v="PVT-00086471" u="1"/>
        <s v="PVT-00091662" u="1"/>
        <s v="PVT-00094439" u="1"/>
        <s v="PVT-00005275" u="1"/>
        <s v="PVT-00089108" u="1"/>
        <s v="PVT-00094471" u="1"/>
        <s v="PVT-00089140" u="1"/>
        <s v="PVT-00094331" u="1"/>
        <s v="PVT-00086589" u="1"/>
        <s v="PVT-00004075" u="1"/>
        <s v="PVT-00086309" u="1"/>
        <s v="PVT-00086481" u="1"/>
        <s v="PVT-00091672" u="1"/>
        <s v="PVT-00094449" u="1"/>
        <s v="PVT-00089118" u="1"/>
        <s v="PVT-00089290" u="1"/>
        <s v="PVT-00094309" u="1"/>
        <s v="PVT-00094341" u="1"/>
        <s v="PVT-00086491" u="1"/>
        <s v="PVT-00091682" u="1"/>
        <s v="PVT-00094599" u="1"/>
        <s v="PVT-00094459" u="1"/>
        <s v="PVT-00005295" u="1"/>
        <s v="PVT-00094319" u="1"/>
        <s v="PVT-00094491" u="1"/>
        <s v="PVT-00094351" u="1"/>
        <s v="PVT-00086469" u="1"/>
        <s v="PVT-00086221" u="1"/>
        <s v="PVT-00094469" u="1"/>
        <s v="PVT-00089138" u="1"/>
        <s v="PVT-00094329" u="1"/>
        <s v="PVT-00094361" u="1"/>
        <s v="PVT-00089701" u="1"/>
        <s v="PVT-00089288" u="1"/>
        <s v="PVT-00094339" u="1"/>
        <s v="PVT-00089180" u="1"/>
        <s v="PVT-00094371" u="1"/>
        <s v="PVT-00086489" u="1"/>
        <s v="PVT-00094902" u="1"/>
        <s v="PVT-00086241" u="1"/>
        <s v="PVT-00086101" u="1"/>
        <s v="PVT-00094489" u="1"/>
        <s v="PVT-00094349" u="1"/>
        <s v="PVT-00089190" u="1"/>
        <s v="PVT-00094381" u="1"/>
        <s v="PVT-00089050" u="1"/>
        <s v="PVT-00086251" u="1"/>
        <s v="PVT-00086111" u="1"/>
        <s v="PVT-00089168" u="1"/>
        <s v="PVT-00094359" u="1"/>
        <s v="PVT-00094391" u="1"/>
        <s v="PVT-00089060" u="1"/>
        <s v="PVT-00086261" u="1"/>
        <s v="PVT-00086932" u="1"/>
        <s v="PVT-00094369" u="1"/>
        <s v="PVT-00089070" u="1"/>
        <s v="PVT-00086239" u="1"/>
        <s v="PVT-00086271" u="1"/>
        <s v="PVT-00086131" u="1"/>
        <s v="PVT-00089188" u="1"/>
        <s v="PVT-00094379" u="1"/>
        <s v="PVT-00089048" u="1"/>
        <s v="PVT-00086249" u="1"/>
        <s v="PVT-00086109" u="1"/>
        <s v="PVT-00086281" u="1"/>
        <s v="PVT-00086141" u="1"/>
        <s v="PVT-00089198" u="1"/>
        <s v="PVT-00094389" u="1"/>
        <s v="PVT-00089058" u="1"/>
        <s v="PVT-00089090" u="1"/>
        <s v="PVT-00086151" u="1"/>
        <s v="PVT-00004416" u="1"/>
        <s v="PVT-00094399" u="1"/>
        <s v="PVT-00089068" u="1"/>
        <s v="PVT-00086269" u="1"/>
        <s v="PVT-00086161" u="1"/>
        <s v="PVT-00004426" u="1"/>
        <s v="PVT-00089078" u="1"/>
        <s v="PVT-00086279" u="1"/>
        <s v="PVT-00086139" u="1"/>
        <s v="PVT-00086171" u="1"/>
        <s v="PVT-00004436" u="1"/>
        <s v="PVT-00086842" u="1"/>
        <s v="PVT-00089088" u="1"/>
        <s v="PVT-00086289" u="1"/>
        <s v="PVT-00086149" u="1"/>
        <s v="PVT-00086181" u="1"/>
        <s v="PVT-00004446" u="1"/>
        <s v="PVT-00086712" u="1"/>
        <s v="PVT-00089098" u="1"/>
        <s v="PVT-00089769" u="1"/>
        <s v="PVT-00094852" u="1"/>
        <s v="PVT-00086299" u="1"/>
        <s v="PVT-00086159" u="1"/>
        <s v="PVT-00086191" u="1"/>
        <s v="PVT-00004456" u="1"/>
        <s v="PVT-00086722" u="1"/>
        <s v="PVT-00086169" u="1"/>
        <s v="PVT-00004466" u="1"/>
        <s v="PVT-00086061" u="1"/>
        <s v="PVT-00086179" u="1"/>
        <s v="PVT-00004476" u="1"/>
        <s v="PVT-00086071" u="1"/>
        <s v="PVT-00086882" u="1"/>
        <s v="PVT-00086189" u="1"/>
        <s v="PVT-00094602" u="1"/>
        <s v="PVT-00086081" u="1"/>
        <s v="PVT-00094752" u="1"/>
        <s v="PVT-00094612" u="1"/>
        <s v="PVT-00086091" u="1"/>
        <s v="PVT-00086069" u="1"/>
        <s v="PVT-00095021" u="1"/>
        <s v="PVT-00089441" u="1"/>
        <s v="PVT-00086079" u="1"/>
        <s v="PVT-00086642" u="1"/>
        <s v="PVT-00004907" u="1"/>
        <s v="PVT-00086089" u="1"/>
        <s v="PVT-00095009" u="1"/>
        <s v="PVT-00091703" u="1"/>
        <s v="PVT-00086099" u="1"/>
        <s v="PVT-00095019" u="1"/>
        <s v="PVT-00086662" u="1"/>
        <s v="PVT-00091853" u="1"/>
        <s v="PVT-00004927" u="1"/>
        <s v="PVT-00091713" u="1"/>
        <s v="PVT-00005326" u="1"/>
        <s v="PVT-00094522" u="1"/>
        <s v="PVT-00004937" u="1"/>
        <s v="PVT-00089341" u="1"/>
        <s v="PVT-00094532" u="1"/>
        <s v="PVT-00089201" u="1"/>
        <s v="PVT-00004947" u="1"/>
        <s v="PVT-00091733" u="1"/>
        <s v="PVT-00086402" u="1"/>
        <s v="PVT-00005346" u="1"/>
        <s v="PVT-00094542" u="1"/>
        <s v="PVT-00089211" u="1"/>
        <s v="PVT-00094402" u="1"/>
        <s v="PVT-00095049" u="1"/>
        <s v="PVT-00004957" u="1"/>
        <s v="PVT-00091603" u="1"/>
        <s v="PVT-00089469" u="1"/>
        <s v="PVT-00089221" u="1"/>
        <s v="PVT-00086562" u="1"/>
        <s v="PVT-00091753" u="1"/>
        <s v="PVT-00089339" u="1"/>
        <s v="PVT-00005226" u="1"/>
        <s v="PVT-00089231" u="1"/>
        <s v="PVT-00086572" u="1"/>
        <s v="PVT-00091763" u="1"/>
        <s v="PVT-00005376" u="1"/>
        <s v="PVT-00089209" u="1"/>
        <s v="PVT-00089381" u="1"/>
        <s v="PVT-00005236" u="1"/>
        <s v="PVT-00089101" u="1"/>
        <s v="PVT-00086582" u="1"/>
        <s v="PVT-00086302" u="1"/>
        <s v="PVT-00089219" u="1"/>
        <s v="PVT-00094442" u="1"/>
        <s v="PVT-00089111" u="1"/>
        <s v="PVT-00086592" u="1"/>
        <s v="PVT-00091643" u="1"/>
        <s v="PVT-00094452" u="1"/>
        <s v="PVT-00089121" u="1"/>
        <s v="PVT-00094312" u="1"/>
        <s v="PVT-00004056" u="1"/>
        <s v="PVT-00091653" u="1"/>
        <s v="PVT-00089379" u="1"/>
        <s v="PVT-00094462" u="1"/>
        <s v="PVT-00089131" u="1"/>
        <s v="PVT-00094322" u="1"/>
        <s v="PVT-00004066" u="1"/>
        <s v="PVT-00086472" u="1"/>
        <s v="PVT-00091663" u="1"/>
        <s v="PVT-00086332" u="1"/>
        <s v="PVT-00005276" u="1"/>
        <s v="PVT-00089109" u="1"/>
        <s v="PVT-00094472" u="1"/>
        <s v="PVT-00089141" u="1"/>
        <s v="PVT-00094332" u="1"/>
        <s v="PVT-00004076" u="1"/>
        <s v="PVT-00086482" u="1"/>
        <s v="PVT-00091673" u="1"/>
        <s v="PVT-00089119" u="1"/>
        <s v="PVT-00094482" u="1"/>
        <s v="PVT-00089151" u="1"/>
        <s v="PVT-00094342" u="1"/>
        <s v="PVT-00004897" u="1"/>
        <s v="PVT-00091683" u="1"/>
        <s v="PVT-00089129" u="1"/>
        <s v="PVT-00094492" u="1"/>
        <s v="PVT-00094352" u="1"/>
        <s v="PVT-00086222" u="1"/>
        <s v="PVT-00089139" u="1"/>
        <s v="PVT-00094362" u="1"/>
        <s v="PVT-00089702" u="1"/>
        <s v="PVT-00086232" u="1"/>
        <s v="PVT-00089181" u="1"/>
        <s v="PVT-00094372" u="1"/>
        <s v="PVT-00086102" u="1"/>
        <s v="PVT-00089191" u="1"/>
        <s v="PVT-00094382" u="1"/>
        <s v="PVT-00089051" u="1"/>
        <s v="PVT-00004517" u="1"/>
        <s v="PVT-00086112" u="1"/>
        <s v="PVT-00089169" u="1"/>
        <s v="PVT-00089061" u="1"/>
        <s v="PVT-00086262" u="1"/>
        <s v="PVT-00004527" u="1"/>
        <s v="PVT-00086933" u="1"/>
        <s v="PVT-00089071" u="1"/>
        <s v="PVT-00086272" u="1"/>
        <s v="PVT-00089189" u="1"/>
        <s v="PVT-00089049" u="1"/>
        <s v="PVT-00089081" u="1"/>
        <s v="PVT-00094943" u="1"/>
        <s v="PVT-00086282" u="1"/>
        <s v="PVT-00086142" u="1"/>
        <s v="PVT-00089199" u="1"/>
        <s v="PVT-00089059" u="1"/>
        <s v="PVT-00089091" u="1"/>
        <s v="PVT-00086292" u="1"/>
        <s v="PVT-00086152" u="1"/>
        <s v="PVT-00089069" u="1"/>
        <s v="PVT-00004427" u="1"/>
        <s v="PVT-00089079" u="1"/>
        <s v="PVT-00086172" u="1"/>
        <s v="PVT-00004437" u="1"/>
        <s v="PVT-00089089" u="1"/>
        <s v="PVT-00086182" u="1"/>
        <s v="PVT-00004447" u="1"/>
        <s v="PVT-00089099" u="1"/>
        <s v="PVT-00094853" u="1"/>
        <s v="PVT-00004457" u="1"/>
        <s v="PVT-00004467" u="1"/>
        <s v="PVT-00086873" u="1"/>
        <s v="PVT-00086733" u="1"/>
        <s v="PVT-00004477" u="1"/>
        <s v="PVT-00086072" u="1"/>
        <s v="PVT-00004900" u="1"/>
        <s v="PVT-00094883" u="1"/>
        <s v="PVT-00094603" u="1"/>
        <s v="PVT-00086082" u="1"/>
        <s v="PVT-00004910" u="1"/>
        <s v="PVT-00094753" u="1"/>
        <s v="PVT-00094613" u="1"/>
        <s v="PVT-00004497" u="1"/>
        <s v="PVT-00086092" u="1"/>
        <s v="PVT-00004920" u="1"/>
        <s v="PVT-00004930" u="1"/>
        <s v="PVT-00086643" u="1"/>
        <s v="PVT-00004908" u="1"/>
        <s v="PVT-00086503" u="1"/>
        <s v="PVT-00004940" u="1"/>
        <s v="PVT-00094503" u="1"/>
        <s v="PVT-00004918" u="1"/>
        <s v="PVT-00089322" u="1"/>
        <s v="PVT-00086663" u="1"/>
        <s v="PVT-00004928" u="1"/>
        <s v="PVT-00091714" u="1"/>
        <s v="PVT-00004938" u="1"/>
        <s v="PVT-00091724" u="1"/>
        <s v="PVT-00089342" u="1"/>
        <s v="PVT-00089202" u="1"/>
        <s v="PVT-00091734" u="1"/>
        <s v="PVT-00086403" u="1"/>
        <s v="PVT-00094543" u="1"/>
        <s v="PVT-00089212" u="1"/>
        <s v="PVT-00004958" u="1"/>
        <s v="PVT-00091744" u="1"/>
        <s v="PVT-00091604" u="1"/>
        <s v="PVT-00089362" u="1"/>
        <s v="PVT-00089222" u="1"/>
        <s v="PVT-00086563" u="1"/>
        <s v="PVT-00091754" u="1"/>
        <s v="PVT-00086423" u="1"/>
        <s v="PVT-00005227" u="1"/>
        <s v="PVT-00089232" u="1"/>
        <s v="PVT-00086573" u="1"/>
        <s v="PVT-00091764" u="1"/>
        <s v="PVT-00086433" u="1"/>
        <s v="PVT-00005377" u="1"/>
        <s v="PVT-00089382" u="1"/>
        <s v="PVT-00005237" u="1"/>
        <s v="PVT-00089102" u="1"/>
        <s v="PVT-00086583" u="1"/>
        <s v="PVT-00086303" u="1"/>
        <s v="PVT-00094443" u="1"/>
        <s v="PVT-00086593" u="1"/>
        <s v="PVT-00089122" u="1"/>
        <s v="PVT-00094313" u="1"/>
        <s v="PVT-00091794" u="1"/>
        <s v="PVT-00004057" u="1"/>
        <s v="PVT-00086463" u="1"/>
        <s v="PVT-00091654" u="1"/>
        <s v="PVT-00094463" u="1"/>
        <s v="PVT-00089132" u="1"/>
        <s v="PVT-00094323" u="1"/>
        <s v="PVT-00004067" u="1"/>
        <s v="PVT-00091664" u="1"/>
        <s v="PVT-00005277" u="1"/>
        <s v="PVT-00094473" u="1"/>
        <s v="PVT-00089142" u="1"/>
        <s v="PVT-00094333" u="1"/>
        <s v="PVT-00004077" u="1"/>
        <s v="PVT-00086483" u="1"/>
        <s v="PVT-00091674" u="1"/>
        <s v="PVT-00004500" u="1"/>
        <s v="PVT-00094483" u="1"/>
        <s v="PVT-00089152" u="1"/>
        <s v="PVT-00094343" u="1"/>
        <s v="PVT-00004898" u="1"/>
        <s v="PVT-00091684" u="1"/>
        <s v="PVT-00094493" u="1"/>
        <s v="PVT-00094353" u="1"/>
        <s v="PVT-00094363" u="1"/>
        <s v="PVT-00089182" u="1"/>
        <s v="PVT-00094373" u="1"/>
        <s v="PVT-00086243" u="1"/>
        <s v="PVT-00004508" u="1"/>
        <s v="PVT-00086103" u="1"/>
        <s v="PVT-00089192" u="1"/>
        <s v="PVT-00094383" u="1"/>
        <s v="PVT-00086253" u="1"/>
        <s v="PVT-00086113" u="1"/>
        <s v="PVT-00094393" u="1"/>
        <s v="PVT-00089062" u="1"/>
        <s v="PVT-00086263" u="1"/>
        <s v="PVT-00004528" u="1"/>
        <s v="PVT-00086123" u="1"/>
        <s v="PVT-00086934" u="1"/>
        <s v="PVT-00004420" u="1"/>
        <s v="PVT-00089072" u="1"/>
        <s v="PVT-00086273" u="1"/>
        <s v="PVT-00086133" u="1"/>
        <s v="PVT-00004430" u="1"/>
        <s v="PVT-00089082" u="1"/>
        <s v="PVT-00086283" u="1"/>
        <s v="PVT-00086143" u="1"/>
        <s v="PVT-00004440" u="1"/>
        <s v="PVT-00089092" u="1"/>
        <s v="PVT-00086293" u="1"/>
        <s v="PVT-00086153" u="1"/>
        <s v="PVT-00004418" u="1"/>
        <s v="PVT-00004450" u="1"/>
        <s v="PVT-00086163" u="1"/>
        <s v="PVT-00004428" u="1"/>
        <s v="PVT-00004460" u="1"/>
        <s v="PVT-00086173" u="1"/>
        <s v="PVT-00004438" u="1"/>
        <s v="PVT-00004470" u="1"/>
        <s v="PVT-00086183" u="1"/>
        <s v="PVT-00004448" u="1"/>
        <s v="PVT-00004480" u="1"/>
        <s v="PVT-00004458" u="1"/>
        <s v="PVT-00004468" u="1"/>
        <s v="PVT-00086063" u="1"/>
        <s v="PVT-00086874" u="1"/>
        <s v="PVT-00004478" u="1"/>
        <s v="PVT-00086073" u="1"/>
        <s v="PVT-00004901" u="1"/>
        <s v="PVT-00089693" u="1"/>
        <s v="PVT-00094604" u="1"/>
        <s v="PVT-00086083" u="1"/>
        <s v="PVT-00004911" u="1"/>
        <s v="PVT-00086093" u="1"/>
        <s v="PVT-00004921" u="1"/>
        <s v="PVT-00004931" u="1"/>
        <s v="PVT-00089443" u="1"/>
        <s v="PVT-00005330" u="1"/>
        <s v="PVT-00086644" u="1"/>
        <s v="PVT-00004909" u="1"/>
        <s v="PVT-00004941" u="1"/>
        <s v="PVT-00094784" u="1"/>
        <s v="PVT-00094504" u="1"/>
        <s v="PVT-00086654" u="1"/>
        <s v="PVT-00004919" u="1"/>
        <s v="PVT-00094514" u="1"/>
        <s v="PVT-00086664" u="1"/>
        <s v="PVT-00091855" u="1"/>
        <s v="PVT-00091715" u="1"/>
        <s v="PVT-00004961" u="1"/>
        <s v="PVT-00094524" u="1"/>
        <s v="PVT-00091725" u="1"/>
        <s v="PVT-00094534" u="1"/>
        <s v="PVT-00089203" u="1"/>
        <s v="PVT-00005230" u="1"/>
        <s v="PVT-00004949" u="1"/>
        <s v="PVT-00091735" u="1"/>
        <s v="PVT-00089493" u="1"/>
        <s v="PVT-00089353" u="1"/>
        <s v="PVT-00094544" u="1"/>
        <s v="PVT-00005240" u="1"/>
        <s v="PVT-00086554" u="1"/>
        <s v="PVT-00091745" u="1"/>
        <s v="PVT-00091605" u="1"/>
        <s v="PVT-00005358" u="1"/>
        <s v="PVT-00094554" u="1"/>
        <s v="PVT-00089223" u="1"/>
        <s v="PVT-00094414" u="1"/>
        <s v="PVT-00086564" u="1"/>
        <s v="PVT-00091755" u="1"/>
        <s v="PVT-00086424" u="1"/>
        <s v="PVT-00005228" u="1"/>
        <s v="PVT-00005260" u="1"/>
        <s v="PVT-00086574" u="1"/>
        <s v="PVT-00091765" u="1"/>
        <s v="PVT-00086434" u="1"/>
        <s v="PVT-00091625" u="1"/>
        <s v="PVT-00004060" u="1"/>
        <s v="PVT-00005238" u="1"/>
        <s v="PVT-00089103" u="1"/>
        <s v="PVT-00086584" u="1"/>
        <s v="PVT-00004070" u="1"/>
        <s v="PVT-00086304" u="1"/>
        <s v="PVT-00089393" u="1"/>
        <s v="PVT-00005248" u="1"/>
        <s v="PVT-00094444" u="1"/>
        <s v="PVT-00089113" u="1"/>
        <s v="PVT-00086594" u="1"/>
        <s v="PVT-00004080" u="1"/>
        <s v="PVT-00086314" u="1"/>
        <s v="PVT-00005258" u="1"/>
        <s v="PVT-00089123" u="1"/>
        <s v="PVT-00094314" u="1"/>
        <s v="PVT-00004058" u="1"/>
        <s v="PVT-00091655" u="1"/>
        <s v="PVT-00089133" u="1"/>
        <s v="PVT-00094324" u="1"/>
        <s v="PVT-00004068" u="1"/>
        <s v="PVT-00091665" u="1"/>
        <s v="PVT-00094334" u="1"/>
        <s v="PVT-00086484" u="1"/>
        <s v="PVT-00091675" u="1"/>
        <s v="PVT-00086204" u="1"/>
        <s v="PVT-00004501" u="1"/>
        <s v="PVT-00094484" u="1"/>
        <s v="PVT-00089153" u="1"/>
        <s v="PVT-00094344" u="1"/>
        <s v="PVT-00004899" u="1"/>
        <s v="PVT-00091685" u="1"/>
        <s v="PVT-00094494" u="1"/>
        <s v="PVT-00094354" u="1"/>
        <s v="PVT-00086224" u="1"/>
        <s v="PVT-00094364" u="1"/>
        <s v="PVT-00089183" u="1"/>
        <s v="PVT-00094374" u="1"/>
        <s v="PVT-00089714" u="1"/>
        <s v="PVT-00086104" u="1"/>
        <s v="PVT-00004541" u="1"/>
        <s v="PVT-00089193" u="1"/>
        <s v="PVT-00094384" u="1"/>
        <s v="PVT-00089053" u="1"/>
        <s v="PVT-00086114" u="1"/>
        <s v="PVT-00089063" u="1"/>
        <s v="PVT-00086264" u="1"/>
        <s v="PVT-00004421" u="1"/>
        <s v="PVT-00089073" u="1"/>
        <s v="PVT-00086274" u="1"/>
        <s v="PVT-00004539" u="1"/>
        <s v="PVT-00086945" u="1"/>
        <s v="PVT-00004431" u="1"/>
        <s v="PVT-00089083" u="1"/>
        <s v="PVT-00086144" u="1"/>
        <s v="PVT-00004441" u="1"/>
        <s v="PVT-00089093" u="1"/>
        <s v="PVT-00086294" u="1"/>
        <s v="PVT-00086154" u="1"/>
        <s v="PVT-00004419" u="1"/>
        <s v="PVT-00004451" u="1"/>
        <s v="PVT-00089634" u="1"/>
        <s v="PVT-00086164" u="1"/>
        <s v="PVT-00004429" u="1"/>
        <s v="PVT-00086174" u="1"/>
        <s v="PVT-00004439" u="1"/>
        <s v="PVT-00004471" u="1"/>
        <s v="PVT-00086184" u="1"/>
        <s v="PVT-00004449" u="1"/>
        <s v="PVT-00004481" u="1"/>
        <s v="PVT-00004459" u="1"/>
        <s v="PVT-00086064" u="1"/>
        <s v="PVT-00086875" u="1"/>
        <s v="PVT-00004479" u="1"/>
        <s v="PVT-00086074" u="1"/>
        <s v="PVT-00004902" u="1"/>
        <s v="PVT-00094885" u="1"/>
        <s v="PVT-00094605" u="1"/>
        <s v="PVT-00086084" u="1"/>
        <s v="PVT-00004912" u="1"/>
        <s v="PVT-00005311" u="1"/>
        <s v="PVT-00086094" u="1"/>
        <s v="PVT-00086625" u="1"/>
        <s v="PVT-00095014" u="1"/>
        <s v="PVT-00086635" u="1"/>
        <s v="PVT-00004932" u="1"/>
        <s v="PVT-00089444" u="1"/>
        <s v="PVT-00005331" u="1"/>
        <s v="PVT-00086645" u="1"/>
        <s v="PVT-00086655" u="1"/>
        <s v="PVT-00095044" u="1"/>
      </sharedItems>
    </cacheField>
    <cacheField name="Fecha" numFmtId="14">
      <sharedItems containsNonDate="0" containsDate="1" containsString="0" containsBlank="1" minDate="2017-08-01T00:00:00" maxDate="2017-08-05T00:00:00"/>
    </cacheField>
    <cacheField name="Estado movto." numFmtId="0">
      <sharedItems containsBlank="1" count="7">
        <s v="Aprobado"/>
        <s v="Retenido"/>
        <m/>
        <s v="Cumplido" u="1"/>
        <s v="En elaboración" u="1"/>
        <s v="Comprometido parcial" u="1"/>
        <s v="Comprometido" u="1"/>
      </sharedItems>
    </cacheField>
    <cacheField name="ZONAS" numFmtId="0">
      <sharedItems containsBlank="1"/>
    </cacheField>
    <cacheField name="CLASE DE CLIENTE" numFmtId="0">
      <sharedItems containsBlank="1"/>
    </cacheField>
    <cacheField name="Cant. pedida" numFmtId="0">
      <sharedItems containsString="0" containsBlank="1" containsNumber="1" containsInteger="1" minValue="1" maxValue="55"/>
    </cacheField>
    <cacheField name="Razón social cliente factura" numFmtId="0">
      <sharedItems containsBlank="1" count="122">
        <s v="SUPERMOTOS DE BOGOTA S.A.S."/>
        <s v="MICOLTA FRANCO ALEXANDER"/>
        <s v="GRUPO EMPRESARIAL DISTRITO SAS"/>
        <s v="GUAJI  ARACELY"/>
        <s v="MAQUINAGRO S.A"/>
        <s v="MONJE MORCILLO EDWARD FELIPE"/>
        <s v="SUPERMOTOS DE CORDOBA S.A"/>
        <s v="SUPERMOTOS DEL CAFE S.A.S."/>
        <s v="SUPERMOTOS DE CALI S.A.S."/>
        <s v="SUPERMOTOS DEL HUILA SAS"/>
        <s v="SUPERMOTOS DEL MAGDALENA S.A.S"/>
        <s v="CEVECO S.A.S."/>
        <s v="CREDITOS PARRA Y CIA S.A.S"/>
        <s v="SUPERMOTOS DEL CAUCA SAS"/>
        <s v="MOTO PREMIUM DE OCCIDENTE S.A.S."/>
        <s v="SALAZAR ACOSTA EDWIN ARTURO"/>
        <s v="ROSAS ESCANDON GUSTAVO ADOLFO"/>
        <s v="POSADA  ROMUALDO"/>
        <s v="MOTOS PRADERA S.A.S."/>
        <s v="SHAIK OSPINA CARLOS ANDRES"/>
        <s v="TULUA MOTOS S. A."/>
        <s v="CHAVES CADENA JAIRO LEON"/>
        <s v="PADILLA FLOREZ MARIO LUIS"/>
        <s v="ROMERO COCA JORGE ALBERTO"/>
        <s v="BICIMOTOS Y REPUESTOS S.A.S"/>
        <s v="JISSEN HANNA SIRENE"/>
        <s v="MOTOMAS DE LA COSTA LTDA"/>
        <s v="MOTOS IBC S.A.S"/>
        <s v="RUBE MOTOS S.A.S."/>
        <s v="CABRERA  EVERT"/>
        <s v="MENDEZ PARRA MANUEL RICARDO"/>
        <s v="ROSAS BAZANTE JORGE ANDRES"/>
        <s v="HONDA MOTOBOY S.A.S."/>
        <s v="COBA RAMIREZ MARIA DEL CARMEN"/>
        <s v="CALVACHE ORTEGA LUZ AIDEE"/>
        <s v="MACANA  MARTHA ROCIO"/>
        <s v="DISMOTOS HONDA S.A.S.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"/>
        <s v="MOTO HOGAR C.L.R. S.A.S."/>
        <s v="MOTOCENTRO HONDA S.A."/>
        <s v="ZUPERMOTO S.A."/>
        <s v="ZUPERMOTOS DEL GOLFO SAS"/>
        <s v="HONDA STORE S.A.S."/>
        <s v="MOTO AGRO DEL SINU S.A.S."/>
        <s v="GUERRA MONTES PEDRO ANTONIO"/>
        <s v="REGUEMOTOS S.A.S."/>
        <s v="CENTRALMOTOS LEBRIJA S.A.S."/>
        <s v="TIRIA MORENO TERESA DE JESUS"/>
        <s v="INVERSIONES LOPEZ CADAVID Y COMPAÑIA LTDA"/>
        <s v="CAMACHO SUAREZ NELSON DAMIAN"/>
        <s v="AVILA VERA BLANCA STELLA"/>
        <s v="MOTOCEL COMPANY S.A.S"/>
        <s v="OSORIO RIVERO CIRO ALFONSO"/>
        <s v="INVERSIONES HERNANDEZ SINNING H&amp;S S.A.S"/>
        <s v="TORRES ESTEPA FREDDY HUMBERTO"/>
        <s v="SUPERMOTOS DE MEDELLIN S.A.S."/>
        <s v="SUPERMOTOS DEL PACIFICO S.A.S"/>
        <s v="SUPERMOTOS DE GIRARDOT S.A.S."/>
        <s v="SUPERMOTOS DEL TOLIMA S.A.S"/>
        <s v="SUPERMOTOS DEL ORIENTE S.A.S."/>
        <s v="SUPERMOTOS DE CUNDINAMARCA S.A.S"/>
        <s v="SUPERMOTOS DE BOLIVAR S.A.S."/>
        <s v="ALMACENES LA 14 S.A"/>
        <s v="COMERCIALIZADORA ALCALA MOTOR S.A.S."/>
        <s v="CCS MOTOR S A S"/>
        <s v="CHAVES BONILLA CONCESIONARIOS SAS"/>
        <s v="CABALLERO BUENO CLEOMEDES JOSE"/>
        <s v="EN MOTO.COM SAS"/>
        <s v="MERCAMOTOS S.A.S"/>
        <s v="SAINEA PUERTO LUIS ALBERTO"/>
        <s v="MOTORCYCLE MARKET S.A.S"/>
        <s v="MONJE CAMPO HUGO HERNAN"/>
        <s v="GRUPO DOS RUEDAS SAS"/>
        <s v="MOTO MAS S A S"/>
        <s v="ACOSTA TINOCO ALCIRA"/>
        <s v="AGRO HONDA LA S.A.S"/>
        <s v="HONDA-SUR MOTOS Y REPUESTOS S.A.S."/>
        <s v="COMERCIAL ELECTRO MUEBLES LTDA"/>
        <s v="LOPEZ NARVAEZ JOSE DAVID"/>
        <s v="SUPERMOTOS DEL ATLANTICO S.A.S"/>
        <s v="SUPERMOTOS DEL VALLE S.A.S."/>
        <s v="SUPERMOTOS DE SANTANDER S.A.S"/>
        <s v="GRIMALDOS JURADO JOSE ANTONIO"/>
        <s v="SUPERMOTOS DE ANTIOQUIA S.A."/>
        <s v="SUPREMOTOS S.A.S."/>
        <s v="SUPERMOTOS DE NARIÑO SAS"/>
        <s v="MOTOS GAP S.A.S."/>
        <m/>
        <s v="RUGE PINZON JORGE HERNAN" u="1"/>
        <s v="C MOTO STORE S.A.S." u="1"/>
        <s v="COLVENTAS S.A." u="1"/>
        <s v="G Y D MOTOS SAS" u="1"/>
        <s v="CASAMOTO S A S" u="1"/>
        <s v="FRIO Y CALOR S.A" u="1"/>
        <s v="CORTES VELASQUEZ OMAR HENRY" u="1"/>
        <s v="URREGO ACOSTA CARLOS JAVIER" u="1"/>
        <s v="A. VELEZ U. &amp; CIA. DEPOSITOS MIRANDA LIMITADA" u="1"/>
        <s v="MOTORCYCLE MARKETS.A.S" u="1"/>
        <s v="BELTRAN OTALORA ALBERTO" u="1"/>
        <s v="RODRIGUEZ ROSA CECILIA" u="1"/>
        <s v="ELECTRO RAMOS CREDITOS S.A.S" u="1"/>
        <s v="VILLA PEREZ JESUS DAVID" u="1"/>
        <s v="SUPERMOTOS DEL CESAR S.A.S." u="1"/>
        <s v="MOTO SUPER S.A.S" u="1"/>
        <s v="LA BUENA HONDA DEL CARIBE S.A.S." u="1"/>
        <s v="ARDILA MIRANDA DANIEL" u="1"/>
        <s v="CASTILLO NOGUERA LEIDY ALEJANDRA" u="1"/>
        <s v="MOTOS LA FRONTERA S.A." u="1"/>
        <s v="DISTRIGON LIMITADA" u="1"/>
        <s v="YOKO MOTOS S.A.S." u="1"/>
        <s v="QUINTERO RODRIGUEZ MARISOL" u="1"/>
        <s v="MOTOCARIBE S.A.S." u="1"/>
        <s v="PEREZ RODRIGUEZ GUSTAVO ANDRES" u="1"/>
        <s v="SUROMOTOS S.A." u="1"/>
        <s v="SERVIMOTOS URRAO S.A.S" u="1"/>
        <s v="CARDENAS URBANO CARLOS EDUARDO" u="1"/>
      </sharedItems>
    </cacheField>
    <cacheField name="Cant. pendiente" numFmtId="0">
      <sharedItems containsString="0" containsBlank="1" containsNumber="1" containsInteger="1" minValue="1" maxValue="55"/>
    </cacheField>
    <cacheField name="Desc. sucursal factura" numFmtId="0">
      <sharedItems containsBlank="1" count="263">
        <s v="SUPERMOTOS DE BOGOTA S.A.S. 7 DE AGOSTO"/>
        <s v="SUPERMOTOS DE BOGOTA S.A.S CALLE 80"/>
        <s v="SUPERMOTOS DE BOGOTA S.A.S. TIBABUYES"/>
        <s v="SUPERMOTOS DE BOGOTA S.A.SCARACAS CON 32"/>
        <s v="SUPERMOTOS DE BOGOTA S.A.S FACATATIVA"/>
        <s v="SUPERMOTOS DE BOGOTA S.A.S.FONTIBON"/>
        <s v="SUPERMOTOS DE BOGOTA S.A.S CEDRITOS"/>
        <s v="MICOLTA FRANCO ALEXANDER"/>
        <s v="GRUPO EMPRESARIAL DISTRITO SAS"/>
        <s v="GUAJI ARACELY"/>
        <s v="MAQUINAGRO S.A  PASTO"/>
        <s v="MONJE MORCILLO EDWARD FELIPE"/>
        <s v="SUPERMOTOS DE CORDOBA S.A  PPAL"/>
        <s v="SUPERMOTOS DEL CAFE S.A.S.  PEREIRA"/>
        <s v="SUPERMOTOS DEL CAFE S.A.S. CARTAGO"/>
        <s v="SUPERMOTOS DEL CAFE S.A.S. ARMENIA"/>
        <s v="SUPERMOTOS DE CORDOBA S.A  LORICA"/>
        <s v="SUPERMOTOS DEL CAFE S.A.S.  MANIZALES"/>
        <s v="SUPERMOTOS DE CALI S.A.S. CALI ROOSEVELT"/>
        <s v="SUPERMOTOS DE CORDOBA S.A  SINCELEJO"/>
        <s v="SUPERMOTOS DE CALI S.A.S  JAMUNDI"/>
        <s v="SUPERMOTOS DEL HUILA SAS FLORENCIA"/>
        <s v="SUPERMOTOS DE CALI S.A.S AGENCIA LA LUNA"/>
        <s v="SUPERMOTOS DE CALI S.A.S. CIUDAD CORDOBA"/>
        <s v="SUPERMOTOS DEL HUILA SAS GARZON"/>
        <s v="SUPERMOTOS DE CALI S.A.S. CALI MELENDEZ"/>
        <s v="SUPERMOTOS DEL HUILA SAS LA PLATA"/>
        <s v="SUPERMOTOS DEL HUILA SAS NEIVA"/>
        <s v="SUPERMOTOS DEL HUILA SAS PITALITO"/>
        <s v="SUPERMOTOS DEL MAGDALENA S.A.S-STA MARTA"/>
        <s v="CEVECO S.A.S. RIOSUCIO"/>
        <s v="CREDITOS PARRA Y CIA S.A.S"/>
        <s v="SUPERMOTOS DEL CAUCA SAS POPAYAN"/>
        <s v="MOTOPREMIUM DE OCCIDENTE S.A.S-CALARCA"/>
        <s v="MOTO PREMIUM DE OCCIDENTE S.A.S.QUIMBAYA"/>
        <s v="MOTO PREMIUM DE OCCIDENTE S.A.S DOSQUEB."/>
        <s v="SALAZAR ACOSTA EDWIN ARTURO/PUERTO ASIS"/>
        <s v="MOTO PREMIUM DE OCCIDENTE S.A.S LA VIRGI"/>
        <s v="MOTOPREMIUM DE OCCIDENTE SAS SANTA ROSA"/>
        <s v="MOTO PREMIUM DE OCCIDENTE S.A.S.CAICEDO."/>
        <s v="MOTO PREMIUM DE OCCIDENTE S.A.S. NEIVA"/>
        <s v="ROSAS ESCANDON GUSTAVO ADOLFO"/>
        <s v="MOTO PREMIUM DE OCCIDENTE S.A.S LA UNION"/>
        <s v="POSADA  ROMUALDO - EL DONCELLO"/>
        <s v="MOTOS PRADERA S.A.S.-PRADERA"/>
        <s v="SHAIK OSPINA CARLOS ANDRES-FLORIDA"/>
        <s v="SHAIK OSPINA CARLOS ANDRES-CANDELARIA"/>
        <s v="MOTOSPORT HONDA SAN VICENTE"/>
        <s v="TULUAMOTOS S.A  TULUA"/>
        <s v="CHAVES CADENA JAIRO LEON/DONCELLO"/>
        <s v="CHAVES CADENA JAIRO LEON/MOCOA"/>
        <s v="TULUAMOTOS S.A CLL 18 PASTO"/>
        <s v="PADILLA FLOREZ MARIO LUIS"/>
        <s v="ROMERO COCA JORGE ALBERTO"/>
        <s v="CHAVES CADENA JAIRO LEON/FLORENCIA"/>
        <s v="BICIMOTOS Y REPUESTOS S.A.S/SOLEDAD"/>
        <s v="JISSEN HANNA SIRENE"/>
        <s v="MOTOMAS DE LA COSTA LTDA"/>
        <s v="CHAVES CADENA JAIRO LEON/SAN VICENTE"/>
        <s v="MOTOS IBC S.A.S"/>
        <s v="CHAVES CADENA JAIRO LEON/NEIVA"/>
        <s v="RUBE MOTOS S.A.S. RIOHACHA"/>
        <s v="RUBE MOTOS S.A.S. MAICAO"/>
        <s v="RUBE MOTOS S.A.S."/>
        <s v="CHAVES CADENA JAIRO LEON/PITALITO"/>
        <s v="RUBE MOTOS S.A.S. ARBOLETES"/>
        <s v="RUBE MOTOS S.A.S. APARTADO"/>
        <s v="RUBE MOTOS S.A.S-NECOCLI"/>
        <s v="RUBE MOTOS S.A.S. EL BANCO"/>
        <s v="CABRERA EVERT"/>
        <s v="MENDEZ PARRA MANUEL RICARDO"/>
        <s v="SUPERMOTOS MYM DORADA"/>
        <s v="MENDEZ PARRA MANUEL RICARDO-CHAPARRAL"/>
        <s v="ROSAS BAZANTE JORGE ANDRES-TIMBIO"/>
        <s v="MENDEZ PARRA MANUEL RICARDO-PURIFICACION"/>
        <s v="HONDA MOTOBOY S.A.S.  BOYACA"/>
        <s v="COBA RAMIREZ MARIA DEL CARMEN"/>
        <s v="CALVACHE ORTEGA LUZ AIDEE"/>
        <s v="MACANA  MARTHA ROCIO"/>
        <s v="DISMOTOS HONDA S.A.S. CIMITARRA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  LORICA"/>
        <s v="MOTO HIT LTDA  MAGANGUE"/>
        <s v="MOTO HIT LTDA  SAHAGUN"/>
        <s v="MOTO HOGAR C.L.R. S.A.S. CIENAGA DE ORO"/>
        <s v="MOTO HOGAR C.L.R. S.A.S."/>
        <s v="MOTOCENTRO HONDA S.A.  AYAPEL CASANARE"/>
        <s v="MOTOCENTRO HONDA S.A.  PUERTO BERRIO"/>
        <s v="MOTOCENTRO HONDA S.A.  MONTELIEBANO"/>
        <s v="MOTOCENTRO HONDA S.A.  PTO LIBERTADOR"/>
        <s v="MOTOCENTRO HONDA S.A.  TARAZA"/>
        <s v="ZUPERMOTO S.A. CAUCASIA"/>
        <s v="ZUPERMOTOS DEL GOLFO SAS APARTADO"/>
        <s v="HONDA STORE S.A.S. SAN BERNARDO DEL VIEN"/>
        <s v="HONDA STORE S.A.S.-SAN ANDRES SOTAVENTO"/>
        <s v="MOTO AGRO DEL SINU S.A.S."/>
        <s v="GUERRA MONTES PEDRO ANTONIO"/>
        <s v="REGUEMOTOS S.A.S."/>
        <s v="CENTRALMOTOS LEBRIJA S.A.S."/>
        <s v="TIRIA MORENO TERESA DE JESUS"/>
        <s v="INV. LOPEZ CADAVID Y CIA LTD-YOPAL"/>
        <s v="INV. LOPEZ CADAVID Y CIA LTD-GRANADA"/>
        <s v="CAMACHO SUAREZ NELSON DAMIAN"/>
        <s v="AVILA VERA BLANCA STELLA"/>
        <s v="MOTOCEL COMPANY S.A.S"/>
        <s v="OSORIO RIVERO CIRO ALFONSO OCAÑA CL 10"/>
        <s v="INVERSIONES HERNANDEZ SINNING H&amp;S S.A.S"/>
        <s v="TORRES ESTEPA FREDDY HUMBERTO-YOPAL"/>
        <s v="TORRES ESTEPA FREDDY HUMBERTO-SOGAMOSO"/>
        <s v="SUPERMOTOS DE MEDELLIN S.A.S. SAN DIE"/>
        <s v="SUPERMOTOS DEL PACIFICO S.A.S PPAL"/>
        <s v="SUPERMOTOS DE GIRARDOT S.A.S.-GIRARDOT"/>
        <s v="SUPERMOTOS DE GIRARDOT S.A.S.-ESPINAL"/>
        <s v="SUPERMOTOS DEL TOLIMA S.A.S IBAGUE"/>
        <s v="SUPERMOTOS DEL TOLIMA S.A.S CL 21"/>
        <s v="SUPERMOTOS DEL TOLIMA S.A.S MARIQUITA"/>
        <s v="SUPERMOTOS DEL TOLIMA S.A.S LIBANO"/>
        <s v="SUPERMOTOS DEL TOLIMA S.A.S  LA DORADA"/>
        <s v="SUPERMOTOS DE GIRARDOT S.A.S.-MELGAR"/>
        <s v="SUPERMOTOS DEL ORIENTE S.A.S. CUCUTA"/>
        <s v="SUPERMOTOS DE GIRARDOT S.A.S.-CHAPARRAL"/>
        <s v="SUPERMOTOS DE CUNDINAMARCA S.A.S VENECIA"/>
        <s v="SUPERMOTOS DE CALI S.A.S. PPAL"/>
        <s v="SUPERMOTOS DE CALI S.A.S SAN BOSCO"/>
        <s v="SUPERMOTOS DE CALI S.A.S.  BUENAVENTURA"/>
        <s v="SUPERMOTOS DE BOLIVAR S.A.S PIE DE LA PO"/>
        <s v="SUPERMOTOS DE BOLIVAR S.A.S.LA CASTELL"/>
        <s v="SUPERMOTOS DEL CAUCA SAS SANTANDER"/>
        <s v="ALMACENES LA 14 S.A"/>
        <s v="COMERCIALIZADORA ALCALA MOTOR S.A.S."/>
        <s v="COMERCIALIZADORA ALCALA MOTOR SAS-VILLAV"/>
        <s v="COMERCIALIZADORA ALCALA MOTOR SAS-TUNJA"/>
        <s v="CCS MOTOR S A S"/>
        <s v="CHAVES BONILLA CONCESIONARIOS SAS"/>
        <s v="CHAVES BONILLA CONCESIONARIOS SAS-ACACIA"/>
        <s v="CABALLERO BUENO CLEOMEDES  VILLAVICENCIO"/>
        <s v="EN MOTO.COM SAS"/>
        <s v="MERCAMOTOS S.A.S"/>
        <s v="SAINEA PUERTO LUIS ALBERTO-CR 7"/>
        <s v="MOTORCYCLE MARKET S.A.S-FUNZA"/>
        <s v="MOTORCYCLE MARKET S.A.S - VILLAVICENCIO"/>
        <s v="SERVI-MOTOS CHIA"/>
        <s v="GRUPO DOS RUEDAS SAS"/>
        <s v="GRUPO DOS RUEDAS SAS - TUNJA"/>
        <s v="MOTO MAS S A S"/>
        <s v="ACOSTA TINOCO ALCIRA"/>
        <s v="AGRO HONDA LA S.A.S"/>
        <s v="HONDA-SUR MOTOS Y REPUESTOS S.A.S.-CALDA"/>
        <s v="COMERCIAL ELECTRO MUEBLES LTDA  SARAVENA"/>
        <s v="COMERCIAL ELECTRO MUEBLES LTDA ARAUCA"/>
        <s v="COMERCIAL ELECTRO MUEBLES LTDA ARAUQUITA"/>
        <s v="COMERCIAL ELECTRO MUEBLES LTDA TAME"/>
        <s v="LOPEZ NARVAEZ JOSE DAVID"/>
        <s v="SUPERMOTOS DEL ATLANTICO S.A.S"/>
        <s v="SUPERMOTOS DEL VALLE S.A.S  PALMIRA"/>
        <s v="SUPERMOTOS DE SANTANDER S.A.S"/>
        <s v="SUPERMOTOS DE SANTANDER S.A.SB/CABERMEJA"/>
        <s v="SUPERMOTOS DE SANTANDER S.ASB/MANGACRA21"/>
        <s v="SUPERMOTOS DE SANTANDER S.ASP/CUESTACRA1"/>
        <s v="SUPERMOTOS DE SANTANDER S.A.S/FLORIDABLA"/>
        <s v="GRIMALDOS JURADO JOSE ANTONIO"/>
        <s v="SUPERMOTOS DE ANTIOQUIA S.A.  ENVIGADO"/>
        <s v="SUPERMOTOS DE ANTIOQUIA S.A.  BELLO"/>
        <s v="SUPERMOTOS DE ANTIOQUIA S.A.  RIONEGRO"/>
        <s v="SUPERMOTOS DE ANTIOQUIA S.A. MEDELLIN"/>
        <s v="SUPREMOTOS SINCELEJO"/>
        <s v="SUPREMOTOS SAN CARLOS"/>
        <s v="SUPREMOTOS COROZAL"/>
        <s v="SUPREMOTOS CHINU"/>
        <s v="SUPREMOTOS S.A.S."/>
        <s v="SUPERMOTOS DE NARIÑO SAS IPIALES"/>
        <s v="SUPERMOTOS DE NARIÑO SAS TUQUERRES"/>
        <s v="SUPERMOTOS DE NARIÑO SAS LA UNION"/>
        <s v="MOTOS GAP S.A.S."/>
        <m/>
        <s v="RUGE PINZON JORGE HERNAN" u="1"/>
        <s v="C MOTO STORE S.A.S.-MOTOS" u="1"/>
        <s v="SUPERMOTOS DE NARIÑO SAS PASTO CLL 16" u="1"/>
        <s v="POSADA OSPINA HOFFERMANM/SAN VICENTE" u="1"/>
        <s v="MOTOCENTRO HONDA S.A. LA APARTADA" u="1"/>
        <s v="SUPERMOTOS DEL CESAR S.A.S.  VALLEDUPAR" u="1"/>
        <s v="POSADA  ROMUALDO" u="1"/>
        <s v="FRIO Y CALOR S.A BUCARAMANGA" u="1"/>
        <s v="CASTILLO  LEIDY ALEJANDRA  MAGANGUE" u="1"/>
        <s v="MOTO HIT LTDA  TURBO" u="1"/>
        <s v="RAMIREZ MARTIN ANCISAR" u="1"/>
        <s v="DEPOSITOS MIRANDA - MOTOS" u="1"/>
        <s v="MOTOS LA FRONTERA S.A. PTO BERRIO" u="1"/>
        <s v="TULUAMOTOS S.A PASTO" u="1"/>
        <s v="SUFIMOTOS S.A.S. COROZAL" u="1"/>
        <s v="ARDILA MIRANDA DANIEL-SARAVENA" u="1"/>
        <s v="LA BUENA HONDA DEL CARIBE S.A.S.VILLANUE" u="1"/>
        <s v="SUPERMOTOS DE BOGOTA-ENGATIVA" u="1"/>
        <s v="INV. HERNANDEZ SINNING H&amp;S S.A.S-SANTO" u="1"/>
        <s v="CARDENAS URBANO CARLOS EDUARDO AV SHUMAC" u="1"/>
        <s v="RODRIGUEZ  ROSA CECILIA-LA LOMA DE CALEN" u="1"/>
        <s v="G Y D MOTOS SAS" u="1"/>
        <s v="SUFIMOTOS S.A.S. SINCELEJO/SAN CARLOS" u="1"/>
        <s v="MOTO HIT LTDA PLATO" u="1"/>
        <s v="MOTO HIT LTDA CAUCASIA" u="1"/>
        <s v="SEGURA ARANGO JUAN CAMILO" u="1"/>
        <s v="MOTOR CITY HERO S.A.S" u="1"/>
        <s v="OSORIO RIVERO CIRO ALFONSO SAN ALBERTO" u="1"/>
        <s v="TORRES ESTEPA FREDDY HUMBERTO-YTORREOPAL" u="1"/>
        <s v="CASAMOTO S A S" u="1"/>
        <s v="SUPERMOTOS DE NARIÑO SAS PASTO" u="1"/>
        <s v="CARDENAS URBANO CARLOS EDUARDO-TUMACO" u="1"/>
        <s v="MOTOR´S GAP CURUMANI" u="1"/>
        <s v="HONDA MOTOBOY S.A.S.-LA DORADA" u="1"/>
        <s v="LA BUENA HONDA DEL CARIBE S.A.S.HATO NU" u="1"/>
        <s v="CORTES VELASQUEZ OMAR HENRY" u="1"/>
        <s v="URREGO ACOSTA CARLOS JAVIER" u="1"/>
        <s v="MOTORCYCLE MARKET S.A.S" u="1"/>
        <s v="SUFIMOTOS S.A.S. COPACABANA" u="1"/>
        <s v="MOTORCYCLE MARKETS.A.S" u="1"/>
        <s v="BELTRAN OTALORA ALBERTO" u="1"/>
        <s v="GOMEZ GUERRERO MAURICIO-SAN ALBERTO" u="1"/>
        <s v="ELECTRO RAMOS CREDITOS S.A.S" u="1"/>
        <s v="CASTILLO LEIDY ALEJANDRA  MAJAGUAL" u="1"/>
        <s v="VILLA PEREZ JESUS DAVID" u="1"/>
        <s v="MATEUS TOBOS LUIS ARMANDO" u="1"/>
        <s v="GONZALEZ MUÑOZ KAREN LISETH" u="1"/>
        <s v="MOTO SUPER - ASTREA" u="1"/>
        <s v="MOTO SUPER - SANTA ANA" u="1"/>
        <s v="SUPERMOTOS DEL CAUCA SAS EL BORDO" u="1"/>
        <s v="MOTO SUPER S.A.S" u="1"/>
        <s v="MOTO HIT LTDA  SAN MARCOS" u="1"/>
        <s v="MOTOCENTRO HONDA S.A. CERETE" u="1"/>
        <s v="MOTO HIT LTDA TIERRALTA" u="1"/>
        <s v="MUNICIPIO DE SANTIAGO DE CALI" u="1"/>
        <s v="RODRIGUEZ  ROSA CECILIA-BOSCONIA" u="1"/>
        <s v="YOKO MOTOS S.A.S. VILLAVICENCIO" u="1"/>
        <s v="MOTORCYCLE MARKETS.A.S-MADRID" u="1"/>
        <s v="MOTO HIT LTDA - EL CARMEN" u="1"/>
        <s v="SUPERMOTOS DE BOGOTA S.A.S. CARACAS No 2" u="1"/>
        <s v="POSADA OSPINA HOFFERMANM/EL DONCELLO" u="1"/>
        <s v="YOKO MOTOS S.A.S. APARTADO" u="1"/>
        <s v="CARDENAS URBANO CARLOS-BARBACOAS" u="1"/>
        <s v="SUFIMOTOS S.A.S. CHINU" u="1"/>
        <s v="SUFIMOTOS S.A.S. SINCELEJO" u="1"/>
        <s v="QUINTERO MUÑOZ FRANCISCO JAVIER" u="1"/>
        <s v="ABRIL RODRIGUEZ HELBER MAURICIO/FLORIDAB" u="1"/>
        <s v="QUINTERO RODRIGUEZ MARISOL" u="1"/>
        <s v="SUPERMOTOS DE SANTANDER S.A.S/PIEDECUEST" u="1"/>
        <s v="LA BUENA HONDA DE LA SABANA/GUARANDA" u="1"/>
        <s v="MOTOCENTRO HONDA S.A.  AYAPEL CORDOBA" u="1"/>
        <s v="SUROMOTOS S.A." u="1"/>
        <s v="ROSAS BAZANTE JORGE ANDRES-BALBOA" u="1"/>
        <s v="DISTRIGON LIMITADA SAN SEBASTIAN" u="1"/>
        <s v="MOTOCARIBE S.A.S. EL CARMEN DE BOLIVAR" u="1"/>
        <s v="ABRIL RODRIGUEZ HELBER MAURICIO/GIRON" u="1"/>
        <s v="LA BUENA HONDA DE LA SABANA/PUEBLO NUEVO" u="1"/>
        <s v="FABRICA NACIONAL DE AUTOPARTES S.A" u="1"/>
        <s v="MENDEZ PARRA MANUEL RICARDO IVAN-HONDA" u="1"/>
        <s v="CASA YOJE S.A.S." u="1"/>
        <s v="SUPERMOTOS DE NARIÑO SAS TUMACO" u="1"/>
        <s v="COLVENTAS S.A. MONTERIA CIRCUNV." u="1"/>
        <s v="LA BUENA HONDA DEL CARIBE S.A.S.SAN JUAN" u="1"/>
      </sharedItems>
    </cacheField>
    <cacheField name="Referencia" numFmtId="0">
      <sharedItems containsBlank="1" count="30">
        <s v="*XR-250 TORNADO pt MD34                           "/>
        <s v="*CB-110                                           "/>
        <s v="*XR 150L                                          "/>
        <s v="CB 190R                                           "/>
        <s v="CB 190 REPSOL                                     "/>
        <s v="CB 160F DLX                                       "/>
        <s v="DIO  110                                          "/>
        <s v="WAVE 110S                                         "/>
        <s v="CB 160F STD                                       "/>
        <s v="CB 110 DLX                                        "/>
        <s v="DREAM  NEO                                        "/>
        <s v="DIO 110                                           "/>
        <s v="*CB1 PRO                                          "/>
        <s v="*INVICTA                                          "/>
        <s v="CB 190R INSTINTO R                                "/>
        <s v="*WAVE 110                                         "/>
        <s v="*CBF-125 pt                                       "/>
        <s v="CB 250 TWISTER                                    "/>
        <s v="CLICK 125i                                        "/>
        <s v="XRE 190                                           "/>
        <s v="PCX 150                                           "/>
        <s v="CBR 250RD                                         "/>
        <s v="XRE  300                                          "/>
        <s v="XRE 300 RALLY                                     "/>
        <m/>
        <s v="XRE 300                                           " u="1"/>
        <s v="DREAM NEO                                         " u="1"/>
        <s v="CBR 250RAG                                        " u="1"/>
        <s v="VFR 800XH                                         " u="1"/>
        <s v="XR 150L BRAHMA                                    " u="1"/>
      </sharedItems>
    </cacheField>
    <cacheField name="Desc. detalle ext. 1" numFmtId="0">
      <sharedItems containsBlank="1" count="48">
        <s v="BLANCO NE"/>
        <s v="NEGRO    "/>
        <s v="ROJO NEGR"/>
        <s v="NEGRO ONI"/>
        <s v="NARANJA B"/>
        <s v="NARANJA N"/>
        <s v="ROJO     "/>
        <s v="ROJO SPOR"/>
        <s v="NEGRO PER"/>
        <s v="BLANCO PE"/>
        <s v="ROJO BLAN"/>
        <s v="BLANCO   "/>
        <s v="ROJO ALFA"/>
        <s v="NEGRO BLA"/>
        <s v="AZUL FIJI"/>
        <s v="NEGRO ROJ"/>
        <s v="AZUL     "/>
        <s v="GRIS     "/>
        <s v="GRIS MET "/>
        <s v="PEARL PRO"/>
        <s v="NEGRO AZU"/>
        <s v="AZUL NEON"/>
        <s v="AZUL BLAN"/>
        <s v="VERDE CAN"/>
        <s v="AMARILLO "/>
        <s v="BLANCO RO"/>
        <s v="VERDE    "/>
        <s v="PLATEADO "/>
        <s v="BLANCO AZ"/>
        <m/>
        <s v="ROJO SIEN" u="1"/>
        <s v="VERDE NEG" u="1"/>
        <s v="CANDY ARU" u="1"/>
        <s v="GRIS META" u="1"/>
        <s v="NEGRO MAT" u="1"/>
        <s v="NEGRO OPA" u="1"/>
        <s v="VERDE" u="1"/>
        <s v="VERDE LIM" u="1"/>
        <s v="ROJO LUCY" u="1"/>
        <s v="AZUL ONIX" u="1"/>
        <s v="AZUL GEMI" u="1"/>
        <s v="ROJO IMPE" u="1"/>
        <s v="BLAN ROSS" u="1"/>
        <s v="ALFA ROJO" u="1"/>
        <s v="ROJOBLANC" u="1"/>
        <s v="AZUL VICT" u="1"/>
        <s v="ROJO MAC " u="1"/>
        <s v="NEGRO AST" u="1"/>
      </sharedItems>
    </cacheField>
    <cacheField name="Fecha factura desde pedido" numFmtId="0">
      <sharedItems containsDate="1" containsString="0" containsBlank="1" containsMixedTypes="1" minDate="1900-01-10T11:49:04" maxDate="2017-08-05T00:00:00"/>
    </cacheField>
    <cacheField name="Desc. ciudad" numFmtId="0">
      <sharedItems containsBlank="1" count="166">
        <s v="BOGOTA D.C."/>
        <s v="FACATATIVA"/>
        <s v="PUERTO TEJADA"/>
        <s v="CALI"/>
        <s v="ARGELIA"/>
        <s v="PASTO"/>
        <s v="PIENDAMO"/>
        <s v="MONTERIA"/>
        <s v="PEREIRA"/>
        <s v="CARTAGO"/>
        <s v="ARMENIA"/>
        <s v="LORICA"/>
        <s v="MANIZALES"/>
        <s v="SINCELEJO"/>
        <s v="JAMUNDI"/>
        <s v="FLORENCIA"/>
        <s v="GARZON"/>
        <s v="LA PLATA"/>
        <s v="NEIVA"/>
        <s v="PITALITO"/>
        <s v="SANTA MARTA"/>
        <s v="RIOSUCIO"/>
        <s v="LETICIA"/>
        <s v="POPAYAN"/>
        <s v="CALARCA"/>
        <s v="QUIMBAYA"/>
        <s v="DOS QUEBRADAS"/>
        <s v="PUERTO ASIS"/>
        <s v="LA VIRGINIA"/>
        <s v="SANTA ROSA DE CABAL"/>
        <s v="CAICEDONIA"/>
        <s v="LA UNION"/>
        <s v="EL DONCELLO"/>
        <s v="PRADERA"/>
        <s v="FLORIDA"/>
        <s v="CANDELARIA"/>
        <s v="SAN VICENTE DEL CAGUAN"/>
        <s v="TULUA"/>
        <s v="MOCOA"/>
        <s v="SAN MARCOS"/>
        <s v="SANTA ROSA DEL SUR"/>
        <s v="SOLEDAD"/>
        <s v="MOMPOS"/>
        <s v="MAGANGUE"/>
        <s v="FUNDACION"/>
        <s v="RIOHACHA"/>
        <s v="MAICAO"/>
        <s v="CAUCASIA"/>
        <s v="ARBOLETES"/>
        <s v="APARTADO"/>
        <s v="NECOCLI"/>
        <s v="EL BANCO"/>
        <s v="FUSAGASUGA"/>
        <s v="LA DORADA"/>
        <s v="CHAPARRAL"/>
        <s v="TIMBIO"/>
        <s v="PURIFICACION"/>
        <s v="PUERTO BOYACA"/>
        <s v="LA MACARENA"/>
        <s v="SAN PABLO"/>
        <s v="BARBOSA"/>
        <s v="CIMITARRA"/>
        <s v="ANDES"/>
        <s v="SANTAFE DE ANTIOQUIA"/>
        <s v="QUIBDO"/>
        <s v="PLANETA RICA"/>
        <s v="YARUMAL"/>
        <s v="SANTA ROSA DE OSOS"/>
        <s v="SAHAGUN"/>
        <s v="CIENAGA DE ORO"/>
        <s v="SAMPUES"/>
        <s v="SAN PELAYO"/>
        <s v="AYAPEL"/>
        <s v="PUERTO BERRIO"/>
        <s v="MONTELIBANO"/>
        <s v="PUERTO LIBERTADOR"/>
        <s v="TARAZA"/>
        <s v="SAN BERNARDO DEL VIENTO"/>
        <s v="SAN ANDRES DE SOTAVENTO"/>
        <s v="CERETE"/>
        <s v="VALENCIA"/>
        <s v="SAN ANTERO"/>
        <s v="FLORIDABLANCA"/>
        <s v="GIRON"/>
        <s v="YOPAL"/>
        <s v="GRANADA"/>
        <s v="BUCARAMANGA"/>
        <s v="SAN GIL"/>
        <s v="TAURAMENA"/>
        <s v="OCAÑA"/>
        <s v="SABANALARGA"/>
        <s v="SOGAMOSO"/>
        <s v="MEDELLIN"/>
        <s v="GIRARDOT"/>
        <s v="ESPINAL"/>
        <s v="IBAGUE"/>
        <s v="MARIQUITA"/>
        <s v="LIBANO"/>
        <s v="MELGAR"/>
        <s v="CUCUTA"/>
        <s v="BUENAVENTURA"/>
        <s v="CARTAGENA"/>
        <s v="SANTANDER DE QUILICHAO"/>
        <s v="VILLAVICENCIO"/>
        <s v="TUNJA"/>
        <s v="ACACIAS"/>
        <s v="ZIPAQUIRA"/>
        <s v="SOACHA"/>
        <s v="FUNZA"/>
        <s v="CHIA"/>
        <s v="VILLETA"/>
        <s v="CALDAS"/>
        <s v="SARAVENA"/>
        <s v="ARAUCA"/>
        <s v="ARAUQUITA"/>
        <s v="TAME"/>
        <s v="GUAMAL"/>
        <s v="SANTA ANA"/>
        <s v="BARRANQUILLA"/>
        <s v="PALMIRA"/>
        <s v="BARRANCABERMEJA"/>
        <s v="PIEDECUESTA"/>
        <s v="SOCORRO"/>
        <s v="ENVIGADO"/>
        <s v="BELLO"/>
        <s v="RIONEGRO"/>
        <s v="COROZAL"/>
        <s v="CHINU"/>
        <s v="COPACABANA"/>
        <s v="IPIALES"/>
        <s v="TUQUERRES"/>
        <s v="CURUMANI"/>
        <m/>
        <s v="LA APARTADA" u="1"/>
        <s v="HONDA" u="1"/>
        <s v="ASTREA" u="1"/>
        <s v="TIERRALTA" u="1"/>
        <s v="SAN ALBERTO" u="1"/>
        <s v="SAMANIEGO" u="1"/>
        <s v="BOSCONIA" u="1"/>
        <s v="SAN ROQUE" u="1"/>
        <s v="GUAMO" u="1"/>
        <s v="BARBACOAS" u="1"/>
        <s v="URRAO" u="1"/>
        <s v="YUMBO" u="1"/>
        <s v="SONSON" u="1"/>
        <s v="GUARANDA" u="1"/>
        <s v="TURBO" u="1"/>
        <s v="VILLANUEVA" u="1"/>
        <s v="MAJAGUAL" u="1"/>
        <s v="HATO NUEVO" u="1"/>
        <s v="TUMACO" u="1"/>
        <s v="PATIA(EL BORDO)" u="1"/>
        <s v="SAN SEBASTIAN BUENAVIST" u="1"/>
        <s v="SEGOVIA" u="1"/>
        <s v="PLATO" u="1"/>
        <s v="INIRIDA" u="1"/>
        <s v="CIUDAD BOLIVAR" u="1"/>
        <s v="MADRID" u="1"/>
        <s v="SANTO TOMAS" u="1"/>
        <s v="PUEBLO NUEVO" u="1"/>
        <s v="EL CARMEN DE BOLIVAR" u="1"/>
        <s v="SAN JUAN DEL CESAR" u="1"/>
        <s v="LA PRIMAVERA" u="1"/>
        <s v="BALBOA" u="1"/>
        <s v="VALLEDUPAR" u="1"/>
      </sharedItems>
    </cacheField>
    <cacheField name="Cliente factura" numFmtId="0">
      <sharedItems containsString="0" containsBlank="1" containsNumber="1" containsInteger="1" minValue="2907207" maxValue="1098623565" count="118">
        <n v="860062808"/>
        <n v="94404403"/>
        <n v="900215165"/>
        <n v="36284552"/>
        <n v="830145805"/>
        <n v="10305214"/>
        <n v="812008359"/>
        <n v="816008547"/>
        <n v="890330584"/>
        <n v="890705577"/>
        <n v="900052338"/>
        <n v="890802350"/>
        <n v="838000154"/>
        <n v="817000553"/>
        <n v="900330225"/>
        <n v="18184960"/>
        <n v="1072648809"/>
        <n v="17668211"/>
        <n v="900439362"/>
        <n v="16891092"/>
        <n v="891903377"/>
        <n v="18125225"/>
        <n v="10886574"/>
        <n v="73020742"/>
        <n v="802016654"/>
        <n v="9261453"/>
        <n v="900202461"/>
        <n v="900661269"/>
        <n v="900485301"/>
        <n v="16614938"/>
        <n v="14011711"/>
        <n v="10538625"/>
        <n v="811044897"/>
        <n v="40205161"/>
        <n v="27452030"/>
        <n v="23780840"/>
        <n v="900413902"/>
        <n v="900371112"/>
        <n v="32259672"/>
        <n v="8357438"/>
        <n v="900521663"/>
        <n v="900573176"/>
        <n v="1042768777"/>
        <n v="812004443"/>
        <n v="900345712"/>
        <n v="900060537"/>
        <n v="900228870"/>
        <n v="900593566"/>
        <n v="900502698"/>
        <n v="900086472"/>
        <n v="10896832"/>
        <n v="900473906"/>
        <n v="900777108"/>
        <n v="37807909"/>
        <n v="800155894"/>
        <n v="1098623565"/>
        <n v="37891797"/>
        <n v="900637901"/>
        <n v="5084051"/>
        <n v="900648202"/>
        <n v="9398760"/>
        <n v="890924996"/>
        <n v="900181404"/>
        <n v="900129262"/>
        <n v="890705341"/>
        <n v="900182433"/>
        <n v="900056664"/>
        <n v="890406707"/>
        <n v="890300346"/>
        <n v="900426895"/>
        <n v="900695615"/>
        <n v="900425597"/>
        <n v="2907207"/>
        <n v="900599349"/>
        <n v="900400965"/>
        <n v="19291768"/>
        <n v="900367920"/>
        <n v="79487375"/>
        <n v="901023135"/>
        <n v="900872772"/>
        <n v="60345082"/>
        <n v="900861288"/>
        <n v="900086154"/>
        <n v="800186618"/>
        <n v="85166081"/>
        <n v="800191135"/>
        <n v="900095491"/>
        <n v="890207088"/>
        <n v="91239403"/>
        <n v="900185816"/>
        <n v="900768559"/>
        <n v="814006664"/>
        <n v="900929001"/>
        <m/>
        <n v="890907848" u="1"/>
        <n v="806015728" u="1"/>
        <n v="77104080" u="1"/>
        <n v="79754560" u="1"/>
        <n v="900078079" u="1"/>
        <n v="93402073" u="1"/>
        <n v="804010362" u="1"/>
        <n v="891701917" u="1"/>
        <n v="1047964676" u="1"/>
        <n v="98370919" u="1"/>
        <n v="900314554" u="1"/>
        <n v="900012357" u="1"/>
        <n v="900334447" u="1"/>
        <n v="900623159" u="1"/>
        <n v="900731201" u="1"/>
        <n v="79204832" u="1"/>
        <n v="900984443" u="1"/>
        <n v="17529200" u="1"/>
        <n v="900810098" u="1"/>
        <n v="900454096" u="1"/>
        <n v="1046902802" u="1"/>
        <n v="66842718" u="1"/>
        <n v="49760639" u="1"/>
        <n v="900321039" u="1"/>
      </sharedItems>
    </cacheField>
    <cacheField name="Precio unit." numFmtId="0">
      <sharedItems containsString="0" containsBlank="1" containsNumber="1" containsInteger="1" minValue="3067227" maxValue="12433071"/>
    </cacheField>
    <cacheField name="Costo del pedido" numFmtId="170">
      <sharedItems containsString="0" containsBlank="1" containsNumber="1" containsInteger="1" minValue="3067227" maxValue="28949580"/>
    </cacheField>
    <cacheField name="CUPO CONTADO" numFmtId="166">
      <sharedItems containsMixedTypes="1" containsNumber="1" containsInteger="1" minValue="0" maxValue="802084041"/>
    </cacheField>
    <cacheField name="CUPO CREDITO" numFmtId="166">
      <sharedItems containsSemiMixedTypes="0" containsString="0" containsNumber="1" containsInteger="1" minValue="0" maxValue="852000000"/>
    </cacheField>
    <cacheField name="Tiene Cupo" numFmtId="0">
      <sharedItems containsBlank="1" count="3">
        <s v="Si"/>
        <s v="No"/>
        <m u="1"/>
      </sharedItems>
    </cacheField>
    <cacheField name="RUTA" numFmtId="0">
      <sharedItems containsMixedTypes="1" containsNumber="1" containsInteger="1" minValue="0" maxValue="0" count="48">
        <s v="7.2"/>
        <s v="7.1.A"/>
        <s v="1.3.B"/>
        <s v="1.3"/>
        <s v="2.1"/>
        <s v="2.2"/>
        <s v="9.2"/>
        <s v="4.1.A"/>
        <s v="4.1"/>
        <s v="3.1"/>
        <s v="10.1"/>
        <s v="5.2.B"/>
        <s v="5.2"/>
        <s v="5.2.A"/>
        <s v="11.2"/>
        <s v="8.1"/>
        <s v="4.1.B"/>
        <s v="1.2.A"/>
        <s v="1.2"/>
        <s v="1.1"/>
        <s v="10.1.A"/>
        <s v="6.2.A"/>
        <s v="10.2"/>
        <s v="6.4"/>
        <s v="8.3"/>
        <s v="9.1.A"/>
        <s v="9.1"/>
        <s v="7.1"/>
        <s v="6.1"/>
        <s v="5.1.A"/>
        <s v="6.2"/>
        <e v="#N/A"/>
        <s v="7.2.A"/>
        <s v="8.1.A"/>
        <s v="8.2.A"/>
        <s v="8.3.A"/>
        <s v="9.2.A"/>
        <s v="6.2.B"/>
        <s v="7.2.B"/>
        <s v="6.3"/>
        <s v="5.1"/>
        <s v="5.0"/>
        <s v="6.1.A"/>
        <s v="1.3.A"/>
        <s v="11.1.A"/>
        <s v="7.2.C"/>
        <s v="8.2"/>
        <n v="0" u="1"/>
      </sharedItems>
    </cacheField>
    <cacheField name="Disponibilidad" numFmtId="0">
      <sharedItems containsSemiMixedTypes="0" containsString="0" containsNumber="1" containsInteger="1" minValue="-32" maxValue="778" count="264">
        <n v="0"/>
        <n v="83"/>
        <n v="3"/>
        <n v="75"/>
        <n v="104"/>
        <n v="1"/>
        <n v="13"/>
        <n v="23"/>
        <n v="59"/>
        <n v="38"/>
        <n v="99"/>
        <n v="7"/>
        <n v="15"/>
        <n v="48"/>
        <n v="21"/>
        <n v="24"/>
        <n v="14"/>
        <n v="18"/>
        <n v="6"/>
        <n v="8"/>
        <n v="25"/>
        <n v="61"/>
        <n v="109"/>
        <n v="67"/>
        <n v="22"/>
        <n v="27"/>
        <n v="57"/>
        <n v="30"/>
        <n v="11"/>
        <n v="19"/>
        <n v="-19" u="1"/>
        <n v="96" u="1"/>
        <n v="135" u="1"/>
        <n v="206" u="1"/>
        <n v="298" u="1"/>
        <n v="121" u="1"/>
        <n v="-7" u="1"/>
        <n v="34" u="1"/>
        <n v="-20" u="1"/>
        <n v="100" u="1"/>
        <n v="143" u="1"/>
        <n v="214" u="1"/>
        <n v="385" u="1"/>
        <n v="125" u="1"/>
        <n v="193" u="1"/>
        <n v="36" u="1"/>
        <n v="79" u="1"/>
        <n v="172" u="1"/>
        <n v="151" u="1"/>
        <n v="130" u="1"/>
        <n v="201" u="1"/>
        <n v="359" u="1"/>
        <n v="774" u="1"/>
        <n v="180" u="1"/>
        <n v="5" u="1"/>
        <n v="108" u="1"/>
        <n v="230" u="1"/>
        <n v="748" u="1"/>
        <n v="63" u="1"/>
        <n v="138" u="1"/>
        <n v="40" u="1"/>
        <n v="87" u="1"/>
        <n v="722" u="1"/>
        <n v="-1" u="1"/>
        <n v="112" u="1"/>
        <n v="362" u="1"/>
        <n v="-3" u="1"/>
        <n v="66" u="1"/>
        <n v="146" u="1"/>
        <n v="320" u="1"/>
        <n v="42" u="1"/>
        <n v="91" u="1"/>
        <n v="196" u="1"/>
        <n v="-24" u="1"/>
        <n v="116" u="1"/>
        <n v="175" u="1"/>
        <n v="246" u="1"/>
        <n v="70" u="1"/>
        <n v="728" u="1"/>
        <n v="44" u="1"/>
        <n v="95" u="1"/>
        <n v="133" u="1"/>
        <n v="120" u="1"/>
        <n v="183" u="1"/>
        <n v="74" u="1"/>
        <n v="233" u="1"/>
        <n v="352" u="1"/>
        <n v="2" u="1"/>
        <n v="46" u="1"/>
        <n v="141" u="1"/>
        <n v="124" u="1"/>
        <n v="734" u="1"/>
        <n v="16" u="1"/>
        <n v="78" u="1"/>
        <n v="241" u="1"/>
        <n v="721" u="1"/>
        <n v="103" u="1"/>
        <n v="149" u="1"/>
        <n v="220" u="1"/>
        <n v="128" u="1"/>
        <n v="17" u="1"/>
        <n v="82" u="1"/>
        <n v="178" u="1"/>
        <n v="249" u="1"/>
        <n v="-10" u="1"/>
        <n v="50" u="1"/>
        <n v="107" u="1"/>
        <n v="157" u="1"/>
        <n v="228" u="1"/>
        <n v="-28" u="1"/>
        <n v="136" u="1"/>
        <n v="727" u="1"/>
        <n v="86" u="1"/>
        <n v="714" u="1"/>
        <n v="52" u="1"/>
        <n v="111" u="1"/>
        <n v="165" u="1"/>
        <n v="358" u="1"/>
        <n v="65" u="1"/>
        <n v="144" u="1"/>
        <n v="90" u="1"/>
        <n v="194" u="1"/>
        <n v="54" u="1"/>
        <n v="115" u="1"/>
        <n v="173" u="1"/>
        <n v="244" u="1"/>
        <n v="69" u="1"/>
        <n v="152" u="1"/>
        <n v="261" u="1"/>
        <n v="720" u="1"/>
        <n v="20" u="1"/>
        <n v="94" u="1"/>
        <n v="131" u="1"/>
        <n v="202" u="1"/>
        <n v="361" u="1"/>
        <n v="778" u="1"/>
        <n v="56" u="1"/>
        <n v="119" u="1"/>
        <n v="252" u="1"/>
        <n v="319" u="1"/>
        <n v="33" u="1"/>
        <n v="73" u="1"/>
        <n v="160" u="1"/>
        <n v="231" u="1"/>
        <n v="-4" u="1"/>
        <n v="98" u="1"/>
        <n v="139" u="1"/>
        <n v="58" u="1"/>
        <n v="123" u="1"/>
        <n v="-32" u="1"/>
        <n v="35" u="1"/>
        <n v="77" u="1"/>
        <n v="168" u="1"/>
        <n v="239" u="1"/>
        <n v="293" u="1"/>
        <n v="713" u="1"/>
        <n v="102" u="1"/>
        <n v="60" u="1"/>
        <n v="127" u="1"/>
        <n v="197" u="1"/>
        <n v="351" u="1"/>
        <n v="37" u="1"/>
        <n v="81" u="1"/>
        <n v="176" u="1"/>
        <n v="247" u="1"/>
        <n v="106" u="1"/>
        <n v="62" u="1"/>
        <n v="134" u="1"/>
        <n v="205" u="1"/>
        <n v="719" u="1"/>
        <n v="39" u="1"/>
        <n v="85" u="1"/>
        <n v="110" u="1"/>
        <n v="163" u="1"/>
        <n v="234" u="1"/>
        <n v="354" u="1"/>
        <n v="64" u="1"/>
        <n v="142" u="1"/>
        <n v="383" u="1"/>
        <n v="41" u="1"/>
        <n v="89" u="1"/>
        <n v="192" u="1"/>
        <n v="114" u="1"/>
        <n v="171" u="1"/>
        <n v="242" u="1"/>
        <n v="725" u="1"/>
        <n v="-14" u="1"/>
        <n v="68" u="1"/>
        <n v="150" u="1"/>
        <n v="221" u="1"/>
        <n v="9" u="1"/>
        <n v="43" u="1"/>
        <n v="93" u="1"/>
        <n v="129" u="1"/>
        <n v="357" u="1"/>
        <n v="26" u="1"/>
        <n v="118" u="1"/>
        <n v="179" u="1"/>
        <n v="250" u="1"/>
        <n v="386" u="1"/>
        <n v="72" u="1"/>
        <n v="45" u="1"/>
        <n v="97" u="1"/>
        <n v="137" u="1"/>
        <n v="122" u="1"/>
        <n v="260" u="1"/>
        <n v="718" u="1"/>
        <n v="76" u="1"/>
        <n v="166" u="1"/>
        <n v="237" u="1"/>
        <n v="360" u="1"/>
        <n v="705" u="1"/>
        <n v="10" u="1"/>
        <n v="47" u="1"/>
        <n v="101" u="1"/>
        <n v="145" u="1"/>
        <n v="216" u="1"/>
        <n v="389" u="1"/>
        <n v="28" u="1"/>
        <n v="126" u="1"/>
        <n v="195" u="1"/>
        <n v="80" u="1"/>
        <n v="174" u="1"/>
        <n v="245" u="1"/>
        <n v="-2" u="1"/>
        <n v="49" u="1"/>
        <n v="105" u="1"/>
        <n v="153" u="1"/>
        <n v="224" u="1"/>
        <n v="29" u="1"/>
        <n v="132" u="1"/>
        <n v="84" u="1"/>
        <n v="182" u="1"/>
        <n v="253" u="1"/>
        <n v="321" u="1"/>
        <n v="51" u="1"/>
        <n v="161" u="1"/>
        <n v="232" u="1"/>
        <n v="350" u="1"/>
        <n v="140" u="1"/>
        <n v="743" u="1"/>
        <n v="88" u="1"/>
        <n v="190" u="1"/>
        <n v="730" u="1"/>
        <n v="53" u="1"/>
        <n v="113" u="1"/>
        <n v="169" u="1"/>
        <n v="717" u="1"/>
        <n v="31" u="1"/>
        <n v="704" u="1"/>
        <n v="775" u="1"/>
        <n v="4" u="1"/>
        <n v="92" u="1"/>
        <n v="353" u="1"/>
        <n v="12" u="1"/>
        <n v="55" u="1"/>
        <n v="117" u="1"/>
        <n v="177" u="1"/>
        <n v="248" u="1"/>
        <n v="32" u="1"/>
        <n v="71" u="1"/>
        <n v="156" u="1"/>
        <n v="227" u="1"/>
        <n v="736" u="1"/>
      </sharedItems>
    </cacheField>
    <cacheField name="Cant. Programada" numFmtId="0">
      <sharedItems containsString="0" containsBlank="1" containsNumber="1" containsInteger="1" minValue="0" maxValue="35" count="29">
        <m/>
        <n v="4"/>
        <n v="6"/>
        <n v="1"/>
        <n v="8"/>
        <n v="3"/>
        <n v="2"/>
        <n v="5"/>
        <n v="0" u="1"/>
        <n v="13" u="1"/>
        <n v="14" u="1"/>
        <n v="15" u="1"/>
        <n v="16" u="1"/>
        <n v="17" u="1"/>
        <n v="18" u="1"/>
        <n v="19" u="1"/>
        <n v="7" u="1"/>
        <n v="20" u="1"/>
        <n v="33" u="1"/>
        <n v="21" u="1"/>
        <n v="35" u="1"/>
        <n v="22" u="1"/>
        <n v="23" u="1"/>
        <n v="25" u="1"/>
        <n v="9" u="1"/>
        <n v="10" u="1"/>
        <n v="28" u="1"/>
        <n v="11" u="1"/>
        <n v="12" u="1"/>
      </sharedItems>
    </cacheField>
    <cacheField name="Costo Programado" numFmtId="0">
      <sharedItems containsSemiMixedTypes="0" containsString="0" containsNumber="1" containsInteger="1" minValue="0" maxValue="34739496"/>
    </cacheField>
    <cacheField name="# Viaje" numFmtId="0">
      <sharedItems containsBlank="1" containsMixedTypes="1" containsNumber="1" containsInteger="1" minValue="10" maxValue="11" count="4">
        <m/>
        <s v="01-09-08-E-SG-1"/>
        <n v="10" u="1"/>
        <n v="11" u="1"/>
      </sharedItems>
    </cacheField>
    <cacheField name="Condición de pago" numFmtId="0">
      <sharedItems containsString="0" containsBlank="1" containsNumber="1" containsInteger="1" minValue="1" maxValue="3" count="4">
        <m/>
        <n v="1"/>
        <n v="2"/>
        <n v="3"/>
      </sharedItems>
    </cacheField>
    <cacheField name="Concatenar" numFmtId="0">
      <sharedItems/>
    </cacheField>
    <cacheField name="TRANSPORTADOR" numFmtId="0">
      <sharedItems/>
    </cacheField>
    <cacheField name="CODIG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2">
  <r>
    <x v="0"/>
    <d v="2017-08-01T00:00:00"/>
    <x v="0"/>
    <s v="CTR - ZONA CENTRO"/>
    <s v="CONC - CONCESIONARIOS"/>
    <n v="1"/>
    <x v="0"/>
    <n v="1"/>
    <x v="0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0"/>
    <d v="2017-08-01T00:00:00"/>
    <x v="0"/>
    <s v="CTR - ZONA CENTRO"/>
    <s v="CONC - CONCESIONARIOS"/>
    <n v="2"/>
    <x v="0"/>
    <n v="2"/>
    <x v="0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0"/>
    <d v="2017-08-01T00:00:00"/>
    <x v="0"/>
    <s v="CTR - ZONA CENTRO"/>
    <s v="CONC - CONCESIONARIOS"/>
    <n v="3"/>
    <x v="0"/>
    <n v="3"/>
    <x v="0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0"/>
    <d v="2017-08-01T00:00:00"/>
    <x v="0"/>
    <s v="CTR - ZONA CENTRO"/>
    <s v="CONC - CONCESIONARIOS"/>
    <n v="4"/>
    <x v="0"/>
    <n v="4"/>
    <x v="0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0"/>
    <d v="2017-08-01T00:00:00"/>
    <x v="0"/>
    <s v="CTR - ZONA CENTRO"/>
    <s v="CONC - CONCESIONARIOS"/>
    <n v="5"/>
    <x v="0"/>
    <n v="5"/>
    <x v="0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0"/>
    <d v="2017-08-01T00:00:00"/>
    <x v="0"/>
    <s v="CTR - ZONA CENTRO"/>
    <s v="CONC - CONCESIONARIOS"/>
    <n v="1"/>
    <x v="0"/>
    <n v="1"/>
    <x v="0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0"/>
    <d v="2017-08-01T00:00:00"/>
    <x v="0"/>
    <s v="CTR - ZONA CENTRO"/>
    <s v="CONC - CONCESIONARIOS"/>
    <n v="1"/>
    <x v="0"/>
    <n v="1"/>
    <x v="0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0"/>
    <d v="2017-08-01T00:00:00"/>
    <x v="0"/>
    <s v="CTR - ZONA CENTRO"/>
    <s v="CONC - CONCESIONARIOS"/>
    <n v="1"/>
    <x v="0"/>
    <n v="1"/>
    <x v="0"/>
    <x v="7"/>
    <x v="1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0"/>
    <d v="2017-08-01T00:00:00"/>
    <x v="0"/>
    <s v="CTR - ZONA CENTRO"/>
    <s v="CONC - CONCESIONARIOS"/>
    <n v="1"/>
    <x v="0"/>
    <n v="1"/>
    <x v="0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0"/>
    <d v="2017-08-01T00:00:00"/>
    <x v="0"/>
    <s v="CTR - ZONA CENTRO"/>
    <s v="CONC - CONCESIONARIOS"/>
    <n v="1"/>
    <x v="0"/>
    <n v="1"/>
    <x v="0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0"/>
    <d v="2017-08-01T00:00:00"/>
    <x v="0"/>
    <s v="CTR - ZONA CENTRO"/>
    <s v="CONC - CONCESIONARIOS"/>
    <n v="4"/>
    <x v="0"/>
    <n v="4"/>
    <x v="0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1"/>
    <d v="2017-08-01T00:00:00"/>
    <x v="0"/>
    <s v="CTR - ZONA CENTRO"/>
    <s v="CONC - CONCESIONARIOS"/>
    <n v="2"/>
    <x v="0"/>
    <n v="2"/>
    <x v="1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1"/>
    <d v="2017-08-01T00:00:00"/>
    <x v="0"/>
    <s v="CTR - ZONA CENTRO"/>
    <s v="CONC - CONCESIONARIOS"/>
    <n v="2"/>
    <x v="0"/>
    <n v="2"/>
    <x v="1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1"/>
    <d v="2017-08-01T00:00:00"/>
    <x v="0"/>
    <s v="CTR - ZONA CENTRO"/>
    <s v="CONC - CONCESIONARIOS"/>
    <n v="4"/>
    <x v="0"/>
    <n v="4"/>
    <x v="1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1"/>
    <d v="2017-08-01T00:00:00"/>
    <x v="0"/>
    <s v="CTR - ZONA CENTRO"/>
    <s v="CONC - CONCESIONARIOS"/>
    <n v="5"/>
    <x v="0"/>
    <n v="5"/>
    <x v="1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1"/>
    <d v="2017-08-01T00:00:00"/>
    <x v="0"/>
    <s v="CTR - ZONA CENTRO"/>
    <s v="CONC - CONCESIONARIOS"/>
    <n v="1"/>
    <x v="0"/>
    <n v="1"/>
    <x v="1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1"/>
    <d v="2017-08-01T00:00:00"/>
    <x v="0"/>
    <s v="CTR - ZONA CENTRO"/>
    <s v="CONC - CONCESIONARIOS"/>
    <n v="1"/>
    <x v="0"/>
    <n v="1"/>
    <x v="1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1"/>
    <d v="2017-08-01T00:00:00"/>
    <x v="0"/>
    <s v="CTR - ZONA CENTRO"/>
    <s v="CONC - CONCESIONARIOS"/>
    <n v="1"/>
    <x v="0"/>
    <n v="1"/>
    <x v="1"/>
    <x v="7"/>
    <x v="11"/>
    <m/>
    <x v="0"/>
    <x v="0"/>
    <n v="3941176"/>
    <m/>
    <s v="NO TIENE CUPO"/>
    <n v="0"/>
    <x v="0"/>
    <x v="0"/>
    <x v="7"/>
    <x v="0"/>
    <n v="0"/>
    <x v="0"/>
    <x v="0"/>
    <s v="WAVE 110S                                         BLANCO   "/>
    <e v="#N/A"/>
    <s v=""/>
  </r>
  <r>
    <x v="1"/>
    <d v="2017-08-01T00:00:00"/>
    <x v="0"/>
    <s v="CTR - ZONA CENTRO"/>
    <s v="CONC - CONCESIONARIOS"/>
    <n v="1"/>
    <x v="0"/>
    <n v="1"/>
    <x v="1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1"/>
    <d v="2017-08-01T00:00:00"/>
    <x v="0"/>
    <s v="CTR - ZONA CENTRO"/>
    <s v="CONC - CONCESIONARIOS"/>
    <n v="1"/>
    <x v="0"/>
    <n v="1"/>
    <x v="1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1"/>
    <d v="2017-08-01T00:00:00"/>
    <x v="0"/>
    <s v="CTR - ZONA CENTRO"/>
    <s v="CONC - CONCESIONARIOS"/>
    <n v="1"/>
    <x v="0"/>
    <n v="1"/>
    <x v="1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1"/>
    <d v="2017-08-01T00:00:00"/>
    <x v="0"/>
    <s v="CTR - ZONA CENTRO"/>
    <s v="CONC - CONCESIONARIOS"/>
    <n v="4"/>
    <x v="0"/>
    <n v="4"/>
    <x v="1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2"/>
    <d v="2017-08-01T00:00:00"/>
    <x v="0"/>
    <s v="CTR - ZONA CENTRO"/>
    <s v="CONC - CONCESIONARIOS"/>
    <n v="1"/>
    <x v="0"/>
    <n v="1"/>
    <x v="2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2"/>
    <d v="2017-08-01T00:00:00"/>
    <x v="0"/>
    <s v="CTR - ZONA CENTRO"/>
    <s v="CONC - CONCESIONARIOS"/>
    <n v="4"/>
    <x v="0"/>
    <n v="4"/>
    <x v="2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2"/>
    <d v="2017-08-01T00:00:00"/>
    <x v="0"/>
    <s v="CTR - ZONA CENTRO"/>
    <s v="CONC - CONCESIONARIOS"/>
    <n v="5"/>
    <x v="0"/>
    <n v="5"/>
    <x v="2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2"/>
    <d v="2017-08-01T00:00:00"/>
    <x v="0"/>
    <s v="CTR - ZONA CENTRO"/>
    <s v="CONC - CONCESIONARIOS"/>
    <n v="1"/>
    <x v="0"/>
    <n v="1"/>
    <x v="2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2"/>
    <d v="2017-08-01T00:00:00"/>
    <x v="0"/>
    <s v="CTR - ZONA CENTRO"/>
    <s v="CONC - CONCESIONARIOS"/>
    <n v="1"/>
    <x v="0"/>
    <n v="1"/>
    <x v="2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2"/>
    <d v="2017-08-01T00:00:00"/>
    <x v="0"/>
    <s v="CTR - ZONA CENTRO"/>
    <s v="CONC - CONCESIONARIOS"/>
    <n v="1"/>
    <x v="0"/>
    <n v="1"/>
    <x v="2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2"/>
    <d v="2017-08-01T00:00:00"/>
    <x v="0"/>
    <s v="CTR - ZONA CENTRO"/>
    <s v="CONC - CONCESIONARIOS"/>
    <n v="1"/>
    <x v="0"/>
    <n v="1"/>
    <x v="2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2"/>
    <d v="2017-08-01T00:00:00"/>
    <x v="0"/>
    <s v="CTR - ZONA CENTRO"/>
    <s v="CONC - CONCESIONARIOS"/>
    <n v="3"/>
    <x v="0"/>
    <n v="3"/>
    <x v="2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3"/>
    <d v="2017-08-01T00:00:00"/>
    <x v="0"/>
    <s v="CTR - ZONA CENTRO"/>
    <s v="CONC - CONCESIONARIOS"/>
    <n v="1"/>
    <x v="0"/>
    <n v="1"/>
    <x v="3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3"/>
    <d v="2017-08-01T00:00:00"/>
    <x v="0"/>
    <s v="CTR - ZONA CENTRO"/>
    <s v="CONC - CONCESIONARIOS"/>
    <n v="1"/>
    <x v="0"/>
    <n v="1"/>
    <x v="3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3"/>
    <d v="2017-08-01T00:00:00"/>
    <x v="0"/>
    <s v="CTR - ZONA CENTRO"/>
    <s v="CONC - CONCESIONARIOS"/>
    <n v="1"/>
    <x v="0"/>
    <n v="1"/>
    <x v="3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3"/>
    <d v="2017-08-01T00:00:00"/>
    <x v="0"/>
    <s v="CTR - ZONA CENTRO"/>
    <s v="CONC - CONCESIONARIOS"/>
    <n v="1"/>
    <x v="0"/>
    <n v="1"/>
    <x v="3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3"/>
    <d v="2017-08-01T00:00:00"/>
    <x v="0"/>
    <s v="CTR - ZONA CENTRO"/>
    <s v="CONC - CONCESIONARIOS"/>
    <n v="3"/>
    <x v="0"/>
    <n v="3"/>
    <x v="3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4"/>
    <d v="2017-08-01T00:00:00"/>
    <x v="0"/>
    <s v="CTR - ZONA CENTRO"/>
    <s v="CONC - CONCESIONARIOS"/>
    <n v="1"/>
    <x v="0"/>
    <n v="1"/>
    <x v="4"/>
    <x v="2"/>
    <x v="13"/>
    <m/>
    <x v="1"/>
    <x v="0"/>
    <n v="5789916"/>
    <m/>
    <s v="NO TIENE CUPO"/>
    <n v="0"/>
    <x v="0"/>
    <x v="1"/>
    <x v="8"/>
    <x v="0"/>
    <n v="0"/>
    <x v="0"/>
    <x v="0"/>
    <s v="*XR 150L                                          NEGRO BLA"/>
    <e v="#N/A"/>
    <s v=""/>
  </r>
  <r>
    <x v="4"/>
    <d v="2017-08-01T00:00:00"/>
    <x v="0"/>
    <s v="CTR - ZONA CENTRO"/>
    <s v="CONC - CONCESIONARIOS"/>
    <n v="1"/>
    <x v="0"/>
    <n v="1"/>
    <x v="4"/>
    <x v="8"/>
    <x v="7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ROJO SPOR"/>
    <e v="#N/A"/>
    <s v=""/>
  </r>
  <r>
    <x v="4"/>
    <d v="2017-08-01T00:00:00"/>
    <x v="0"/>
    <s v="CTR - ZONA CENTRO"/>
    <s v="CONC - CONCESIONARIOS"/>
    <n v="1"/>
    <x v="0"/>
    <n v="1"/>
    <x v="4"/>
    <x v="8"/>
    <x v="8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NEGRO PER"/>
    <e v="#N/A"/>
    <s v=""/>
  </r>
  <r>
    <x v="4"/>
    <d v="2017-08-01T00:00:00"/>
    <x v="0"/>
    <s v="CTR - ZONA CENTRO"/>
    <s v="CONC - CONCESIONARIOS"/>
    <n v="4"/>
    <x v="0"/>
    <n v="4"/>
    <x v="4"/>
    <x v="9"/>
    <x v="1"/>
    <m/>
    <x v="1"/>
    <x v="0"/>
    <n v="3696639"/>
    <m/>
    <s v="NO TIENE CUPO"/>
    <n v="0"/>
    <x v="0"/>
    <x v="1"/>
    <x v="2"/>
    <x v="0"/>
    <n v="0"/>
    <x v="0"/>
    <x v="0"/>
    <s v="CB 110 DLX                                        NEGRO    "/>
    <e v="#N/A"/>
    <s v=""/>
  </r>
  <r>
    <x v="5"/>
    <d v="2017-08-01T00:00:00"/>
    <x v="0"/>
    <s v="CTR - ZONA CENTRO"/>
    <s v="CONC - CONCESIONARIOS"/>
    <n v="2"/>
    <x v="0"/>
    <n v="2"/>
    <x v="5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5"/>
    <d v="2017-08-01T00:00:00"/>
    <x v="0"/>
    <s v="CTR - ZONA CENTRO"/>
    <s v="CONC - CONCESIONARIOS"/>
    <n v="1"/>
    <x v="0"/>
    <n v="1"/>
    <x v="5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5"/>
    <d v="2017-08-01T00:00:00"/>
    <x v="0"/>
    <s v="CTR - ZONA CENTRO"/>
    <s v="CONC - CONCESIONARIOS"/>
    <n v="2"/>
    <x v="0"/>
    <n v="2"/>
    <x v="5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5"/>
    <d v="2017-08-01T00:00:00"/>
    <x v="0"/>
    <s v="CTR - ZONA CENTRO"/>
    <s v="CONC - CONCESIONARIOS"/>
    <n v="4"/>
    <x v="0"/>
    <n v="4"/>
    <x v="5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5"/>
    <d v="2017-08-01T00:00:00"/>
    <x v="0"/>
    <s v="CTR - ZONA CENTRO"/>
    <s v="CONC - CONCESIONARIOS"/>
    <n v="5"/>
    <x v="0"/>
    <n v="5"/>
    <x v="5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5"/>
    <d v="2017-08-01T00:00:00"/>
    <x v="0"/>
    <s v="CTR - ZONA CENTRO"/>
    <s v="CONC - CONCESIONARIOS"/>
    <n v="1"/>
    <x v="0"/>
    <n v="1"/>
    <x v="5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5"/>
    <d v="2017-08-01T00:00:00"/>
    <x v="0"/>
    <s v="CTR - ZONA CENTRO"/>
    <s v="CONC - CONCESIONARIOS"/>
    <n v="1"/>
    <x v="0"/>
    <n v="1"/>
    <x v="5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5"/>
    <d v="2017-08-01T00:00:00"/>
    <x v="0"/>
    <s v="CTR - ZONA CENTRO"/>
    <s v="CONC - CONCESIONARIOS"/>
    <n v="1"/>
    <x v="0"/>
    <n v="1"/>
    <x v="5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5"/>
    <d v="2017-08-01T00:00:00"/>
    <x v="0"/>
    <s v="CTR - ZONA CENTRO"/>
    <s v="CONC - CONCESIONARIOS"/>
    <n v="1"/>
    <x v="0"/>
    <n v="1"/>
    <x v="5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5"/>
    <d v="2017-08-01T00:00:00"/>
    <x v="0"/>
    <s v="CTR - ZONA CENTRO"/>
    <s v="CONC - CONCESIONARIOS"/>
    <n v="3"/>
    <x v="0"/>
    <n v="3"/>
    <x v="5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6"/>
    <d v="2017-08-01T00:00:00"/>
    <x v="0"/>
    <s v="CTR - ZONA CENTRO"/>
    <s v="CONC - CONCESIONARIOS"/>
    <n v="1"/>
    <x v="0"/>
    <n v="1"/>
    <x v="6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6"/>
    <d v="2017-08-01T00:00:00"/>
    <x v="0"/>
    <s v="CTR - ZONA CENTRO"/>
    <s v="CONC - CONCESIONARIOS"/>
    <n v="1"/>
    <x v="0"/>
    <n v="1"/>
    <x v="6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6"/>
    <d v="2017-08-01T00:00:00"/>
    <x v="0"/>
    <s v="CTR - ZONA CENTRO"/>
    <s v="CONC - CONCESIONARIOS"/>
    <n v="5"/>
    <x v="0"/>
    <n v="5"/>
    <x v="6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6"/>
    <d v="2017-08-01T00:00:00"/>
    <x v="0"/>
    <s v="CTR - ZONA CENTRO"/>
    <s v="CONC - CONCESIONARIOS"/>
    <n v="1"/>
    <x v="0"/>
    <n v="1"/>
    <x v="6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6"/>
    <d v="2017-08-01T00:00:00"/>
    <x v="0"/>
    <s v="CTR - ZONA CENTRO"/>
    <s v="CONC - CONCESIONARIOS"/>
    <n v="1"/>
    <x v="0"/>
    <n v="1"/>
    <x v="6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6"/>
    <d v="2017-08-01T00:00:00"/>
    <x v="0"/>
    <s v="CTR - ZONA CENTRO"/>
    <s v="CONC - CONCESIONARIOS"/>
    <n v="2"/>
    <x v="0"/>
    <n v="2"/>
    <x v="6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1"/>
    <x v="7"/>
    <m/>
    <x v="2"/>
    <x v="1"/>
    <n v="3360504"/>
    <m/>
    <n v="3500000"/>
    <n v="0"/>
    <x v="0"/>
    <x v="2"/>
    <x v="9"/>
    <x v="0"/>
    <n v="0"/>
    <x v="0"/>
    <x v="0"/>
    <s v="*CB-110    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1"/>
    <x v="1"/>
    <m/>
    <x v="2"/>
    <x v="1"/>
    <n v="3360504"/>
    <m/>
    <n v="3500000"/>
    <n v="0"/>
    <x v="0"/>
    <x v="2"/>
    <x v="1"/>
    <x v="0"/>
    <n v="0"/>
    <x v="0"/>
    <x v="0"/>
    <s v="*CB-110                                           NEGRO    "/>
    <e v="#N/A"/>
    <s v=""/>
  </r>
  <r>
    <x v="7"/>
    <d v="2017-08-01T00:00:00"/>
    <x v="1"/>
    <s v="SURO - SUR OCCIDENTE"/>
    <s v="DIST - DISTRIBUIDORES"/>
    <n v="2"/>
    <x v="1"/>
    <n v="2"/>
    <x v="7"/>
    <x v="1"/>
    <x v="14"/>
    <m/>
    <x v="2"/>
    <x v="1"/>
    <n v="3360504"/>
    <m/>
    <n v="3500000"/>
    <n v="0"/>
    <x v="0"/>
    <x v="2"/>
    <x v="10"/>
    <x v="0"/>
    <n v="0"/>
    <x v="0"/>
    <x v="0"/>
    <s v="*CB-110                                           AZUL FIJI"/>
    <e v="#N/A"/>
    <s v=""/>
  </r>
  <r>
    <x v="7"/>
    <d v="2017-08-01T00:00:00"/>
    <x v="1"/>
    <s v="SURO - SUR OCCIDENTE"/>
    <s v="DIST - DISTRIBUIDORES"/>
    <n v="1"/>
    <x v="1"/>
    <n v="1"/>
    <x v="7"/>
    <x v="2"/>
    <x v="15"/>
    <m/>
    <x v="2"/>
    <x v="1"/>
    <n v="5789916"/>
    <m/>
    <n v="3500000"/>
    <n v="0"/>
    <x v="0"/>
    <x v="2"/>
    <x v="11"/>
    <x v="0"/>
    <n v="0"/>
    <x v="0"/>
    <x v="0"/>
    <s v="*XR 150L                                          NEGRO ROJ"/>
    <e v="#N/A"/>
    <s v=""/>
  </r>
  <r>
    <x v="7"/>
    <d v="2017-08-01T00:00:00"/>
    <x v="1"/>
    <s v="SURO - SUR OCCIDENTE"/>
    <s v="DIST - DISTRIBUIDORES"/>
    <n v="1"/>
    <x v="1"/>
    <n v="1"/>
    <x v="7"/>
    <x v="2"/>
    <x v="1"/>
    <m/>
    <x v="2"/>
    <x v="1"/>
    <n v="5789916"/>
    <m/>
    <n v="3500000"/>
    <n v="0"/>
    <x v="0"/>
    <x v="2"/>
    <x v="2"/>
    <x v="0"/>
    <n v="0"/>
    <x v="0"/>
    <x v="0"/>
    <s v="*XR 150L 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3"/>
    <x v="3"/>
    <m/>
    <x v="2"/>
    <x v="1"/>
    <n v="7554622"/>
    <m/>
    <n v="3500000"/>
    <n v="0"/>
    <x v="0"/>
    <x v="2"/>
    <x v="0"/>
    <x v="0"/>
    <n v="0"/>
    <x v="0"/>
    <x v="0"/>
    <s v="CB 190R                                           NEGRO ONI"/>
    <e v="#N/A"/>
    <s v=""/>
  </r>
  <r>
    <x v="7"/>
    <d v="2017-08-01T00:00:00"/>
    <x v="1"/>
    <s v="SURO - SUR OCCIDENTE"/>
    <s v="DIST - DISTRIBUIDORES"/>
    <n v="1"/>
    <x v="1"/>
    <n v="1"/>
    <x v="7"/>
    <x v="11"/>
    <x v="13"/>
    <m/>
    <x v="2"/>
    <x v="1"/>
    <n v="3521008"/>
    <m/>
    <n v="3500000"/>
    <n v="0"/>
    <x v="0"/>
    <x v="2"/>
    <x v="12"/>
    <x v="0"/>
    <n v="0"/>
    <x v="0"/>
    <x v="0"/>
    <s v="DIO 110                                           NEGRO BLA"/>
    <e v="#N/A"/>
    <s v=""/>
  </r>
  <r>
    <x v="7"/>
    <d v="2017-08-01T00:00:00"/>
    <x v="1"/>
    <s v="SURO - SUR OCCIDENTE"/>
    <s v="DIST - DISTRIBUIDORES"/>
    <n v="1"/>
    <x v="1"/>
    <n v="1"/>
    <x v="7"/>
    <x v="5"/>
    <x v="8"/>
    <m/>
    <x v="2"/>
    <x v="1"/>
    <n v="6133613"/>
    <m/>
    <n v="3500000"/>
    <n v="0"/>
    <x v="0"/>
    <x v="2"/>
    <x v="0"/>
    <x v="0"/>
    <n v="0"/>
    <x v="0"/>
    <x v="0"/>
    <s v="CB 160F DLX                                       NEGRO PER"/>
    <e v="#N/A"/>
    <s v=""/>
  </r>
  <r>
    <x v="7"/>
    <d v="2017-08-01T00:00:00"/>
    <x v="1"/>
    <s v="SURO - SUR OCCIDENTE"/>
    <s v="DIST - DISTRIBUIDORES"/>
    <n v="1"/>
    <x v="1"/>
    <n v="1"/>
    <x v="7"/>
    <x v="5"/>
    <x v="7"/>
    <m/>
    <x v="2"/>
    <x v="1"/>
    <n v="6133613"/>
    <m/>
    <n v="3500000"/>
    <n v="0"/>
    <x v="0"/>
    <x v="2"/>
    <x v="13"/>
    <x v="0"/>
    <n v="0"/>
    <x v="0"/>
    <x v="0"/>
    <s v="CB 160F DLX                                       ROJO SPOR"/>
    <e v="#N/A"/>
    <s v=""/>
  </r>
  <r>
    <x v="7"/>
    <d v="2017-08-01T00:00:00"/>
    <x v="1"/>
    <s v="SURO - SUR OCCIDENTE"/>
    <s v="DIST - DISTRIBUIDORES"/>
    <n v="1"/>
    <x v="1"/>
    <n v="1"/>
    <x v="7"/>
    <x v="6"/>
    <x v="6"/>
    <m/>
    <x v="2"/>
    <x v="1"/>
    <n v="3521008"/>
    <m/>
    <n v="3500000"/>
    <n v="0"/>
    <x v="0"/>
    <x v="2"/>
    <x v="0"/>
    <x v="0"/>
    <n v="0"/>
    <x v="0"/>
    <x v="0"/>
    <s v="DIO  110 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6"/>
    <x v="16"/>
    <m/>
    <x v="2"/>
    <x v="1"/>
    <n v="3521008"/>
    <m/>
    <n v="3500000"/>
    <n v="0"/>
    <x v="0"/>
    <x v="2"/>
    <x v="0"/>
    <x v="0"/>
    <n v="0"/>
    <x v="0"/>
    <x v="0"/>
    <s v="DIO  110                                          AZUL     "/>
    <e v="#N/A"/>
    <s v=""/>
  </r>
  <r>
    <x v="7"/>
    <d v="2017-08-01T00:00:00"/>
    <x v="1"/>
    <s v="SURO - SUR OCCIDENTE"/>
    <s v="DIST - DISTRIBUIDORES"/>
    <n v="1"/>
    <x v="1"/>
    <n v="1"/>
    <x v="7"/>
    <x v="7"/>
    <x v="6"/>
    <m/>
    <x v="2"/>
    <x v="1"/>
    <n v="3941176"/>
    <m/>
    <n v="3500000"/>
    <n v="0"/>
    <x v="0"/>
    <x v="2"/>
    <x v="0"/>
    <x v="0"/>
    <n v="0"/>
    <x v="0"/>
    <x v="0"/>
    <s v="WAVE 110S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7"/>
    <x v="1"/>
    <m/>
    <x v="2"/>
    <x v="1"/>
    <n v="3941176"/>
    <m/>
    <n v="3500000"/>
    <n v="0"/>
    <x v="0"/>
    <x v="2"/>
    <x v="0"/>
    <x v="0"/>
    <n v="0"/>
    <x v="0"/>
    <x v="0"/>
    <s v="WAVE 110S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8"/>
    <x v="7"/>
    <m/>
    <x v="2"/>
    <x v="1"/>
    <n v="5453782"/>
    <m/>
    <n v="3500000"/>
    <n v="0"/>
    <x v="0"/>
    <x v="2"/>
    <x v="0"/>
    <x v="0"/>
    <n v="0"/>
    <x v="0"/>
    <x v="0"/>
    <s v="CB 160F STD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8"/>
    <x v="8"/>
    <m/>
    <x v="2"/>
    <x v="1"/>
    <n v="5453782"/>
    <m/>
    <n v="3500000"/>
    <n v="0"/>
    <x v="0"/>
    <x v="2"/>
    <x v="0"/>
    <x v="0"/>
    <n v="0"/>
    <x v="0"/>
    <x v="0"/>
    <s v="CB 160F STD                                       NEGRO PER"/>
    <e v="#N/A"/>
    <s v=""/>
  </r>
  <r>
    <x v="7"/>
    <d v="2017-08-01T00:00:00"/>
    <x v="1"/>
    <s v="SURO - SUR OCCIDENTE"/>
    <s v="DIST - DISTRIBUIDORES"/>
    <n v="2"/>
    <x v="1"/>
    <n v="2"/>
    <x v="7"/>
    <x v="9"/>
    <x v="16"/>
    <m/>
    <x v="2"/>
    <x v="1"/>
    <n v="3696639"/>
    <m/>
    <n v="3500000"/>
    <n v="0"/>
    <x v="0"/>
    <x v="2"/>
    <x v="14"/>
    <x v="0"/>
    <n v="0"/>
    <x v="0"/>
    <x v="0"/>
    <s v="CB 110 DLX                                        AZUL     "/>
    <e v="#N/A"/>
    <s v=""/>
  </r>
  <r>
    <x v="7"/>
    <d v="2017-08-01T00:00:00"/>
    <x v="1"/>
    <s v="SURO - SUR OCCIDENTE"/>
    <s v="DIST - DISTRIBUIDORES"/>
    <n v="2"/>
    <x v="1"/>
    <n v="2"/>
    <x v="7"/>
    <x v="9"/>
    <x v="1"/>
    <m/>
    <x v="2"/>
    <x v="1"/>
    <n v="3696639"/>
    <m/>
    <n v="3500000"/>
    <n v="0"/>
    <x v="0"/>
    <x v="2"/>
    <x v="2"/>
    <x v="0"/>
    <n v="0"/>
    <x v="0"/>
    <x v="0"/>
    <s v="CB 110 DLX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5"/>
    <x v="8"/>
    <m/>
    <x v="3"/>
    <x v="2"/>
    <n v="6133613"/>
    <m/>
    <n v="0"/>
    <n v="57197673"/>
    <x v="0"/>
    <x v="3"/>
    <x v="0"/>
    <x v="0"/>
    <n v="0"/>
    <x v="0"/>
    <x v="0"/>
    <s v="CB 160F DLX                                       NEGRO PER"/>
    <e v="#N/A"/>
    <s v=""/>
  </r>
  <r>
    <x v="8"/>
    <d v="2017-08-01T00:00:00"/>
    <x v="0"/>
    <s v="SURO - SUR OCCIDENTE"/>
    <s v="DIST - DISTRIBUIDORES"/>
    <n v="3"/>
    <x v="2"/>
    <n v="3"/>
    <x v="8"/>
    <x v="7"/>
    <x v="1"/>
    <m/>
    <x v="3"/>
    <x v="2"/>
    <n v="3941176"/>
    <m/>
    <n v="0"/>
    <n v="57197673"/>
    <x v="0"/>
    <x v="3"/>
    <x v="0"/>
    <x v="0"/>
    <n v="0"/>
    <x v="0"/>
    <x v="0"/>
    <s v="WAVE 110S 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7"/>
    <x v="11"/>
    <m/>
    <x v="3"/>
    <x v="2"/>
    <n v="3941176"/>
    <m/>
    <n v="0"/>
    <n v="57197673"/>
    <x v="0"/>
    <x v="3"/>
    <x v="7"/>
    <x v="0"/>
    <n v="0"/>
    <x v="0"/>
    <x v="0"/>
    <s v="WAVE 110S                                         BLANCO   "/>
    <e v="#N/A"/>
    <s v=""/>
  </r>
  <r>
    <x v="8"/>
    <d v="2017-08-01T00:00:00"/>
    <x v="0"/>
    <s v="SURO - SUR OCCIDENTE"/>
    <s v="DIST - DISTRIBUIDORES"/>
    <n v="1"/>
    <x v="2"/>
    <n v="1"/>
    <x v="8"/>
    <x v="8"/>
    <x v="8"/>
    <m/>
    <x v="3"/>
    <x v="2"/>
    <n v="5453782"/>
    <m/>
    <n v="0"/>
    <n v="57197673"/>
    <x v="0"/>
    <x v="3"/>
    <x v="0"/>
    <x v="0"/>
    <n v="0"/>
    <x v="0"/>
    <x v="0"/>
    <s v="CB 160F STD                                       NEGRO PER"/>
    <e v="#N/A"/>
    <s v=""/>
  </r>
  <r>
    <x v="8"/>
    <d v="2017-08-01T00:00:00"/>
    <x v="0"/>
    <s v="SURO - SUR OCCIDENTE"/>
    <s v="DIST - DISTRIBUIDORES"/>
    <n v="2"/>
    <x v="2"/>
    <n v="2"/>
    <x v="8"/>
    <x v="9"/>
    <x v="16"/>
    <m/>
    <x v="3"/>
    <x v="2"/>
    <n v="3696639"/>
    <m/>
    <n v="0"/>
    <n v="57197673"/>
    <x v="0"/>
    <x v="3"/>
    <x v="14"/>
    <x v="0"/>
    <n v="0"/>
    <x v="0"/>
    <x v="0"/>
    <s v="CB 110 DLX                                        AZUL     "/>
    <e v="#N/A"/>
    <s v=""/>
  </r>
  <r>
    <x v="8"/>
    <d v="2017-08-01T00:00:00"/>
    <x v="0"/>
    <s v="SURO - SUR OCCIDENTE"/>
    <s v="DIST - DISTRIBUIDORES"/>
    <n v="2"/>
    <x v="2"/>
    <n v="2"/>
    <x v="8"/>
    <x v="9"/>
    <x v="17"/>
    <m/>
    <x v="3"/>
    <x v="2"/>
    <n v="3696639"/>
    <m/>
    <n v="0"/>
    <n v="57197673"/>
    <x v="0"/>
    <x v="3"/>
    <x v="15"/>
    <x v="0"/>
    <n v="0"/>
    <x v="0"/>
    <x v="0"/>
    <s v="CB 110 DLX                                        GRIS     "/>
    <e v="#N/A"/>
    <s v=""/>
  </r>
  <r>
    <x v="8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9"/>
    <d v="2017-08-01T00:00:00"/>
    <x v="0"/>
    <s v="SURO - SUR OCCIDENTE"/>
    <s v="DIST - DISTRIBUIDORES"/>
    <n v="3"/>
    <x v="3"/>
    <n v="3"/>
    <x v="9"/>
    <x v="1"/>
    <x v="18"/>
    <m/>
    <x v="4"/>
    <x v="3"/>
    <n v="3360504"/>
    <m/>
    <n v="2165091"/>
    <n v="0"/>
    <x v="1"/>
    <x v="4"/>
    <x v="15"/>
    <x v="0"/>
    <n v="0"/>
    <x v="0"/>
    <x v="0"/>
    <s v="*CB-110                                           GRIS MET "/>
    <e v="#N/A"/>
    <s v=""/>
  </r>
  <r>
    <x v="9"/>
    <d v="2017-08-01T00:00:00"/>
    <x v="0"/>
    <s v="SURO - SUR OCCIDENTE"/>
    <s v="DIST - DISTRIBUIDORES"/>
    <n v="3"/>
    <x v="3"/>
    <n v="3"/>
    <x v="9"/>
    <x v="9"/>
    <x v="16"/>
    <m/>
    <x v="4"/>
    <x v="3"/>
    <n v="3696639"/>
    <m/>
    <n v="2165091"/>
    <n v="0"/>
    <x v="1"/>
    <x v="4"/>
    <x v="14"/>
    <x v="0"/>
    <n v="0"/>
    <x v="0"/>
    <x v="0"/>
    <s v="CB 110 DLX                                        AZUL     "/>
    <e v="#N/A"/>
    <s v=""/>
  </r>
  <r>
    <x v="9"/>
    <d v="2017-08-01T00:00:00"/>
    <x v="0"/>
    <s v="SURO - SUR OCCIDENTE"/>
    <s v="DIST - DISTRIBUIDORES"/>
    <n v="4"/>
    <x v="3"/>
    <n v="4"/>
    <x v="9"/>
    <x v="9"/>
    <x v="17"/>
    <m/>
    <x v="4"/>
    <x v="3"/>
    <n v="3696639"/>
    <m/>
    <n v="2165091"/>
    <n v="0"/>
    <x v="1"/>
    <x v="4"/>
    <x v="15"/>
    <x v="0"/>
    <n v="0"/>
    <x v="0"/>
    <x v="0"/>
    <s v="CB 110 DLX                                        GRIS     "/>
    <e v="#N/A"/>
    <s v=""/>
  </r>
  <r>
    <x v="9"/>
    <d v="2017-08-01T00:00:00"/>
    <x v="0"/>
    <s v="SURO - SUR OCCIDENTE"/>
    <s v="DIST - DISTRIBUIDORES"/>
    <n v="5"/>
    <x v="3"/>
    <n v="5"/>
    <x v="9"/>
    <x v="9"/>
    <x v="1"/>
    <m/>
    <x v="4"/>
    <x v="3"/>
    <n v="3696639"/>
    <m/>
    <n v="2165091"/>
    <n v="0"/>
    <x v="1"/>
    <x v="4"/>
    <x v="2"/>
    <x v="0"/>
    <n v="0"/>
    <x v="0"/>
    <x v="0"/>
    <s v="CB 110 DLX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8"/>
    <m/>
    <x v="5"/>
    <x v="4"/>
    <n v="3360504"/>
    <m/>
    <n v="3321835"/>
    <n v="300000000"/>
    <x v="0"/>
    <x v="5"/>
    <x v="15"/>
    <x v="0"/>
    <n v="0"/>
    <x v="0"/>
    <x v="0"/>
    <s v="*CB-110                                           GRIS MET "/>
    <e v="#N/A"/>
    <s v=""/>
  </r>
  <r>
    <x v="10"/>
    <d v="2017-08-01T00:00:00"/>
    <x v="0"/>
    <s v="SURO - SUR OCCIDENTE"/>
    <s v="DIST - DISTRIBUIDORES"/>
    <n v="1"/>
    <x v="4"/>
    <n v="1"/>
    <x v="10"/>
    <x v="1"/>
    <x v="7"/>
    <m/>
    <x v="5"/>
    <x v="4"/>
    <n v="3360504"/>
    <m/>
    <n v="3321835"/>
    <n v="300000000"/>
    <x v="0"/>
    <x v="5"/>
    <x v="9"/>
    <x v="0"/>
    <n v="0"/>
    <x v="0"/>
    <x v="0"/>
    <s v="*CB-110                                           ROJO SPOR"/>
    <e v="#N/A"/>
    <s v=""/>
  </r>
  <r>
    <x v="10"/>
    <d v="2017-08-01T00:00:00"/>
    <x v="0"/>
    <s v="SURO - SUR OCCIDENTE"/>
    <s v="DIST - DISTRIBUIDORES"/>
    <n v="1"/>
    <x v="4"/>
    <n v="1"/>
    <x v="10"/>
    <x v="1"/>
    <x v="1"/>
    <m/>
    <x v="5"/>
    <x v="4"/>
    <n v="3360504"/>
    <m/>
    <n v="3321835"/>
    <n v="300000000"/>
    <x v="0"/>
    <x v="5"/>
    <x v="1"/>
    <x v="0"/>
    <n v="0"/>
    <x v="0"/>
    <x v="0"/>
    <s v="*CB-110 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4"/>
    <m/>
    <x v="5"/>
    <x v="4"/>
    <n v="3360504"/>
    <m/>
    <n v="3321835"/>
    <n v="300000000"/>
    <x v="0"/>
    <x v="5"/>
    <x v="10"/>
    <x v="0"/>
    <n v="0"/>
    <x v="0"/>
    <x v="0"/>
    <s v="*CB-110                                           AZUL FIJI"/>
    <e v="#N/A"/>
    <s v=""/>
  </r>
  <r>
    <x v="10"/>
    <d v="2017-08-01T00:00:00"/>
    <x v="0"/>
    <s v="SURO - SUR OCCIDENTE"/>
    <s v="DIST - DISTRIBUIDORES"/>
    <n v="1"/>
    <x v="4"/>
    <n v="1"/>
    <x v="10"/>
    <x v="12"/>
    <x v="19"/>
    <m/>
    <x v="5"/>
    <x v="4"/>
    <n v="3588235"/>
    <m/>
    <n v="3321835"/>
    <n v="300000000"/>
    <x v="0"/>
    <x v="5"/>
    <x v="16"/>
    <x v="0"/>
    <n v="0"/>
    <x v="0"/>
    <x v="0"/>
    <s v="*CB1 PRO                                          PEARL PRO"/>
    <e v="#N/A"/>
    <s v=""/>
  </r>
  <r>
    <x v="10"/>
    <d v="2017-08-01T00:00:00"/>
    <x v="0"/>
    <s v="SURO - SUR OCCIDENTE"/>
    <s v="DIST - DISTRIBUIDORES"/>
    <n v="3"/>
    <x v="4"/>
    <n v="3"/>
    <x v="10"/>
    <x v="2"/>
    <x v="13"/>
    <m/>
    <x v="5"/>
    <x v="4"/>
    <n v="5789916"/>
    <m/>
    <n v="3321835"/>
    <n v="300000000"/>
    <x v="0"/>
    <x v="5"/>
    <x v="8"/>
    <x v="0"/>
    <n v="0"/>
    <x v="0"/>
    <x v="0"/>
    <s v="*XR 150L                                          NEGRO BLA"/>
    <e v="#N/A"/>
    <s v=""/>
  </r>
  <r>
    <x v="10"/>
    <d v="2017-08-01T00:00:00"/>
    <x v="0"/>
    <s v="SURO - SUR OCCIDENTE"/>
    <s v="DIST - DISTRIBUIDORES"/>
    <n v="2"/>
    <x v="4"/>
    <n v="2"/>
    <x v="10"/>
    <x v="2"/>
    <x v="1"/>
    <m/>
    <x v="5"/>
    <x v="4"/>
    <n v="5789916"/>
    <m/>
    <n v="3321835"/>
    <n v="300000000"/>
    <x v="0"/>
    <x v="5"/>
    <x v="2"/>
    <x v="0"/>
    <n v="0"/>
    <x v="0"/>
    <x v="0"/>
    <s v="*XR 150L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3"/>
    <x v="3"/>
    <m/>
    <x v="5"/>
    <x v="4"/>
    <n v="7554622"/>
    <m/>
    <n v="3321835"/>
    <n v="300000000"/>
    <x v="0"/>
    <x v="5"/>
    <x v="0"/>
    <x v="0"/>
    <n v="0"/>
    <x v="0"/>
    <x v="0"/>
    <s v="CB 190R                                           NEGRO ONI"/>
    <e v="#N/A"/>
    <s v=""/>
  </r>
  <r>
    <x v="10"/>
    <d v="2017-08-01T00:00:00"/>
    <x v="0"/>
    <s v="SURO - SUR OCCIDENTE"/>
    <s v="DIST - DISTRIBUIDORES"/>
    <n v="2"/>
    <x v="4"/>
    <n v="2"/>
    <x v="10"/>
    <x v="10"/>
    <x v="15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ROJ"/>
    <e v="#N/A"/>
    <s v=""/>
  </r>
  <r>
    <x v="10"/>
    <d v="2017-08-01T00:00:00"/>
    <x v="0"/>
    <s v="SURO - SUR OCCIDENTE"/>
    <s v="DIST - DISTRIBUIDORES"/>
    <n v="1"/>
    <x v="4"/>
    <n v="1"/>
    <x v="10"/>
    <x v="10"/>
    <x v="20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AZU"/>
    <e v="#N/A"/>
    <s v=""/>
  </r>
  <r>
    <x v="10"/>
    <d v="2017-08-01T00:00:00"/>
    <x v="0"/>
    <s v="SURO - SUR OCCIDENTE"/>
    <s v="DIST - DISTRIBUIDORES"/>
    <n v="1"/>
    <x v="4"/>
    <n v="1"/>
    <x v="10"/>
    <x v="10"/>
    <x v="12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ROJO ALFA"/>
    <e v="#N/A"/>
    <s v=""/>
  </r>
  <r>
    <x v="10"/>
    <d v="2017-08-01T00:00:00"/>
    <x v="0"/>
    <s v="SURO - SUR OCCIDENTE"/>
    <s v="DIST - DISTRIBUIDORES"/>
    <n v="1"/>
    <x v="4"/>
    <n v="1"/>
    <x v="10"/>
    <x v="8"/>
    <x v="7"/>
    <m/>
    <x v="5"/>
    <x v="4"/>
    <n v="5453782"/>
    <m/>
    <n v="3321835"/>
    <n v="300000000"/>
    <x v="0"/>
    <x v="5"/>
    <x v="0"/>
    <x v="0"/>
    <n v="0"/>
    <x v="0"/>
    <x v="0"/>
    <s v="CB 160F STD                                       ROJO SPOR"/>
    <e v="#N/A"/>
    <s v=""/>
  </r>
  <r>
    <x v="10"/>
    <d v="2017-08-01T00:00:00"/>
    <x v="0"/>
    <s v="SURO - SUR OCCIDENTE"/>
    <s v="DIST - DISTRIBUIDORES"/>
    <n v="4"/>
    <x v="4"/>
    <n v="4"/>
    <x v="10"/>
    <x v="9"/>
    <x v="16"/>
    <m/>
    <x v="5"/>
    <x v="4"/>
    <n v="3696639"/>
    <m/>
    <n v="3321835"/>
    <n v="300000000"/>
    <x v="0"/>
    <x v="5"/>
    <x v="14"/>
    <x v="1"/>
    <n v="14786556"/>
    <x v="0"/>
    <x v="0"/>
    <s v="CB 110 DLX                                        AZUL     "/>
    <e v="#N/A"/>
    <s v=""/>
  </r>
  <r>
    <x v="10"/>
    <d v="2017-08-01T00:00:00"/>
    <x v="0"/>
    <s v="SURO - SUR OCCIDENTE"/>
    <s v="DIST - DISTRIBUIDORES"/>
    <n v="14"/>
    <x v="4"/>
    <n v="14"/>
    <x v="10"/>
    <x v="9"/>
    <x v="17"/>
    <m/>
    <x v="5"/>
    <x v="4"/>
    <n v="3696639"/>
    <m/>
    <n v="3321835"/>
    <n v="300000000"/>
    <x v="0"/>
    <x v="5"/>
    <x v="15"/>
    <x v="2"/>
    <n v="22179834"/>
    <x v="0"/>
    <x v="0"/>
    <s v="CB 110 DLX                                        GRIS     "/>
    <e v="#N/A"/>
    <s v=""/>
  </r>
  <r>
    <x v="10"/>
    <d v="2017-08-01T00:00:00"/>
    <x v="0"/>
    <s v="SURO - SUR OCCIDENTE"/>
    <s v="DIST - DISTRIBUIDORES"/>
    <n v="14"/>
    <x v="4"/>
    <n v="14"/>
    <x v="10"/>
    <x v="9"/>
    <x v="6"/>
    <m/>
    <x v="5"/>
    <x v="4"/>
    <n v="3696639"/>
    <m/>
    <n v="3321835"/>
    <n v="300000000"/>
    <x v="0"/>
    <x v="5"/>
    <x v="14"/>
    <x v="3"/>
    <n v="3696639"/>
    <x v="0"/>
    <x v="0"/>
    <s v="CB 110 DLX                                        ROJO     "/>
    <e v="#N/A"/>
    <s v=""/>
  </r>
  <r>
    <x v="10"/>
    <d v="2017-08-01T00:00:00"/>
    <x v="0"/>
    <s v="SURO - SUR OCCIDENTE"/>
    <s v="DIST - DISTRIBUIDORES"/>
    <n v="16"/>
    <x v="4"/>
    <n v="16"/>
    <x v="10"/>
    <x v="9"/>
    <x v="1"/>
    <m/>
    <x v="5"/>
    <x v="4"/>
    <n v="3696639"/>
    <m/>
    <n v="3321835"/>
    <n v="300000000"/>
    <x v="0"/>
    <x v="5"/>
    <x v="2"/>
    <x v="4"/>
    <n v="29573112"/>
    <x v="0"/>
    <x v="0"/>
    <s v="CB 110 DLX                                        NEGRO    "/>
    <e v="#N/A"/>
    <s v=""/>
  </r>
  <r>
    <x v="11"/>
    <d v="2017-08-01T00:00:00"/>
    <x v="0"/>
    <s v="SURO - SUR OCCIDENTE"/>
    <s v="DIST - DISTRIBUIDORES"/>
    <n v="1"/>
    <x v="5"/>
    <n v="1"/>
    <x v="11"/>
    <x v="1"/>
    <x v="1"/>
    <m/>
    <x v="6"/>
    <x v="5"/>
    <n v="3360504"/>
    <m/>
    <n v="0"/>
    <n v="0"/>
    <x v="1"/>
    <x v="4"/>
    <x v="1"/>
    <x v="0"/>
    <n v="0"/>
    <x v="0"/>
    <x v="0"/>
    <s v="*CB-110                                           NEGRO    "/>
    <e v="#N/A"/>
    <s v=""/>
  </r>
  <r>
    <x v="11"/>
    <d v="2017-08-01T00:00:00"/>
    <x v="0"/>
    <s v="SURO - SUR OCCIDENTE"/>
    <s v="DIST - DISTRIBUIDORES"/>
    <n v="2"/>
    <x v="5"/>
    <n v="2"/>
    <x v="11"/>
    <x v="1"/>
    <x v="14"/>
    <m/>
    <x v="6"/>
    <x v="5"/>
    <n v="3360504"/>
    <m/>
    <n v="0"/>
    <n v="0"/>
    <x v="1"/>
    <x v="4"/>
    <x v="10"/>
    <x v="0"/>
    <n v="0"/>
    <x v="0"/>
    <x v="0"/>
    <s v="*CB-110                                           AZUL FIJI"/>
    <e v="#N/A"/>
    <s v=""/>
  </r>
  <r>
    <x v="11"/>
    <d v="2017-08-01T00:00:00"/>
    <x v="0"/>
    <s v="SURO - SUR OCCIDENTE"/>
    <s v="DIST - DISTRIBUIDORES"/>
    <n v="1"/>
    <x v="5"/>
    <n v="1"/>
    <x v="11"/>
    <x v="13"/>
    <x v="21"/>
    <m/>
    <x v="6"/>
    <x v="5"/>
    <n v="5168067"/>
    <m/>
    <n v="0"/>
    <n v="0"/>
    <x v="1"/>
    <x v="4"/>
    <x v="17"/>
    <x v="0"/>
    <n v="0"/>
    <x v="0"/>
    <x v="0"/>
    <s v="*INVICTA                                          AZUL NEON"/>
    <e v="#N/A"/>
    <s v=""/>
  </r>
  <r>
    <x v="11"/>
    <d v="2017-08-01T00:00:00"/>
    <x v="0"/>
    <s v="SURO - SUR OCCIDENTE"/>
    <s v="DIST - DISTRIBUIDORES"/>
    <n v="2"/>
    <x v="5"/>
    <n v="2"/>
    <x v="11"/>
    <x v="2"/>
    <x v="13"/>
    <m/>
    <x v="6"/>
    <x v="5"/>
    <n v="5789916"/>
    <m/>
    <n v="0"/>
    <n v="0"/>
    <x v="1"/>
    <x v="4"/>
    <x v="8"/>
    <x v="0"/>
    <n v="0"/>
    <x v="0"/>
    <x v="0"/>
    <s v="*XR 150L                                          NEGRO BLA"/>
    <e v="#N/A"/>
    <s v=""/>
  </r>
  <r>
    <x v="11"/>
    <d v="2017-08-01T00:00:00"/>
    <x v="0"/>
    <s v="SURO - SUR OCCIDENTE"/>
    <s v="DIST - DISTRIBUIDORES"/>
    <n v="2"/>
    <x v="5"/>
    <n v="2"/>
    <x v="11"/>
    <x v="5"/>
    <x v="9"/>
    <m/>
    <x v="6"/>
    <x v="5"/>
    <n v="6133613"/>
    <m/>
    <n v="0"/>
    <n v="0"/>
    <x v="1"/>
    <x v="4"/>
    <x v="18"/>
    <x v="0"/>
    <n v="0"/>
    <x v="0"/>
    <x v="0"/>
    <s v="CB 160F DLX                                       BLANCO PE"/>
    <e v="#N/A"/>
    <s v=""/>
  </r>
  <r>
    <x v="11"/>
    <d v="2017-08-01T00:00:00"/>
    <x v="0"/>
    <s v="SURO - SUR OCCIDENTE"/>
    <s v="DIST - DISTRIBUIDORES"/>
    <n v="4"/>
    <x v="5"/>
    <n v="4"/>
    <x v="11"/>
    <x v="5"/>
    <x v="8"/>
    <m/>
    <x v="6"/>
    <x v="5"/>
    <n v="6133613"/>
    <m/>
    <n v="0"/>
    <n v="0"/>
    <x v="1"/>
    <x v="4"/>
    <x v="0"/>
    <x v="0"/>
    <n v="0"/>
    <x v="0"/>
    <x v="0"/>
    <s v="CB 160F DLX                                       NEGRO PER"/>
    <e v="#N/A"/>
    <s v=""/>
  </r>
  <r>
    <x v="11"/>
    <d v="2017-08-01T00:00:00"/>
    <x v="0"/>
    <s v="SURO - SUR OCCIDENTE"/>
    <s v="DIST - DISTRIBUIDORES"/>
    <n v="2"/>
    <x v="5"/>
    <n v="2"/>
    <x v="11"/>
    <x v="10"/>
    <x v="12"/>
    <m/>
    <x v="6"/>
    <x v="5"/>
    <n v="3067227"/>
    <m/>
    <n v="0"/>
    <n v="0"/>
    <x v="1"/>
    <x v="4"/>
    <x v="0"/>
    <x v="0"/>
    <n v="0"/>
    <x v="0"/>
    <x v="0"/>
    <s v="DREAM  NEO                                        ROJO ALFA"/>
    <e v="#N/A"/>
    <s v=""/>
  </r>
  <r>
    <x v="11"/>
    <d v="2017-08-01T00:00:00"/>
    <x v="0"/>
    <s v="SURO - SUR OCCIDENTE"/>
    <s v="DIST - DISTRIBUIDORES"/>
    <n v="2"/>
    <x v="5"/>
    <n v="2"/>
    <x v="11"/>
    <x v="10"/>
    <x v="15"/>
    <m/>
    <x v="6"/>
    <x v="5"/>
    <n v="3067227"/>
    <m/>
    <n v="0"/>
    <n v="0"/>
    <x v="1"/>
    <x v="4"/>
    <x v="0"/>
    <x v="0"/>
    <n v="0"/>
    <x v="0"/>
    <x v="0"/>
    <s v="DREAM  NEO                                        NEGRO ROJ"/>
    <e v="#N/A"/>
    <s v=""/>
  </r>
  <r>
    <x v="11"/>
    <d v="2017-08-01T00:00:00"/>
    <x v="0"/>
    <s v="SURO - SUR OCCIDENTE"/>
    <s v="DIST - DISTRIBUIDORES"/>
    <n v="2"/>
    <x v="5"/>
    <n v="2"/>
    <x v="11"/>
    <x v="10"/>
    <x v="20"/>
    <m/>
    <x v="6"/>
    <x v="5"/>
    <n v="3067227"/>
    <m/>
    <n v="0"/>
    <n v="0"/>
    <x v="1"/>
    <x v="4"/>
    <x v="0"/>
    <x v="0"/>
    <n v="0"/>
    <x v="0"/>
    <x v="0"/>
    <s v="DREAM  NEO                                        NEGRO AZU"/>
    <e v="#N/A"/>
    <s v=""/>
  </r>
  <r>
    <x v="11"/>
    <d v="2017-08-01T00:00:00"/>
    <x v="0"/>
    <s v="SURO - SUR OCCIDENTE"/>
    <s v="DIST - DISTRIBUIDORES"/>
    <n v="4"/>
    <x v="5"/>
    <n v="4"/>
    <x v="11"/>
    <x v="8"/>
    <x v="8"/>
    <m/>
    <x v="6"/>
    <x v="5"/>
    <n v="5453782"/>
    <m/>
    <n v="0"/>
    <n v="0"/>
    <x v="1"/>
    <x v="4"/>
    <x v="0"/>
    <x v="0"/>
    <n v="0"/>
    <x v="0"/>
    <x v="0"/>
    <s v="CB 160F STD                                       NEGRO PER"/>
    <e v="#N/A"/>
    <s v=""/>
  </r>
  <r>
    <x v="11"/>
    <d v="2017-08-01T00:00:00"/>
    <x v="0"/>
    <s v="SURO - SUR OCCIDENTE"/>
    <s v="DIST - DISTRIBUIDORES"/>
    <n v="5"/>
    <x v="5"/>
    <n v="5"/>
    <x v="11"/>
    <x v="9"/>
    <x v="16"/>
    <m/>
    <x v="6"/>
    <x v="5"/>
    <n v="3696639"/>
    <m/>
    <n v="0"/>
    <n v="0"/>
    <x v="1"/>
    <x v="4"/>
    <x v="14"/>
    <x v="0"/>
    <n v="0"/>
    <x v="0"/>
    <x v="0"/>
    <s v="CB 110 DLX                                        AZUL     "/>
    <e v="#N/A"/>
    <s v=""/>
  </r>
  <r>
    <x v="11"/>
    <d v="2017-08-01T00:00:00"/>
    <x v="0"/>
    <s v="SURO - SUR OCCIDENTE"/>
    <s v="DIST - DISTRIBUIDORES"/>
    <n v="2"/>
    <x v="5"/>
    <n v="2"/>
    <x v="11"/>
    <x v="9"/>
    <x v="17"/>
    <m/>
    <x v="6"/>
    <x v="5"/>
    <n v="3696639"/>
    <m/>
    <n v="0"/>
    <n v="0"/>
    <x v="1"/>
    <x v="4"/>
    <x v="15"/>
    <x v="0"/>
    <n v="0"/>
    <x v="0"/>
    <x v="0"/>
    <s v="CB 110 DLX                                        GRIS     "/>
    <e v="#N/A"/>
    <s v=""/>
  </r>
  <r>
    <x v="11"/>
    <d v="2017-08-01T00:00:00"/>
    <x v="0"/>
    <s v="SURO - SUR OCCIDENTE"/>
    <s v="DIST - DISTRIBUIDORES"/>
    <n v="1"/>
    <x v="5"/>
    <n v="1"/>
    <x v="11"/>
    <x v="9"/>
    <x v="6"/>
    <m/>
    <x v="6"/>
    <x v="5"/>
    <n v="3696639"/>
    <m/>
    <n v="0"/>
    <n v="0"/>
    <x v="1"/>
    <x v="4"/>
    <x v="14"/>
    <x v="0"/>
    <n v="0"/>
    <x v="0"/>
    <x v="0"/>
    <s v="CB 110 DLX                                        ROJO     "/>
    <e v="#N/A"/>
    <s v=""/>
  </r>
  <r>
    <x v="11"/>
    <d v="2017-08-01T00:00:00"/>
    <x v="0"/>
    <s v="SURO - SUR OCCIDENTE"/>
    <s v="DIST - DISTRIBUIDORES"/>
    <n v="5"/>
    <x v="5"/>
    <n v="5"/>
    <x v="11"/>
    <x v="9"/>
    <x v="1"/>
    <m/>
    <x v="6"/>
    <x v="5"/>
    <n v="3696639"/>
    <m/>
    <n v="0"/>
    <n v="0"/>
    <x v="1"/>
    <x v="4"/>
    <x v="2"/>
    <x v="0"/>
    <n v="0"/>
    <x v="0"/>
    <x v="0"/>
    <s v="CB 110 DLX                                        NEGRO    "/>
    <e v="#N/A"/>
    <s v=""/>
  </r>
  <r>
    <x v="12"/>
    <d v="2017-08-01T00:00:00"/>
    <x v="0"/>
    <s v="NTE - ZONA NORTE"/>
    <s v="CONC - CONCESIONARIOS"/>
    <n v="2"/>
    <x v="6"/>
    <n v="2"/>
    <x v="12"/>
    <x v="1"/>
    <x v="7"/>
    <m/>
    <x v="7"/>
    <x v="6"/>
    <n v="3360504"/>
    <m/>
    <s v="NO TIENE CUPO"/>
    <n v="0"/>
    <x v="0"/>
    <x v="6"/>
    <x v="9"/>
    <x v="0"/>
    <n v="0"/>
    <x v="0"/>
    <x v="0"/>
    <s v="*CB-110                                           ROJO SPOR"/>
    <e v="#N/A"/>
    <s v=""/>
  </r>
  <r>
    <x v="12"/>
    <d v="2017-08-01T00:00:00"/>
    <x v="0"/>
    <s v="NTE - ZONA NORTE"/>
    <s v="CONC - CONCESIONARIOS"/>
    <n v="3"/>
    <x v="6"/>
    <n v="3"/>
    <x v="12"/>
    <x v="1"/>
    <x v="18"/>
    <m/>
    <x v="7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2"/>
    <d v="2017-08-01T00:00:00"/>
    <x v="0"/>
    <s v="NTE - ZONA NORTE"/>
    <s v="CONC - CONCESIONARIOS"/>
    <n v="4"/>
    <x v="6"/>
    <n v="4"/>
    <x v="12"/>
    <x v="1"/>
    <x v="1"/>
    <m/>
    <x v="7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2"/>
    <d v="2017-08-01T00:00:00"/>
    <x v="0"/>
    <s v="NTE - ZONA NORTE"/>
    <s v="CONC - CONCESIONARIOS"/>
    <n v="6"/>
    <x v="6"/>
    <n v="6"/>
    <x v="12"/>
    <x v="2"/>
    <x v="15"/>
    <m/>
    <x v="7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2"/>
    <d v="2017-08-01T00:00:00"/>
    <x v="0"/>
    <s v="NTE - ZONA NORTE"/>
    <s v="CONC - CONCESIONARIOS"/>
    <n v="5"/>
    <x v="6"/>
    <n v="5"/>
    <x v="12"/>
    <x v="2"/>
    <x v="1"/>
    <m/>
    <x v="7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2"/>
    <d v="2017-08-01T00:00:00"/>
    <x v="0"/>
    <s v="NTE - ZONA NORTE"/>
    <s v="CONC - CONCESIONARIOS"/>
    <n v="1"/>
    <x v="6"/>
    <n v="1"/>
    <x v="12"/>
    <x v="4"/>
    <x v="4"/>
    <m/>
    <x v="7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2"/>
    <d v="2017-08-01T00:00:00"/>
    <x v="0"/>
    <s v="NTE - ZONA NORTE"/>
    <s v="CONC - CONCESIONARIOS"/>
    <n v="1"/>
    <x v="6"/>
    <n v="1"/>
    <x v="12"/>
    <x v="5"/>
    <x v="8"/>
    <m/>
    <x v="7"/>
    <x v="6"/>
    <n v="6133613"/>
    <m/>
    <s v="NO TIENE CUPO"/>
    <n v="0"/>
    <x v="0"/>
    <x v="6"/>
    <x v="0"/>
    <x v="0"/>
    <n v="0"/>
    <x v="0"/>
    <x v="0"/>
    <s v="CB 160F DLX                                       NEGRO PER"/>
    <e v="#N/A"/>
    <s v=""/>
  </r>
  <r>
    <x v="12"/>
    <d v="2017-08-01T00:00:00"/>
    <x v="0"/>
    <s v="NTE - ZONA NORTE"/>
    <s v="CONC - CONCESIONARIOS"/>
    <n v="1"/>
    <x v="6"/>
    <n v="1"/>
    <x v="12"/>
    <x v="6"/>
    <x v="0"/>
    <m/>
    <x v="7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2"/>
    <d v="2017-08-01T00:00:00"/>
    <x v="0"/>
    <s v="NTE - ZONA NORTE"/>
    <s v="CONC - CONCESIONARIOS"/>
    <n v="2"/>
    <x v="6"/>
    <n v="2"/>
    <x v="12"/>
    <x v="6"/>
    <x v="6"/>
    <m/>
    <x v="7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2"/>
    <d v="2017-08-01T00:00:00"/>
    <x v="0"/>
    <s v="NTE - ZONA NORTE"/>
    <s v="CONC - CONCESIONARIOS"/>
    <n v="1"/>
    <x v="6"/>
    <n v="1"/>
    <x v="12"/>
    <x v="14"/>
    <x v="3"/>
    <m/>
    <x v="7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2"/>
    <d v="2017-08-01T00:00:00"/>
    <x v="0"/>
    <s v="NTE - ZONA NORTE"/>
    <s v="CONC - CONCESIONARIOS"/>
    <n v="16"/>
    <x v="6"/>
    <n v="16"/>
    <x v="12"/>
    <x v="10"/>
    <x v="20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2"/>
    <d v="2017-08-01T00:00:00"/>
    <x v="0"/>
    <s v="NTE - ZONA NORTE"/>
    <s v="CONC - CONCESIONARIOS"/>
    <n v="11"/>
    <x v="6"/>
    <n v="11"/>
    <x v="12"/>
    <x v="10"/>
    <x v="15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2"/>
    <d v="2017-08-01T00:00:00"/>
    <x v="0"/>
    <s v="NTE - ZONA NORTE"/>
    <s v="CONC - CONCESIONARIOS"/>
    <n v="3"/>
    <x v="6"/>
    <n v="3"/>
    <x v="12"/>
    <x v="10"/>
    <x v="12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2"/>
    <d v="2017-08-01T00:00:00"/>
    <x v="0"/>
    <s v="NTE - ZONA NORTE"/>
    <s v="CONC - CONCESIONARIOS"/>
    <n v="1"/>
    <x v="6"/>
    <n v="1"/>
    <x v="12"/>
    <x v="8"/>
    <x v="7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ROJO SPOR"/>
    <e v="#N/A"/>
    <s v=""/>
  </r>
  <r>
    <x v="12"/>
    <d v="2017-08-01T00:00:00"/>
    <x v="0"/>
    <s v="NTE - ZONA NORTE"/>
    <s v="CONC - CONCESIONARIOS"/>
    <n v="2"/>
    <x v="6"/>
    <n v="2"/>
    <x v="12"/>
    <x v="8"/>
    <x v="8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2"/>
    <d v="2017-08-01T00:00:00"/>
    <x v="0"/>
    <s v="NTE - ZONA NORTE"/>
    <s v="CONC - CONCESIONARIOS"/>
    <n v="3"/>
    <x v="6"/>
    <n v="3"/>
    <x v="12"/>
    <x v="9"/>
    <x v="17"/>
    <m/>
    <x v="7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2"/>
    <d v="2017-08-01T00:00:00"/>
    <x v="0"/>
    <s v="NTE - ZONA NORTE"/>
    <s v="CONC - CONCESIONARIOS"/>
    <n v="2"/>
    <x v="6"/>
    <n v="2"/>
    <x v="12"/>
    <x v="9"/>
    <x v="16"/>
    <m/>
    <x v="7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2"/>
    <d v="2017-08-01T00:00:00"/>
    <x v="0"/>
    <s v="NTE - ZONA NORTE"/>
    <s v="CONC - CONCESIONARIOS"/>
    <n v="10"/>
    <x v="6"/>
    <n v="10"/>
    <x v="12"/>
    <x v="9"/>
    <x v="1"/>
    <m/>
    <x v="7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3"/>
    <d v="2017-08-01T00:00:00"/>
    <x v="0"/>
    <s v="SURO - SUR OCCIDENTE"/>
    <s v="CONC - CONCESIONARIOS"/>
    <n v="5"/>
    <x v="7"/>
    <n v="5"/>
    <x v="13"/>
    <x v="1"/>
    <x v="1"/>
    <m/>
    <x v="8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3"/>
    <d v="2017-08-01T00:00:00"/>
    <x v="0"/>
    <s v="SURO - SUR OCCIDENTE"/>
    <s v="CONC - CONCESIONARIOS"/>
    <n v="3"/>
    <x v="7"/>
    <n v="3"/>
    <x v="13"/>
    <x v="2"/>
    <x v="13"/>
    <m/>
    <x v="8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3"/>
    <d v="2017-08-01T00:00:00"/>
    <x v="0"/>
    <s v="SURO - SUR OCCIDENTE"/>
    <s v="CONC - CONCESIONARIOS"/>
    <n v="2"/>
    <x v="7"/>
    <n v="2"/>
    <x v="13"/>
    <x v="2"/>
    <x v="1"/>
    <m/>
    <x v="8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3"/>
    <d v="2017-08-01T00:00:00"/>
    <x v="0"/>
    <s v="SURO - SUR OCCIDENTE"/>
    <s v="CONC - CONCESIONARIOS"/>
    <n v="2"/>
    <x v="7"/>
    <n v="2"/>
    <x v="13"/>
    <x v="3"/>
    <x v="3"/>
    <m/>
    <x v="8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3"/>
    <d v="2017-08-01T00:00:00"/>
    <x v="0"/>
    <s v="SURO - SUR OCCIDENTE"/>
    <s v="CONC - CONCESIONARIOS"/>
    <n v="2"/>
    <x v="7"/>
    <n v="2"/>
    <x v="13"/>
    <x v="4"/>
    <x v="4"/>
    <m/>
    <x v="8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3"/>
    <d v="2017-08-01T00:00:00"/>
    <x v="0"/>
    <s v="SURO - SUR OCCIDENTE"/>
    <s v="CONC - CONCESIONARIOS"/>
    <n v="5"/>
    <x v="7"/>
    <n v="5"/>
    <x v="13"/>
    <x v="5"/>
    <x v="8"/>
    <m/>
    <x v="8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3"/>
    <d v="2017-08-01T00:00:00"/>
    <x v="0"/>
    <s v="SURO - SUR OCCIDENTE"/>
    <s v="CONC - CONCESIONARIOS"/>
    <n v="3"/>
    <x v="7"/>
    <n v="3"/>
    <x v="13"/>
    <x v="6"/>
    <x v="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3"/>
    <d v="2017-08-01T00:00:00"/>
    <x v="0"/>
    <s v="SURO - SUR OCCIDENTE"/>
    <s v="CONC - CONCESIONARIOS"/>
    <n v="2"/>
    <x v="7"/>
    <n v="2"/>
    <x v="13"/>
    <x v="6"/>
    <x v="1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3"/>
    <d v="2017-08-01T00:00:00"/>
    <x v="0"/>
    <s v="SURO - SUR OCCIDENTE"/>
    <s v="CONC - CONCESIONARIOS"/>
    <n v="10"/>
    <x v="7"/>
    <n v="10"/>
    <x v="13"/>
    <x v="14"/>
    <x v="3"/>
    <m/>
    <x v="8"/>
    <x v="7"/>
    <n v="7730252"/>
    <m/>
    <s v="NO TIENE CUPO"/>
    <n v="0"/>
    <x v="0"/>
    <x v="7"/>
    <x v="0"/>
    <x v="0"/>
    <n v="0"/>
    <x v="0"/>
    <x v="0"/>
    <s v="CB 190R INSTINTO R                                NEGRO ONI"/>
    <e v="#N/A"/>
    <s v=""/>
  </r>
  <r>
    <x v="13"/>
    <d v="2017-08-01T00:00:00"/>
    <x v="0"/>
    <s v="SURO - SUR OCCIDENTE"/>
    <s v="CONC - CONCESIONARIOS"/>
    <n v="4"/>
    <x v="7"/>
    <n v="4"/>
    <x v="13"/>
    <x v="10"/>
    <x v="15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3"/>
    <d v="2017-08-01T00:00:00"/>
    <x v="0"/>
    <s v="SURO - SUR OCCIDENTE"/>
    <s v="CONC - CONCESIONARIOS"/>
    <n v="4"/>
    <x v="7"/>
    <n v="4"/>
    <x v="13"/>
    <x v="10"/>
    <x v="20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3"/>
    <d v="2017-08-01T00:00:00"/>
    <x v="0"/>
    <s v="SURO - SUR OCCIDENTE"/>
    <s v="CONC - CONCESIONARIOS"/>
    <n v="2"/>
    <x v="7"/>
    <n v="2"/>
    <x v="13"/>
    <x v="7"/>
    <x v="6"/>
    <m/>
    <x v="8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3"/>
    <d v="2017-08-01T00:00:00"/>
    <x v="0"/>
    <s v="SURO - SUR OCCIDENTE"/>
    <s v="CONC - CONCESIONARIOS"/>
    <n v="3"/>
    <x v="7"/>
    <n v="3"/>
    <x v="13"/>
    <x v="7"/>
    <x v="11"/>
    <m/>
    <x v="8"/>
    <x v="7"/>
    <n v="3941176"/>
    <m/>
    <s v="NO TIENE CUPO"/>
    <n v="0"/>
    <x v="0"/>
    <x v="7"/>
    <x v="7"/>
    <x v="0"/>
    <n v="0"/>
    <x v="0"/>
    <x v="0"/>
    <s v="WAVE 110S                                         BLANCO   "/>
    <e v="#N/A"/>
    <s v=""/>
  </r>
  <r>
    <x v="13"/>
    <d v="2017-08-01T00:00:00"/>
    <x v="0"/>
    <s v="SURO - SUR OCCIDENTE"/>
    <s v="CONC - CONCESIONARIOS"/>
    <n v="3"/>
    <x v="7"/>
    <n v="3"/>
    <x v="13"/>
    <x v="8"/>
    <x v="8"/>
    <m/>
    <x v="8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3"/>
    <d v="2017-08-01T00:00:00"/>
    <x v="0"/>
    <s v="SURO - SUR OCCIDENTE"/>
    <s v="CONC - CONCESIONARIOS"/>
    <n v="2"/>
    <x v="7"/>
    <n v="2"/>
    <x v="13"/>
    <x v="8"/>
    <x v="9"/>
    <m/>
    <x v="8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3"/>
    <d v="2017-08-01T00:00:00"/>
    <x v="0"/>
    <s v="SURO - SUR OCCIDENTE"/>
    <s v="CONC - CONCESIONARIOS"/>
    <n v="2"/>
    <x v="7"/>
    <n v="2"/>
    <x v="13"/>
    <x v="9"/>
    <x v="16"/>
    <m/>
    <x v="8"/>
    <x v="7"/>
    <n v="3696639"/>
    <m/>
    <s v="NO TIENE CUPO"/>
    <n v="0"/>
    <x v="0"/>
    <x v="7"/>
    <x v="14"/>
    <x v="0"/>
    <n v="0"/>
    <x v="0"/>
    <x v="0"/>
    <s v="CB 110 DLX                                        AZUL     "/>
    <e v="#N/A"/>
    <s v=""/>
  </r>
  <r>
    <x v="13"/>
    <d v="2017-08-01T00:00:00"/>
    <x v="0"/>
    <s v="SURO - SUR OCCIDENTE"/>
    <s v="CONC - CONCESIONARIOS"/>
    <n v="15"/>
    <x v="7"/>
    <n v="15"/>
    <x v="13"/>
    <x v="9"/>
    <x v="1"/>
    <m/>
    <x v="8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4"/>
    <d v="2017-08-01T00:00:00"/>
    <x v="0"/>
    <s v="SURO - SUR OCCIDENTE"/>
    <s v="CONC - CONCESIONARIOS"/>
    <n v="3"/>
    <x v="7"/>
    <n v="3"/>
    <x v="14"/>
    <x v="2"/>
    <x v="13"/>
    <m/>
    <x v="9"/>
    <x v="7"/>
    <n v="5789916"/>
    <m/>
    <s v="NO TIENE CUPO"/>
    <n v="0"/>
    <x v="0"/>
    <x v="8"/>
    <x v="8"/>
    <x v="0"/>
    <n v="0"/>
    <x v="0"/>
    <x v="0"/>
    <s v="*XR 150L                                          NEGRO BLA"/>
    <e v="#N/A"/>
    <s v=""/>
  </r>
  <r>
    <x v="14"/>
    <d v="2017-08-01T00:00:00"/>
    <x v="0"/>
    <s v="SURO - SUR OCCIDENTE"/>
    <s v="CONC - CONCESIONARIOS"/>
    <n v="3"/>
    <x v="7"/>
    <n v="3"/>
    <x v="14"/>
    <x v="2"/>
    <x v="1"/>
    <m/>
    <x v="9"/>
    <x v="7"/>
    <n v="5789916"/>
    <m/>
    <s v="NO TIENE CUPO"/>
    <n v="0"/>
    <x v="0"/>
    <x v="8"/>
    <x v="2"/>
    <x v="0"/>
    <n v="0"/>
    <x v="0"/>
    <x v="0"/>
    <s v="*XR 150L                                          NEGRO    "/>
    <e v="#N/A"/>
    <s v=""/>
  </r>
  <r>
    <x v="14"/>
    <d v="2017-08-01T00:00:00"/>
    <x v="0"/>
    <s v="SURO - SUR OCCIDENTE"/>
    <s v="CONC - CONCESIONARIOS"/>
    <n v="2"/>
    <x v="7"/>
    <n v="2"/>
    <x v="14"/>
    <x v="3"/>
    <x v="3"/>
    <m/>
    <x v="9"/>
    <x v="7"/>
    <n v="7554622"/>
    <m/>
    <s v="NO TIENE CUPO"/>
    <n v="0"/>
    <x v="0"/>
    <x v="8"/>
    <x v="0"/>
    <x v="0"/>
    <n v="0"/>
    <x v="0"/>
    <x v="0"/>
    <s v="CB 190R                                           NEGRO ONI"/>
    <e v="#N/A"/>
    <s v=""/>
  </r>
  <r>
    <x v="14"/>
    <d v="2017-08-01T00:00:00"/>
    <x v="0"/>
    <s v="SURO - SUR OCCIDENTE"/>
    <s v="CONC - CONCESIONARIOS"/>
    <n v="3"/>
    <x v="7"/>
    <n v="3"/>
    <x v="14"/>
    <x v="5"/>
    <x v="5"/>
    <m/>
    <x v="9"/>
    <x v="7"/>
    <n v="6133613"/>
    <m/>
    <s v="NO TIENE CUPO"/>
    <n v="0"/>
    <x v="0"/>
    <x v="8"/>
    <x v="2"/>
    <x v="0"/>
    <n v="0"/>
    <x v="0"/>
    <x v="0"/>
    <s v="CB 160F DLX                                       NARANJA N"/>
    <e v="#N/A"/>
    <s v=""/>
  </r>
  <r>
    <x v="14"/>
    <d v="2017-08-01T00:00:00"/>
    <x v="0"/>
    <s v="SURO - SUR OCCIDENTE"/>
    <s v="CONC - CONCESIONARIOS"/>
    <n v="5"/>
    <x v="7"/>
    <n v="5"/>
    <x v="14"/>
    <x v="5"/>
    <x v="8"/>
    <m/>
    <x v="9"/>
    <x v="7"/>
    <n v="6133613"/>
    <m/>
    <s v="NO TIENE CUPO"/>
    <n v="0"/>
    <x v="0"/>
    <x v="8"/>
    <x v="0"/>
    <x v="0"/>
    <n v="0"/>
    <x v="0"/>
    <x v="0"/>
    <s v="CB 160F DLX                                       NEGRO PER"/>
    <e v="#N/A"/>
    <s v=""/>
  </r>
  <r>
    <x v="14"/>
    <d v="2017-08-01T00:00:00"/>
    <x v="0"/>
    <s v="SURO - SUR OCCIDENTE"/>
    <s v="CONC - CONCESIONARIOS"/>
    <n v="4"/>
    <x v="7"/>
    <n v="4"/>
    <x v="14"/>
    <x v="6"/>
    <x v="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ROJO     "/>
    <e v="#N/A"/>
    <s v=""/>
  </r>
  <r>
    <x v="14"/>
    <d v="2017-08-01T00:00:00"/>
    <x v="0"/>
    <s v="SURO - SUR OCCIDENTE"/>
    <s v="CONC - CONCESIONARIOS"/>
    <n v="1"/>
    <x v="7"/>
    <n v="1"/>
    <x v="14"/>
    <x v="6"/>
    <x v="1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AZUL     "/>
    <e v="#N/A"/>
    <s v=""/>
  </r>
  <r>
    <x v="14"/>
    <d v="2017-08-01T00:00:00"/>
    <x v="0"/>
    <s v="SURO - SUR OCCIDENTE"/>
    <s v="CONC - CONCESIONARIOS"/>
    <n v="4"/>
    <x v="7"/>
    <n v="4"/>
    <x v="14"/>
    <x v="10"/>
    <x v="15"/>
    <m/>
    <x v="9"/>
    <x v="7"/>
    <n v="3067227"/>
    <m/>
    <s v="NO TIENE CUPO"/>
    <n v="0"/>
    <x v="0"/>
    <x v="8"/>
    <x v="0"/>
    <x v="0"/>
    <n v="0"/>
    <x v="0"/>
    <x v="0"/>
    <s v="DREAM  NEO                                        NEGRO ROJ"/>
    <e v="#N/A"/>
    <s v=""/>
  </r>
  <r>
    <x v="14"/>
    <d v="2017-08-01T00:00:00"/>
    <x v="0"/>
    <s v="SURO - SUR OCCIDENTE"/>
    <s v="CONC - CONCESIONARIOS"/>
    <n v="3"/>
    <x v="7"/>
    <n v="3"/>
    <x v="14"/>
    <x v="7"/>
    <x v="6"/>
    <m/>
    <x v="9"/>
    <x v="7"/>
    <n v="3941176"/>
    <m/>
    <s v="NO TIENE CUPO"/>
    <n v="0"/>
    <x v="0"/>
    <x v="8"/>
    <x v="0"/>
    <x v="0"/>
    <n v="0"/>
    <x v="0"/>
    <x v="0"/>
    <s v="WAVE 110S                                         ROJO     "/>
    <e v="#N/A"/>
    <s v=""/>
  </r>
  <r>
    <x v="14"/>
    <d v="2017-08-01T00:00:00"/>
    <x v="0"/>
    <s v="SURO - SUR OCCIDENTE"/>
    <s v="CONC - CONCESIONARIOS"/>
    <n v="3"/>
    <x v="7"/>
    <n v="3"/>
    <x v="14"/>
    <x v="7"/>
    <x v="11"/>
    <m/>
    <x v="9"/>
    <x v="7"/>
    <n v="3941176"/>
    <m/>
    <s v="NO TIENE CUPO"/>
    <n v="0"/>
    <x v="0"/>
    <x v="8"/>
    <x v="7"/>
    <x v="0"/>
    <n v="0"/>
    <x v="0"/>
    <x v="0"/>
    <s v="WAVE 110S                                         BLANCO   "/>
    <e v="#N/A"/>
    <s v=""/>
  </r>
  <r>
    <x v="14"/>
    <d v="2017-08-01T00:00:00"/>
    <x v="0"/>
    <s v="SURO - SUR OCCIDENTE"/>
    <s v="CONC - CONCESIONARIOS"/>
    <n v="2"/>
    <x v="7"/>
    <n v="2"/>
    <x v="14"/>
    <x v="8"/>
    <x v="8"/>
    <m/>
    <x v="9"/>
    <x v="7"/>
    <n v="5453782"/>
    <m/>
    <s v="NO TIENE CUPO"/>
    <n v="0"/>
    <x v="0"/>
    <x v="8"/>
    <x v="0"/>
    <x v="0"/>
    <n v="0"/>
    <x v="0"/>
    <x v="0"/>
    <s v="CB 160F STD                                       NEGRO PER"/>
    <e v="#N/A"/>
    <s v=""/>
  </r>
  <r>
    <x v="14"/>
    <d v="2017-08-01T00:00:00"/>
    <x v="0"/>
    <s v="SURO - SUR OCCIDENTE"/>
    <s v="CONC - CONCESIONARIOS"/>
    <n v="2"/>
    <x v="7"/>
    <n v="2"/>
    <x v="14"/>
    <x v="8"/>
    <x v="9"/>
    <m/>
    <x v="9"/>
    <x v="7"/>
    <n v="5453782"/>
    <m/>
    <s v="NO TIENE CUPO"/>
    <n v="0"/>
    <x v="0"/>
    <x v="8"/>
    <x v="5"/>
    <x v="0"/>
    <n v="0"/>
    <x v="0"/>
    <x v="0"/>
    <s v="CB 160F STD                                       BLANCO PE"/>
    <e v="#N/A"/>
    <s v=""/>
  </r>
  <r>
    <x v="14"/>
    <d v="2017-08-01T00:00:00"/>
    <x v="0"/>
    <s v="SURO - SUR OCCIDENTE"/>
    <s v="CONC - CONCESIONARIOS"/>
    <n v="10"/>
    <x v="7"/>
    <n v="10"/>
    <x v="14"/>
    <x v="9"/>
    <x v="1"/>
    <m/>
    <x v="9"/>
    <x v="7"/>
    <n v="3696639"/>
    <m/>
    <s v="NO TIENE CUPO"/>
    <n v="0"/>
    <x v="0"/>
    <x v="8"/>
    <x v="2"/>
    <x v="0"/>
    <n v="0"/>
    <x v="0"/>
    <x v="0"/>
    <s v="CB 110 DLX                                        NEGRO    "/>
    <e v="#N/A"/>
    <s v=""/>
  </r>
  <r>
    <x v="15"/>
    <d v="2017-08-01T00:00:00"/>
    <x v="0"/>
    <s v="SURO - SUR OCCIDENTE"/>
    <s v="CONC - CONCESIONARIOS"/>
    <n v="3"/>
    <x v="7"/>
    <n v="3"/>
    <x v="15"/>
    <x v="1"/>
    <x v="1"/>
    <m/>
    <x v="10"/>
    <x v="7"/>
    <n v="3360504"/>
    <m/>
    <s v="NO TIENE CUPO"/>
    <n v="0"/>
    <x v="0"/>
    <x v="9"/>
    <x v="1"/>
    <x v="0"/>
    <n v="0"/>
    <x v="0"/>
    <x v="0"/>
    <s v="*CB-110 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2"/>
    <x v="15"/>
    <m/>
    <x v="10"/>
    <x v="7"/>
    <n v="5789916"/>
    <m/>
    <s v="NO TIENE CUPO"/>
    <n v="0"/>
    <x v="0"/>
    <x v="9"/>
    <x v="11"/>
    <x v="0"/>
    <n v="0"/>
    <x v="0"/>
    <x v="0"/>
    <s v="*XR 150L                                          NEGRO ROJ"/>
    <e v="#N/A"/>
    <s v=""/>
  </r>
  <r>
    <x v="15"/>
    <d v="2017-08-01T00:00:00"/>
    <x v="0"/>
    <s v="SURO - SUR OCCIDENTE"/>
    <s v="CONC - CONCESIONARIOS"/>
    <n v="3"/>
    <x v="7"/>
    <n v="3"/>
    <x v="15"/>
    <x v="2"/>
    <x v="13"/>
    <m/>
    <x v="10"/>
    <x v="7"/>
    <n v="5789916"/>
    <m/>
    <s v="NO TIENE CUPO"/>
    <n v="0"/>
    <x v="0"/>
    <x v="9"/>
    <x v="8"/>
    <x v="0"/>
    <n v="0"/>
    <x v="0"/>
    <x v="0"/>
    <s v="*XR 150L                                          NEGRO BLA"/>
    <e v="#N/A"/>
    <s v=""/>
  </r>
  <r>
    <x v="15"/>
    <d v="2017-08-01T00:00:00"/>
    <x v="0"/>
    <s v="SURO - SUR OCCIDENTE"/>
    <s v="CONC - CONCESIONARIOS"/>
    <n v="3"/>
    <x v="7"/>
    <n v="3"/>
    <x v="15"/>
    <x v="2"/>
    <x v="1"/>
    <m/>
    <x v="10"/>
    <x v="7"/>
    <n v="5789916"/>
    <m/>
    <s v="NO TIENE CUPO"/>
    <n v="0"/>
    <x v="0"/>
    <x v="9"/>
    <x v="2"/>
    <x v="0"/>
    <n v="0"/>
    <x v="0"/>
    <x v="0"/>
    <s v="*XR 150L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3"/>
    <x v="3"/>
    <m/>
    <x v="10"/>
    <x v="7"/>
    <n v="7554622"/>
    <m/>
    <s v="NO TIENE CUPO"/>
    <n v="0"/>
    <x v="0"/>
    <x v="9"/>
    <x v="0"/>
    <x v="0"/>
    <n v="0"/>
    <x v="0"/>
    <x v="0"/>
    <s v="CB 190R                                           NEGRO ONI"/>
    <e v="#N/A"/>
    <s v=""/>
  </r>
  <r>
    <x v="15"/>
    <d v="2017-08-01T00:00:00"/>
    <x v="0"/>
    <s v="SURO - SUR OCCIDENTE"/>
    <s v="CONC - CONCESIONARIOS"/>
    <n v="2"/>
    <x v="7"/>
    <n v="2"/>
    <x v="15"/>
    <x v="5"/>
    <x v="5"/>
    <m/>
    <x v="10"/>
    <x v="7"/>
    <n v="6133613"/>
    <m/>
    <s v="NO TIENE CUPO"/>
    <n v="0"/>
    <x v="0"/>
    <x v="9"/>
    <x v="2"/>
    <x v="0"/>
    <n v="0"/>
    <x v="0"/>
    <x v="0"/>
    <s v="CB 160F DLX                                       NARANJA N"/>
    <e v="#N/A"/>
    <s v=""/>
  </r>
  <r>
    <x v="15"/>
    <d v="2017-08-01T00:00:00"/>
    <x v="0"/>
    <s v="SURO - SUR OCCIDENTE"/>
    <s v="CONC - CONCESIONARIOS"/>
    <n v="5"/>
    <x v="7"/>
    <n v="5"/>
    <x v="15"/>
    <x v="5"/>
    <x v="8"/>
    <m/>
    <x v="10"/>
    <x v="7"/>
    <n v="6133613"/>
    <m/>
    <s v="NO TIENE CUPO"/>
    <n v="0"/>
    <x v="0"/>
    <x v="9"/>
    <x v="0"/>
    <x v="0"/>
    <n v="0"/>
    <x v="0"/>
    <x v="0"/>
    <s v="CB 160F DLX                                       NEGRO PER"/>
    <e v="#N/A"/>
    <s v=""/>
  </r>
  <r>
    <x v="15"/>
    <d v="2017-08-01T00:00:00"/>
    <x v="0"/>
    <s v="SURO - SUR OCCIDENTE"/>
    <s v="CONC - CONCESIONARIOS"/>
    <n v="1"/>
    <x v="7"/>
    <n v="1"/>
    <x v="15"/>
    <x v="6"/>
    <x v="1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AZUL     "/>
    <e v="#N/A"/>
    <s v=""/>
  </r>
  <r>
    <x v="15"/>
    <d v="2017-08-01T00:00:00"/>
    <x v="0"/>
    <s v="SURO - SUR OCCIDENTE"/>
    <s v="CONC - CONCESIONARIOS"/>
    <n v="2"/>
    <x v="7"/>
    <n v="2"/>
    <x v="15"/>
    <x v="6"/>
    <x v="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ROJO     "/>
    <e v="#N/A"/>
    <s v=""/>
  </r>
  <r>
    <x v="15"/>
    <d v="2017-08-01T00:00:00"/>
    <x v="0"/>
    <s v="SURO - SUR OCCIDENTE"/>
    <s v="CONC - CONCESIONARIOS"/>
    <n v="3"/>
    <x v="7"/>
    <n v="3"/>
    <x v="15"/>
    <x v="10"/>
    <x v="20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AZU"/>
    <e v="#N/A"/>
    <s v=""/>
  </r>
  <r>
    <x v="15"/>
    <d v="2017-08-01T00:00:00"/>
    <x v="0"/>
    <s v="SURO - SUR OCCIDENTE"/>
    <s v="CONC - CONCESIONARIOS"/>
    <n v="2"/>
    <x v="7"/>
    <n v="2"/>
    <x v="15"/>
    <x v="10"/>
    <x v="15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ROJ"/>
    <e v="#N/A"/>
    <s v=""/>
  </r>
  <r>
    <x v="15"/>
    <d v="2017-08-01T00:00:00"/>
    <x v="0"/>
    <s v="SURO - SUR OCCIDENTE"/>
    <s v="CONC - CONCESIONARIOS"/>
    <n v="5"/>
    <x v="7"/>
    <n v="5"/>
    <x v="15"/>
    <x v="7"/>
    <x v="6"/>
    <m/>
    <x v="10"/>
    <x v="7"/>
    <n v="3941176"/>
    <m/>
    <s v="NO TIENE CUPO"/>
    <n v="0"/>
    <x v="0"/>
    <x v="9"/>
    <x v="0"/>
    <x v="0"/>
    <n v="0"/>
    <x v="0"/>
    <x v="0"/>
    <s v="WAVE 110S                                         ROJO     "/>
    <e v="#N/A"/>
    <s v=""/>
  </r>
  <r>
    <x v="15"/>
    <d v="2017-08-01T00:00:00"/>
    <x v="0"/>
    <s v="SURO - SUR OCCIDENTE"/>
    <s v="CONC - CONCESIONARIOS"/>
    <n v="2"/>
    <x v="7"/>
    <n v="2"/>
    <x v="15"/>
    <x v="7"/>
    <x v="11"/>
    <m/>
    <x v="10"/>
    <x v="7"/>
    <n v="3941176"/>
    <m/>
    <s v="NO TIENE CUPO"/>
    <n v="0"/>
    <x v="0"/>
    <x v="9"/>
    <x v="7"/>
    <x v="0"/>
    <n v="0"/>
    <x v="0"/>
    <x v="0"/>
    <s v="WAVE 110S                                         BLANCO   "/>
    <e v="#N/A"/>
    <s v=""/>
  </r>
  <r>
    <x v="15"/>
    <d v="2017-08-01T00:00:00"/>
    <x v="0"/>
    <s v="SURO - SUR OCCIDENTE"/>
    <s v="CONC - CONCESIONARIOS"/>
    <n v="1"/>
    <x v="7"/>
    <n v="1"/>
    <x v="15"/>
    <x v="8"/>
    <x v="9"/>
    <m/>
    <x v="10"/>
    <x v="7"/>
    <n v="5453782"/>
    <m/>
    <s v="NO TIENE CUPO"/>
    <n v="0"/>
    <x v="0"/>
    <x v="9"/>
    <x v="5"/>
    <x v="0"/>
    <n v="0"/>
    <x v="0"/>
    <x v="0"/>
    <s v="CB 160F STD                                       BLANCO PE"/>
    <e v="#N/A"/>
    <s v=""/>
  </r>
  <r>
    <x v="15"/>
    <d v="2017-08-01T00:00:00"/>
    <x v="0"/>
    <s v="SURO - SUR OCCIDENTE"/>
    <s v="CONC - CONCESIONARIOS"/>
    <n v="2"/>
    <x v="7"/>
    <n v="2"/>
    <x v="15"/>
    <x v="8"/>
    <x v="8"/>
    <m/>
    <x v="10"/>
    <x v="7"/>
    <n v="5453782"/>
    <m/>
    <s v="NO TIENE CUPO"/>
    <n v="0"/>
    <x v="0"/>
    <x v="9"/>
    <x v="0"/>
    <x v="0"/>
    <n v="0"/>
    <x v="0"/>
    <x v="0"/>
    <s v="CB 160F STD                                       NEGRO PER"/>
    <e v="#N/A"/>
    <s v=""/>
  </r>
  <r>
    <x v="15"/>
    <d v="2017-08-01T00:00:00"/>
    <x v="0"/>
    <s v="SURO - SUR OCCIDENTE"/>
    <s v="CONC - CONCESIONARIOS"/>
    <n v="2"/>
    <x v="7"/>
    <n v="2"/>
    <x v="15"/>
    <x v="9"/>
    <x v="16"/>
    <m/>
    <x v="10"/>
    <x v="7"/>
    <n v="3696639"/>
    <m/>
    <s v="NO TIENE CUPO"/>
    <n v="0"/>
    <x v="0"/>
    <x v="9"/>
    <x v="14"/>
    <x v="0"/>
    <n v="0"/>
    <x v="0"/>
    <x v="0"/>
    <s v="CB 110 DLX                                        AZUL     "/>
    <e v="#N/A"/>
    <s v=""/>
  </r>
  <r>
    <x v="15"/>
    <d v="2017-08-01T00:00:00"/>
    <x v="0"/>
    <s v="SURO - SUR OCCIDENTE"/>
    <s v="CONC - CONCESIONARIOS"/>
    <n v="5"/>
    <x v="7"/>
    <n v="5"/>
    <x v="15"/>
    <x v="9"/>
    <x v="1"/>
    <m/>
    <x v="10"/>
    <x v="7"/>
    <n v="3696639"/>
    <m/>
    <s v="NO TIENE CUPO"/>
    <n v="0"/>
    <x v="0"/>
    <x v="9"/>
    <x v="2"/>
    <x v="0"/>
    <n v="0"/>
    <x v="0"/>
    <x v="0"/>
    <s v="CB 110 DLX                                        NEGRO    "/>
    <e v="#N/A"/>
    <s v=""/>
  </r>
  <r>
    <x v="16"/>
    <d v="2017-08-01T00:00:00"/>
    <x v="0"/>
    <s v="NTE - ZONA NORTE"/>
    <s v="CONC - CONCESIONARIOS"/>
    <n v="3"/>
    <x v="6"/>
    <n v="3"/>
    <x v="16"/>
    <x v="1"/>
    <x v="18"/>
    <m/>
    <x v="11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6"/>
    <d v="2017-08-01T00:00:00"/>
    <x v="0"/>
    <s v="NTE - ZONA NORTE"/>
    <s v="CONC - CONCESIONARIOS"/>
    <n v="2"/>
    <x v="6"/>
    <n v="2"/>
    <x v="16"/>
    <x v="1"/>
    <x v="14"/>
    <m/>
    <x v="11"/>
    <x v="6"/>
    <n v="3360504"/>
    <m/>
    <s v="NO TIENE CUPO"/>
    <n v="0"/>
    <x v="0"/>
    <x v="6"/>
    <x v="10"/>
    <x v="0"/>
    <n v="0"/>
    <x v="0"/>
    <x v="0"/>
    <s v="*CB-110                                           AZUL FIJI"/>
    <e v="#N/A"/>
    <s v=""/>
  </r>
  <r>
    <x v="16"/>
    <d v="2017-08-01T00:00:00"/>
    <x v="0"/>
    <s v="NTE - ZONA NORTE"/>
    <s v="CONC - CONCESIONARIOS"/>
    <n v="5"/>
    <x v="6"/>
    <n v="5"/>
    <x v="16"/>
    <x v="1"/>
    <x v="1"/>
    <m/>
    <x v="11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2"/>
    <x v="13"/>
    <m/>
    <x v="11"/>
    <x v="6"/>
    <n v="5789916"/>
    <m/>
    <s v="NO TIENE CUPO"/>
    <n v="0"/>
    <x v="0"/>
    <x v="6"/>
    <x v="8"/>
    <x v="0"/>
    <n v="0"/>
    <x v="0"/>
    <x v="0"/>
    <s v="*XR 150L                                          NEGRO BLA"/>
    <e v="#N/A"/>
    <s v=""/>
  </r>
  <r>
    <x v="16"/>
    <d v="2017-08-01T00:00:00"/>
    <x v="0"/>
    <s v="NTE - ZONA NORTE"/>
    <s v="CONC - CONCESIONARIOS"/>
    <n v="4"/>
    <x v="6"/>
    <n v="4"/>
    <x v="16"/>
    <x v="2"/>
    <x v="15"/>
    <m/>
    <x v="11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6"/>
    <d v="2017-08-01T00:00:00"/>
    <x v="0"/>
    <s v="NTE - ZONA NORTE"/>
    <s v="CONC - CONCESIONARIOS"/>
    <n v="2"/>
    <x v="6"/>
    <n v="2"/>
    <x v="16"/>
    <x v="2"/>
    <x v="1"/>
    <m/>
    <x v="11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3"/>
    <x v="3"/>
    <m/>
    <x v="11"/>
    <x v="6"/>
    <n v="7554622"/>
    <m/>
    <s v="NO TIENE CUPO"/>
    <n v="0"/>
    <x v="0"/>
    <x v="6"/>
    <x v="0"/>
    <x v="0"/>
    <n v="0"/>
    <x v="0"/>
    <x v="0"/>
    <s v="CB 190R                                           NEGRO ONI"/>
    <e v="#N/A"/>
    <s v=""/>
  </r>
  <r>
    <x v="16"/>
    <d v="2017-08-01T00:00:00"/>
    <x v="0"/>
    <s v="NTE - ZONA NORTE"/>
    <s v="CONC - CONCESIONARIOS"/>
    <n v="1"/>
    <x v="6"/>
    <n v="1"/>
    <x v="16"/>
    <x v="4"/>
    <x v="4"/>
    <m/>
    <x v="11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6"/>
    <d v="2017-08-01T00:00:00"/>
    <x v="0"/>
    <s v="NTE - ZONA NORTE"/>
    <s v="CONC - CONCESIONARIOS"/>
    <n v="1"/>
    <x v="6"/>
    <n v="1"/>
    <x v="16"/>
    <x v="5"/>
    <x v="5"/>
    <m/>
    <x v="11"/>
    <x v="6"/>
    <n v="6133613"/>
    <m/>
    <s v="NO TIENE CUPO"/>
    <n v="0"/>
    <x v="0"/>
    <x v="6"/>
    <x v="2"/>
    <x v="0"/>
    <n v="0"/>
    <x v="0"/>
    <x v="0"/>
    <s v="CB 160F DLX                                       NARANJA N"/>
    <e v="#N/A"/>
    <s v=""/>
  </r>
  <r>
    <x v="16"/>
    <d v="2017-08-01T00:00:00"/>
    <x v="0"/>
    <s v="NTE - ZONA NORTE"/>
    <s v="CONC - CONCESIONARIOS"/>
    <n v="1"/>
    <x v="6"/>
    <n v="1"/>
    <x v="16"/>
    <x v="6"/>
    <x v="0"/>
    <m/>
    <x v="11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6"/>
    <d v="2017-08-01T00:00:00"/>
    <x v="0"/>
    <s v="NTE - ZONA NORTE"/>
    <s v="CONC - CONCESIONARIOS"/>
    <n v="2"/>
    <x v="6"/>
    <n v="2"/>
    <x v="16"/>
    <x v="6"/>
    <x v="6"/>
    <m/>
    <x v="11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14"/>
    <x v="3"/>
    <m/>
    <x v="11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6"/>
    <d v="2017-08-01T00:00:00"/>
    <x v="0"/>
    <s v="NTE - ZONA NORTE"/>
    <s v="CONC - CONCESIONARIOS"/>
    <n v="8"/>
    <x v="6"/>
    <n v="8"/>
    <x v="16"/>
    <x v="10"/>
    <x v="12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6"/>
    <d v="2017-08-01T00:00:00"/>
    <x v="0"/>
    <s v="NTE - ZONA NORTE"/>
    <s v="CONC - CONCESIONARIOS"/>
    <n v="15"/>
    <x v="6"/>
    <n v="15"/>
    <x v="16"/>
    <x v="10"/>
    <x v="15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6"/>
    <d v="2017-08-01T00:00:00"/>
    <x v="0"/>
    <s v="NTE - ZONA NORTE"/>
    <s v="CONC - CONCESIONARIOS"/>
    <n v="27"/>
    <x v="6"/>
    <n v="27"/>
    <x v="16"/>
    <x v="10"/>
    <x v="20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6"/>
    <d v="2017-08-01T00:00:00"/>
    <x v="0"/>
    <s v="NTE - ZONA NORTE"/>
    <s v="CONC - CONCESIONARIOS"/>
    <n v="1"/>
    <x v="6"/>
    <n v="1"/>
    <x v="16"/>
    <x v="7"/>
    <x v="6"/>
    <m/>
    <x v="11"/>
    <x v="6"/>
    <n v="3941176"/>
    <m/>
    <s v="NO TIENE CUPO"/>
    <n v="0"/>
    <x v="0"/>
    <x v="6"/>
    <x v="0"/>
    <x v="0"/>
    <n v="0"/>
    <x v="0"/>
    <x v="0"/>
    <s v="WAVE 110S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7"/>
    <x v="11"/>
    <m/>
    <x v="11"/>
    <x v="6"/>
    <n v="3941176"/>
    <m/>
    <s v="NO TIENE CUPO"/>
    <n v="0"/>
    <x v="0"/>
    <x v="6"/>
    <x v="7"/>
    <x v="0"/>
    <n v="0"/>
    <x v="0"/>
    <x v="0"/>
    <s v="WAVE 110S                                         BLANCO   "/>
    <e v="#N/A"/>
    <s v=""/>
  </r>
  <r>
    <x v="16"/>
    <d v="2017-08-01T00:00:00"/>
    <x v="0"/>
    <s v="NTE - ZONA NORTE"/>
    <s v="CONC - CONCESIONARIOS"/>
    <n v="1"/>
    <x v="6"/>
    <n v="1"/>
    <x v="16"/>
    <x v="8"/>
    <x v="8"/>
    <m/>
    <x v="11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6"/>
    <d v="2017-08-01T00:00:00"/>
    <x v="0"/>
    <s v="NTE - ZONA NORTE"/>
    <s v="CONC - CONCESIONARIOS"/>
    <n v="3"/>
    <x v="6"/>
    <n v="3"/>
    <x v="16"/>
    <x v="9"/>
    <x v="17"/>
    <m/>
    <x v="11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6"/>
    <d v="2017-08-01T00:00:00"/>
    <x v="0"/>
    <s v="NTE - ZONA NORTE"/>
    <s v="CONC - CONCESIONARIOS"/>
    <n v="2"/>
    <x v="6"/>
    <n v="2"/>
    <x v="16"/>
    <x v="9"/>
    <x v="16"/>
    <m/>
    <x v="11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6"/>
    <d v="2017-08-01T00:00:00"/>
    <x v="0"/>
    <s v="NTE - ZONA NORTE"/>
    <s v="CONC - CONCESIONARIOS"/>
    <n v="5"/>
    <x v="6"/>
    <n v="5"/>
    <x v="16"/>
    <x v="9"/>
    <x v="1"/>
    <m/>
    <x v="11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1"/>
    <x v="1"/>
    <m/>
    <x v="12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2"/>
    <x v="15"/>
    <m/>
    <x v="12"/>
    <x v="7"/>
    <n v="5789916"/>
    <m/>
    <s v="NO TIENE CUPO"/>
    <n v="0"/>
    <x v="0"/>
    <x v="7"/>
    <x v="11"/>
    <x v="0"/>
    <n v="0"/>
    <x v="0"/>
    <x v="0"/>
    <s v="*XR 150L                                          NEGRO ROJ"/>
    <e v="#N/A"/>
    <s v=""/>
  </r>
  <r>
    <x v="17"/>
    <d v="2017-08-01T00:00:00"/>
    <x v="0"/>
    <s v="SURO - SUR OCCIDENTE"/>
    <s v="CONC - CONCESIONARIOS"/>
    <n v="3"/>
    <x v="7"/>
    <n v="3"/>
    <x v="17"/>
    <x v="2"/>
    <x v="13"/>
    <m/>
    <x v="12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7"/>
    <d v="2017-08-01T00:00:00"/>
    <x v="0"/>
    <s v="SURO - SUR OCCIDENTE"/>
    <s v="CONC - CONCESIONARIOS"/>
    <n v="3"/>
    <x v="7"/>
    <n v="3"/>
    <x v="17"/>
    <x v="2"/>
    <x v="1"/>
    <m/>
    <x v="12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7"/>
    <d v="2017-08-01T00:00:00"/>
    <x v="0"/>
    <s v="SURO - SUR OCCIDENTE"/>
    <s v="CONC - CONCESIONARIOS"/>
    <n v="3"/>
    <x v="7"/>
    <n v="3"/>
    <x v="17"/>
    <x v="3"/>
    <x v="3"/>
    <m/>
    <x v="12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7"/>
    <d v="2017-08-01T00:00:00"/>
    <x v="0"/>
    <s v="SURO - SUR OCCIDENTE"/>
    <s v="CONC - CONCESIONARIOS"/>
    <n v="3"/>
    <x v="7"/>
    <n v="3"/>
    <x v="17"/>
    <x v="4"/>
    <x v="4"/>
    <m/>
    <x v="12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7"/>
    <d v="2017-08-01T00:00:00"/>
    <x v="0"/>
    <s v="SURO - SUR OCCIDENTE"/>
    <s v="CONC - CONCESIONARIOS"/>
    <n v="2"/>
    <x v="7"/>
    <n v="2"/>
    <x v="17"/>
    <x v="5"/>
    <x v="5"/>
    <m/>
    <x v="12"/>
    <x v="7"/>
    <n v="6133613"/>
    <m/>
    <s v="NO TIENE CUPO"/>
    <n v="0"/>
    <x v="0"/>
    <x v="7"/>
    <x v="2"/>
    <x v="0"/>
    <n v="0"/>
    <x v="0"/>
    <x v="0"/>
    <s v="CB 160F DLX                                       NARANJA N"/>
    <e v="#N/A"/>
    <s v=""/>
  </r>
  <r>
    <x v="17"/>
    <d v="2017-08-01T00:00:00"/>
    <x v="0"/>
    <s v="SURO - SUR OCCIDENTE"/>
    <s v="CONC - CONCESIONARIOS"/>
    <n v="5"/>
    <x v="7"/>
    <n v="5"/>
    <x v="17"/>
    <x v="5"/>
    <x v="8"/>
    <m/>
    <x v="12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6"/>
    <x v="1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7"/>
    <d v="2017-08-01T00:00:00"/>
    <x v="0"/>
    <s v="SURO - SUR OCCIDENTE"/>
    <s v="CONC - CONCESIONARIOS"/>
    <n v="1"/>
    <x v="7"/>
    <n v="1"/>
    <x v="17"/>
    <x v="6"/>
    <x v="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7"/>
    <d v="2017-08-01T00:00:00"/>
    <x v="0"/>
    <s v="SURO - SUR OCCIDENTE"/>
    <s v="CONC - CONCESIONARIOS"/>
    <n v="3"/>
    <x v="7"/>
    <n v="3"/>
    <x v="17"/>
    <x v="10"/>
    <x v="20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7"/>
    <d v="2017-08-01T00:00:00"/>
    <x v="0"/>
    <s v="SURO - SUR OCCIDENTE"/>
    <s v="CONC - CONCESIONARIOS"/>
    <n v="2"/>
    <x v="7"/>
    <n v="2"/>
    <x v="17"/>
    <x v="10"/>
    <x v="15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7"/>
    <d v="2017-08-01T00:00:00"/>
    <x v="0"/>
    <s v="SURO - SUR OCCIDENTE"/>
    <s v="CONC - CONCESIONARIOS"/>
    <n v="2"/>
    <x v="7"/>
    <n v="2"/>
    <x v="17"/>
    <x v="7"/>
    <x v="6"/>
    <m/>
    <x v="12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7"/>
    <d v="2017-08-01T00:00:00"/>
    <x v="0"/>
    <s v="SURO - SUR OCCIDENTE"/>
    <s v="CONC - CONCESIONARIOS"/>
    <n v="2"/>
    <x v="7"/>
    <n v="2"/>
    <x v="17"/>
    <x v="8"/>
    <x v="8"/>
    <m/>
    <x v="12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8"/>
    <x v="9"/>
    <m/>
    <x v="12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7"/>
    <d v="2017-08-01T00:00:00"/>
    <x v="0"/>
    <s v="SURO - SUR OCCIDENTE"/>
    <s v="CONC - CONCESIONARIOS"/>
    <n v="4"/>
    <x v="7"/>
    <n v="4"/>
    <x v="17"/>
    <x v="9"/>
    <x v="1"/>
    <m/>
    <x v="12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18"/>
    <d v="2017-08-01T00:00:00"/>
    <x v="0"/>
    <s v="SURO - SUR OCCIDENTE"/>
    <s v="CONC - CONCESIONARIOS"/>
    <n v="1"/>
    <x v="8"/>
    <n v="1"/>
    <x v="18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8"/>
    <d v="2017-08-01T00:00:00"/>
    <x v="0"/>
    <s v="SURO - SUR OCCIDENTE"/>
    <s v="CONC - CONCESIONARIOS"/>
    <n v="1"/>
    <x v="8"/>
    <n v="1"/>
    <x v="18"/>
    <x v="11"/>
    <x v="13"/>
    <m/>
    <x v="3"/>
    <x v="8"/>
    <n v="3521008"/>
    <m/>
    <n v="802084041"/>
    <n v="0"/>
    <x v="0"/>
    <x v="3"/>
    <x v="12"/>
    <x v="0"/>
    <n v="0"/>
    <x v="0"/>
    <x v="0"/>
    <s v="DIO 110                                           NEGRO BLA"/>
    <e v="#N/A"/>
    <s v=""/>
  </r>
  <r>
    <x v="18"/>
    <d v="2017-08-01T00:00:00"/>
    <x v="0"/>
    <s v="SURO - SUR OCCIDENTE"/>
    <s v="CONC - CONCESIONARIOS"/>
    <n v="2"/>
    <x v="8"/>
    <n v="2"/>
    <x v="1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8"/>
    <d v="2017-08-01T00:00:00"/>
    <x v="0"/>
    <s v="SURO - SUR OCCIDENTE"/>
    <s v="CONC - CONCESIONARIOS"/>
    <n v="3"/>
    <x v="8"/>
    <n v="3"/>
    <x v="1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9"/>
    <d v="2017-08-01T00:00:00"/>
    <x v="0"/>
    <s v="NTE - ZONA NORTE"/>
    <s v="CONC - CONCESIONARIOS"/>
    <n v="3"/>
    <x v="6"/>
    <n v="3"/>
    <x v="19"/>
    <x v="1"/>
    <x v="18"/>
    <m/>
    <x v="13"/>
    <x v="6"/>
    <n v="3360504"/>
    <m/>
    <s v="NO TIENE CUPO"/>
    <n v="0"/>
    <x v="0"/>
    <x v="10"/>
    <x v="15"/>
    <x v="0"/>
    <n v="0"/>
    <x v="0"/>
    <x v="0"/>
    <s v="*CB-110                                           GRIS MET "/>
    <e v="#N/A"/>
    <s v=""/>
  </r>
  <r>
    <x v="19"/>
    <d v="2017-08-01T00:00:00"/>
    <x v="0"/>
    <s v="NTE - ZONA NORTE"/>
    <s v="CONC - CONCESIONARIOS"/>
    <n v="2"/>
    <x v="6"/>
    <n v="2"/>
    <x v="19"/>
    <x v="1"/>
    <x v="7"/>
    <m/>
    <x v="13"/>
    <x v="6"/>
    <n v="3360504"/>
    <m/>
    <s v="NO TIENE CUPO"/>
    <n v="0"/>
    <x v="0"/>
    <x v="10"/>
    <x v="9"/>
    <x v="0"/>
    <n v="0"/>
    <x v="0"/>
    <x v="0"/>
    <s v="*CB-110                                           ROJO SPOR"/>
    <e v="#N/A"/>
    <s v=""/>
  </r>
  <r>
    <x v="19"/>
    <d v="2017-08-01T00:00:00"/>
    <x v="0"/>
    <s v="NTE - ZONA NORTE"/>
    <s v="CONC - CONCESIONARIOS"/>
    <n v="1"/>
    <x v="6"/>
    <n v="1"/>
    <x v="19"/>
    <x v="1"/>
    <x v="14"/>
    <m/>
    <x v="13"/>
    <x v="6"/>
    <n v="3360504"/>
    <m/>
    <s v="NO TIENE CUPO"/>
    <n v="0"/>
    <x v="0"/>
    <x v="10"/>
    <x v="10"/>
    <x v="0"/>
    <n v="0"/>
    <x v="0"/>
    <x v="0"/>
    <s v="*CB-110                                           AZUL FIJI"/>
    <e v="#N/A"/>
    <s v=""/>
  </r>
  <r>
    <x v="19"/>
    <d v="2017-08-01T00:00:00"/>
    <x v="0"/>
    <s v="NTE - ZONA NORTE"/>
    <s v="CONC - CONCESIONARIOS"/>
    <n v="2"/>
    <x v="6"/>
    <n v="2"/>
    <x v="19"/>
    <x v="2"/>
    <x v="13"/>
    <m/>
    <x v="13"/>
    <x v="6"/>
    <n v="5789916"/>
    <m/>
    <s v="NO TIENE CUPO"/>
    <n v="0"/>
    <x v="0"/>
    <x v="10"/>
    <x v="8"/>
    <x v="0"/>
    <n v="0"/>
    <x v="0"/>
    <x v="0"/>
    <s v="*XR 150L                                          NEGRO BLA"/>
    <e v="#N/A"/>
    <s v=""/>
  </r>
  <r>
    <x v="19"/>
    <d v="2017-08-01T00:00:00"/>
    <x v="0"/>
    <s v="NTE - ZONA NORTE"/>
    <s v="CONC - CONCESIONARIOS"/>
    <n v="4"/>
    <x v="6"/>
    <n v="4"/>
    <x v="19"/>
    <x v="2"/>
    <x v="15"/>
    <m/>
    <x v="13"/>
    <x v="6"/>
    <n v="5789916"/>
    <m/>
    <s v="NO TIENE CUPO"/>
    <n v="0"/>
    <x v="0"/>
    <x v="10"/>
    <x v="11"/>
    <x v="0"/>
    <n v="0"/>
    <x v="0"/>
    <x v="0"/>
    <s v="*XR 150L                                          NEGRO ROJ"/>
    <e v="#N/A"/>
    <s v=""/>
  </r>
  <r>
    <x v="19"/>
    <d v="2017-08-01T00:00:00"/>
    <x v="0"/>
    <s v="NTE - ZONA NORTE"/>
    <s v="CONC - CONCESIONARIOS"/>
    <n v="3"/>
    <x v="6"/>
    <n v="3"/>
    <x v="19"/>
    <x v="2"/>
    <x v="1"/>
    <m/>
    <x v="13"/>
    <x v="6"/>
    <n v="5789916"/>
    <m/>
    <s v="NO TIENE CUPO"/>
    <n v="0"/>
    <x v="0"/>
    <x v="10"/>
    <x v="2"/>
    <x v="0"/>
    <n v="0"/>
    <x v="0"/>
    <x v="0"/>
    <s v="*XR 150L 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3"/>
    <x v="3"/>
    <m/>
    <x v="13"/>
    <x v="6"/>
    <n v="7554622"/>
    <m/>
    <s v="NO TIENE CUPO"/>
    <n v="0"/>
    <x v="0"/>
    <x v="10"/>
    <x v="0"/>
    <x v="0"/>
    <n v="0"/>
    <x v="0"/>
    <x v="0"/>
    <s v="CB 190R                                           NEGRO ONI"/>
    <e v="#N/A"/>
    <s v=""/>
  </r>
  <r>
    <x v="19"/>
    <d v="2017-08-01T00:00:00"/>
    <x v="0"/>
    <s v="NTE - ZONA NORTE"/>
    <s v="CONC - CONCESIONARIOS"/>
    <n v="1"/>
    <x v="6"/>
    <n v="1"/>
    <x v="19"/>
    <x v="4"/>
    <x v="4"/>
    <m/>
    <x v="13"/>
    <x v="6"/>
    <n v="7730252"/>
    <m/>
    <s v="NO TIENE CUPO"/>
    <n v="0"/>
    <x v="0"/>
    <x v="10"/>
    <x v="4"/>
    <x v="0"/>
    <n v="0"/>
    <x v="0"/>
    <x v="0"/>
    <s v="CB 190 REPSOL                                     NARANJA B"/>
    <e v="#N/A"/>
    <s v=""/>
  </r>
  <r>
    <x v="19"/>
    <d v="2017-08-01T00:00:00"/>
    <x v="0"/>
    <s v="NTE - ZONA NORTE"/>
    <s v="CONC - CONCESIONARIOS"/>
    <n v="1"/>
    <x v="6"/>
    <n v="1"/>
    <x v="19"/>
    <x v="5"/>
    <x v="5"/>
    <m/>
    <x v="13"/>
    <x v="6"/>
    <n v="6133613"/>
    <m/>
    <s v="NO TIENE CUPO"/>
    <n v="0"/>
    <x v="0"/>
    <x v="10"/>
    <x v="2"/>
    <x v="0"/>
    <n v="0"/>
    <x v="0"/>
    <x v="0"/>
    <s v="CB 160F DLX                                       NARANJA N"/>
    <e v="#N/A"/>
    <s v=""/>
  </r>
  <r>
    <x v="19"/>
    <d v="2017-08-01T00:00:00"/>
    <x v="0"/>
    <s v="NTE - ZONA NORTE"/>
    <s v="CONC - CONCESIONARIOS"/>
    <n v="1"/>
    <x v="6"/>
    <n v="1"/>
    <x v="19"/>
    <x v="6"/>
    <x v="0"/>
    <m/>
    <x v="13"/>
    <x v="6"/>
    <n v="3521008"/>
    <m/>
    <s v="NO TIENE CUPO"/>
    <n v="0"/>
    <x v="0"/>
    <x v="10"/>
    <x v="7"/>
    <x v="0"/>
    <n v="0"/>
    <x v="0"/>
    <x v="0"/>
    <s v="DIO  110                                          BLANCO NE"/>
    <e v="#N/A"/>
    <s v=""/>
  </r>
  <r>
    <x v="19"/>
    <d v="2017-08-01T00:00:00"/>
    <x v="0"/>
    <s v="NTE - ZONA NORTE"/>
    <s v="CONC - CONCESIONARIOS"/>
    <n v="1"/>
    <x v="6"/>
    <n v="1"/>
    <x v="19"/>
    <x v="6"/>
    <x v="1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AZUL     "/>
    <e v="#N/A"/>
    <s v=""/>
  </r>
  <r>
    <x v="19"/>
    <d v="2017-08-01T00:00:00"/>
    <x v="0"/>
    <s v="NTE - ZONA NORTE"/>
    <s v="CONC - CONCESIONARIOS"/>
    <n v="2"/>
    <x v="6"/>
    <n v="2"/>
    <x v="19"/>
    <x v="6"/>
    <x v="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ROJO     "/>
    <e v="#N/A"/>
    <s v=""/>
  </r>
  <r>
    <x v="19"/>
    <d v="2017-08-01T00:00:00"/>
    <x v="0"/>
    <s v="NTE - ZONA NORTE"/>
    <s v="CONC - CONCESIONARIOS"/>
    <n v="1"/>
    <x v="6"/>
    <n v="1"/>
    <x v="19"/>
    <x v="14"/>
    <x v="3"/>
    <m/>
    <x v="13"/>
    <x v="6"/>
    <n v="7730252"/>
    <m/>
    <s v="NO TIENE CUPO"/>
    <n v="0"/>
    <x v="0"/>
    <x v="10"/>
    <x v="0"/>
    <x v="0"/>
    <n v="0"/>
    <x v="0"/>
    <x v="0"/>
    <s v="CB 190R INSTINTO R                                NEGRO ONI"/>
    <e v="#N/A"/>
    <s v=""/>
  </r>
  <r>
    <x v="19"/>
    <d v="2017-08-01T00:00:00"/>
    <x v="0"/>
    <s v="NTE - ZONA NORTE"/>
    <s v="CONC - CONCESIONARIOS"/>
    <n v="3"/>
    <x v="6"/>
    <n v="3"/>
    <x v="19"/>
    <x v="10"/>
    <x v="12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ROJO ALFA"/>
    <e v="#N/A"/>
    <s v=""/>
  </r>
  <r>
    <x v="19"/>
    <d v="2017-08-01T00:00:00"/>
    <x v="0"/>
    <s v="NTE - ZONA NORTE"/>
    <s v="CONC - CONCESIONARIOS"/>
    <n v="6"/>
    <x v="6"/>
    <n v="6"/>
    <x v="19"/>
    <x v="10"/>
    <x v="20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AZU"/>
    <e v="#N/A"/>
    <s v=""/>
  </r>
  <r>
    <x v="19"/>
    <d v="2017-08-01T00:00:00"/>
    <x v="0"/>
    <s v="NTE - ZONA NORTE"/>
    <s v="CONC - CONCESIONARIOS"/>
    <n v="2"/>
    <x v="6"/>
    <n v="2"/>
    <x v="19"/>
    <x v="10"/>
    <x v="15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ROJ"/>
    <e v="#N/A"/>
    <s v=""/>
  </r>
  <r>
    <x v="19"/>
    <d v="2017-08-01T00:00:00"/>
    <x v="0"/>
    <s v="NTE - ZONA NORTE"/>
    <s v="CONC - CONCESIONARIOS"/>
    <n v="1"/>
    <x v="6"/>
    <n v="1"/>
    <x v="19"/>
    <x v="7"/>
    <x v="1"/>
    <m/>
    <x v="13"/>
    <x v="6"/>
    <n v="3941176"/>
    <m/>
    <s v="NO TIENE CUPO"/>
    <n v="0"/>
    <x v="0"/>
    <x v="10"/>
    <x v="0"/>
    <x v="0"/>
    <n v="0"/>
    <x v="0"/>
    <x v="0"/>
    <s v="WAVE 110S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8"/>
    <x v="8"/>
    <m/>
    <x v="13"/>
    <x v="6"/>
    <n v="5453782"/>
    <m/>
    <s v="NO TIENE CUPO"/>
    <n v="0"/>
    <x v="0"/>
    <x v="10"/>
    <x v="0"/>
    <x v="0"/>
    <n v="0"/>
    <x v="0"/>
    <x v="0"/>
    <s v="CB 160F STD                                       NEGRO PER"/>
    <e v="#N/A"/>
    <s v=""/>
  </r>
  <r>
    <x v="19"/>
    <d v="2017-08-01T00:00:00"/>
    <x v="0"/>
    <s v="NTE - ZONA NORTE"/>
    <s v="CONC - CONCESIONARIOS"/>
    <n v="1"/>
    <x v="6"/>
    <n v="1"/>
    <x v="19"/>
    <x v="8"/>
    <x v="9"/>
    <m/>
    <x v="13"/>
    <x v="6"/>
    <n v="5453782"/>
    <m/>
    <s v="NO TIENE CUPO"/>
    <n v="0"/>
    <x v="0"/>
    <x v="10"/>
    <x v="5"/>
    <x v="0"/>
    <n v="0"/>
    <x v="0"/>
    <x v="0"/>
    <s v="CB 160F STD                                       BLANCO PE"/>
    <e v="#N/A"/>
    <s v=""/>
  </r>
  <r>
    <x v="19"/>
    <d v="2017-08-01T00:00:00"/>
    <x v="0"/>
    <s v="NTE - ZONA NORTE"/>
    <s v="CONC - CONCESIONARIOS"/>
    <n v="3"/>
    <x v="6"/>
    <n v="3"/>
    <x v="19"/>
    <x v="9"/>
    <x v="17"/>
    <m/>
    <x v="13"/>
    <x v="6"/>
    <n v="3696639"/>
    <m/>
    <s v="NO TIENE CUPO"/>
    <n v="0"/>
    <x v="0"/>
    <x v="10"/>
    <x v="15"/>
    <x v="0"/>
    <n v="0"/>
    <x v="0"/>
    <x v="0"/>
    <s v="CB 110 DLX                                        GRIS     "/>
    <e v="#N/A"/>
    <s v=""/>
  </r>
  <r>
    <x v="19"/>
    <d v="2017-08-01T00:00:00"/>
    <x v="0"/>
    <s v="NTE - ZONA NORTE"/>
    <s v="CONC - CONCESIONARIOS"/>
    <n v="2"/>
    <x v="6"/>
    <n v="2"/>
    <x v="19"/>
    <x v="9"/>
    <x v="16"/>
    <m/>
    <x v="13"/>
    <x v="6"/>
    <n v="3696639"/>
    <m/>
    <s v="NO TIENE CUPO"/>
    <n v="0"/>
    <x v="0"/>
    <x v="10"/>
    <x v="14"/>
    <x v="0"/>
    <n v="0"/>
    <x v="0"/>
    <x v="0"/>
    <s v="CB 110 DLX                                        AZUL     "/>
    <e v="#N/A"/>
    <s v=""/>
  </r>
  <r>
    <x v="19"/>
    <d v="2017-08-01T00:00:00"/>
    <x v="0"/>
    <s v="NTE - ZONA NORTE"/>
    <s v="CONC - CONCESIONARIOS"/>
    <n v="8"/>
    <x v="6"/>
    <n v="8"/>
    <x v="19"/>
    <x v="9"/>
    <x v="1"/>
    <m/>
    <x v="13"/>
    <x v="6"/>
    <n v="3696639"/>
    <m/>
    <s v="NO TIENE CUPO"/>
    <n v="0"/>
    <x v="0"/>
    <x v="10"/>
    <x v="2"/>
    <x v="0"/>
    <n v="0"/>
    <x v="0"/>
    <x v="0"/>
    <s v="CB 110 DLX                                        NEGRO    "/>
    <e v="#N/A"/>
    <s v=""/>
  </r>
  <r>
    <x v="20"/>
    <d v="2017-08-01T00:00:00"/>
    <x v="0"/>
    <s v="SURO - SUR OCCIDENTE"/>
    <s v="CONC - CONCESIONARIOS"/>
    <n v="1"/>
    <x v="8"/>
    <n v="1"/>
    <x v="20"/>
    <x v="0"/>
    <x v="0"/>
    <m/>
    <x v="14"/>
    <x v="8"/>
    <n v="11496063"/>
    <m/>
    <n v="802084041"/>
    <n v="0"/>
    <x v="0"/>
    <x v="2"/>
    <x v="0"/>
    <x v="0"/>
    <n v="0"/>
    <x v="0"/>
    <x v="0"/>
    <s v="*XR-250 TORNADO pt MD34                           BLANCO NE"/>
    <e v="#N/A"/>
    <s v=""/>
  </r>
  <r>
    <x v="20"/>
    <d v="2017-08-01T00:00:00"/>
    <x v="0"/>
    <s v="SURO - SUR OCCIDENTE"/>
    <s v="CONC - CONCESIONARIOS"/>
    <n v="1"/>
    <x v="8"/>
    <n v="1"/>
    <x v="20"/>
    <x v="2"/>
    <x v="13"/>
    <m/>
    <x v="14"/>
    <x v="8"/>
    <n v="5789916"/>
    <m/>
    <n v="802084041"/>
    <n v="0"/>
    <x v="0"/>
    <x v="2"/>
    <x v="8"/>
    <x v="0"/>
    <n v="0"/>
    <x v="0"/>
    <x v="0"/>
    <s v="*XR 150L                                          NEGRO BLA"/>
    <e v="#N/A"/>
    <s v=""/>
  </r>
  <r>
    <x v="20"/>
    <d v="2017-08-01T00:00:00"/>
    <x v="0"/>
    <s v="SURO - SUR OCCIDENTE"/>
    <s v="CONC - CONCESIONARIOS"/>
    <n v="1"/>
    <x v="8"/>
    <n v="1"/>
    <x v="20"/>
    <x v="5"/>
    <x v="7"/>
    <m/>
    <x v="14"/>
    <x v="8"/>
    <n v="6133613"/>
    <m/>
    <n v="802084041"/>
    <n v="0"/>
    <x v="0"/>
    <x v="2"/>
    <x v="13"/>
    <x v="0"/>
    <n v="0"/>
    <x v="0"/>
    <x v="0"/>
    <s v="CB 160F DLX                                       ROJO SPOR"/>
    <e v="#N/A"/>
    <s v=""/>
  </r>
  <r>
    <x v="20"/>
    <d v="2017-08-01T00:00:00"/>
    <x v="0"/>
    <s v="SURO - SUR OCCIDENTE"/>
    <s v="CONC - CONCESIONARIOS"/>
    <n v="2"/>
    <x v="8"/>
    <n v="2"/>
    <x v="20"/>
    <x v="5"/>
    <x v="8"/>
    <m/>
    <x v="14"/>
    <x v="8"/>
    <n v="6133613"/>
    <m/>
    <n v="802084041"/>
    <n v="0"/>
    <x v="0"/>
    <x v="2"/>
    <x v="0"/>
    <x v="0"/>
    <n v="0"/>
    <x v="0"/>
    <x v="0"/>
    <s v="CB 160F DLX                                       NEGRO PER"/>
    <e v="#N/A"/>
    <s v=""/>
  </r>
  <r>
    <x v="20"/>
    <d v="2017-08-01T00:00:00"/>
    <x v="0"/>
    <s v="SURO - SUR OCCIDENTE"/>
    <s v="CONC - CONCESIONARIOS"/>
    <n v="1"/>
    <x v="8"/>
    <n v="1"/>
    <x v="20"/>
    <x v="10"/>
    <x v="20"/>
    <m/>
    <x v="14"/>
    <x v="8"/>
    <n v="3067227"/>
    <m/>
    <n v="802084041"/>
    <n v="0"/>
    <x v="0"/>
    <x v="2"/>
    <x v="0"/>
    <x v="0"/>
    <n v="0"/>
    <x v="0"/>
    <x v="0"/>
    <s v="DREAM  NEO                                        NEGRO AZU"/>
    <e v="#N/A"/>
    <s v=""/>
  </r>
  <r>
    <x v="20"/>
    <d v="2017-08-01T00:00:00"/>
    <x v="0"/>
    <s v="SURO - SUR OCCIDENTE"/>
    <s v="CONC - CONCESIONARIOS"/>
    <n v="2"/>
    <x v="8"/>
    <n v="2"/>
    <x v="20"/>
    <x v="9"/>
    <x v="17"/>
    <m/>
    <x v="14"/>
    <x v="8"/>
    <n v="3696639"/>
    <m/>
    <n v="802084041"/>
    <n v="0"/>
    <x v="0"/>
    <x v="2"/>
    <x v="15"/>
    <x v="0"/>
    <n v="0"/>
    <x v="0"/>
    <x v="0"/>
    <s v="CB 110 DLX                                        GRIS     "/>
    <e v="#N/A"/>
    <s v=""/>
  </r>
  <r>
    <x v="21"/>
    <d v="2017-08-01T00:00:00"/>
    <x v="0"/>
    <s v="CTR - ZONA CENTRO"/>
    <s v="CONC - CONCESIONARIOS"/>
    <n v="12"/>
    <x v="9"/>
    <n v="12"/>
    <x v="21"/>
    <x v="1"/>
    <x v="1"/>
    <m/>
    <x v="15"/>
    <x v="9"/>
    <n v="3360504"/>
    <m/>
    <n v="281000000"/>
    <n v="0"/>
    <x v="0"/>
    <x v="11"/>
    <x v="1"/>
    <x v="0"/>
    <n v="0"/>
    <x v="0"/>
    <x v="0"/>
    <s v="*CB-110                                           NEGRO    "/>
    <e v="#N/A"/>
    <s v=""/>
  </r>
  <r>
    <x v="21"/>
    <d v="2017-08-01T00:00:00"/>
    <x v="0"/>
    <s v="CTR - ZONA CENTRO"/>
    <s v="CONC - CONCESIONARIOS"/>
    <n v="8"/>
    <x v="9"/>
    <n v="8"/>
    <x v="21"/>
    <x v="1"/>
    <x v="14"/>
    <m/>
    <x v="15"/>
    <x v="9"/>
    <n v="3360504"/>
    <m/>
    <n v="281000000"/>
    <n v="0"/>
    <x v="0"/>
    <x v="11"/>
    <x v="10"/>
    <x v="0"/>
    <n v="0"/>
    <x v="0"/>
    <x v="0"/>
    <s v="*CB-110                                           AZUL FIJI"/>
    <e v="#N/A"/>
    <s v=""/>
  </r>
  <r>
    <x v="21"/>
    <d v="2017-08-01T00:00:00"/>
    <x v="0"/>
    <s v="CTR - ZONA CENTRO"/>
    <s v="CONC - CONCESIONARIOS"/>
    <n v="1"/>
    <x v="9"/>
    <n v="1"/>
    <x v="21"/>
    <x v="2"/>
    <x v="13"/>
    <m/>
    <x v="15"/>
    <x v="9"/>
    <n v="5789916"/>
    <m/>
    <n v="281000000"/>
    <n v="0"/>
    <x v="0"/>
    <x v="11"/>
    <x v="8"/>
    <x v="0"/>
    <n v="0"/>
    <x v="0"/>
    <x v="0"/>
    <s v="*XR 150L                                          NEGRO BLA"/>
    <e v="#N/A"/>
    <s v=""/>
  </r>
  <r>
    <x v="21"/>
    <d v="2017-08-01T00:00:00"/>
    <x v="0"/>
    <s v="CTR - ZONA CENTRO"/>
    <s v="CONC - CONCESIONARIOS"/>
    <n v="2"/>
    <x v="9"/>
    <n v="2"/>
    <x v="21"/>
    <x v="8"/>
    <x v="7"/>
    <m/>
    <x v="15"/>
    <x v="9"/>
    <n v="5453782"/>
    <m/>
    <n v="281000000"/>
    <n v="0"/>
    <x v="0"/>
    <x v="11"/>
    <x v="0"/>
    <x v="0"/>
    <n v="0"/>
    <x v="0"/>
    <x v="0"/>
    <s v="CB 160F STD                                       ROJO SPOR"/>
    <e v="#N/A"/>
    <s v=""/>
  </r>
  <r>
    <x v="21"/>
    <d v="2017-08-01T00:00:00"/>
    <x v="0"/>
    <s v="CTR - ZONA CENTRO"/>
    <s v="CONC - CONCESIONARIOS"/>
    <n v="2"/>
    <x v="9"/>
    <n v="2"/>
    <x v="21"/>
    <x v="8"/>
    <x v="8"/>
    <m/>
    <x v="15"/>
    <x v="9"/>
    <n v="5453782"/>
    <m/>
    <n v="281000000"/>
    <n v="0"/>
    <x v="0"/>
    <x v="11"/>
    <x v="0"/>
    <x v="0"/>
    <n v="0"/>
    <x v="0"/>
    <x v="0"/>
    <s v="CB 160F STD                                       NEGRO PER"/>
    <e v="#N/A"/>
    <s v=""/>
  </r>
  <r>
    <x v="21"/>
    <d v="2017-08-01T00:00:00"/>
    <x v="0"/>
    <s v="CTR - ZONA CENTRO"/>
    <s v="CONC - CONCESIONARIOS"/>
    <n v="7"/>
    <x v="9"/>
    <n v="7"/>
    <x v="21"/>
    <x v="9"/>
    <x v="16"/>
    <m/>
    <x v="15"/>
    <x v="9"/>
    <n v="3696639"/>
    <m/>
    <n v="281000000"/>
    <n v="0"/>
    <x v="0"/>
    <x v="11"/>
    <x v="14"/>
    <x v="0"/>
    <n v="0"/>
    <x v="0"/>
    <x v="0"/>
    <s v="CB 110 DLX                                        AZUL     "/>
    <e v="#N/A"/>
    <s v=""/>
  </r>
  <r>
    <x v="21"/>
    <d v="2017-08-01T00:00:00"/>
    <x v="0"/>
    <s v="CTR - ZONA CENTRO"/>
    <s v="CONC - CONCESIONARIOS"/>
    <n v="20"/>
    <x v="9"/>
    <n v="20"/>
    <x v="21"/>
    <x v="9"/>
    <x v="1"/>
    <m/>
    <x v="15"/>
    <x v="9"/>
    <n v="3696639"/>
    <m/>
    <n v="281000000"/>
    <n v="0"/>
    <x v="0"/>
    <x v="11"/>
    <x v="2"/>
    <x v="0"/>
    <n v="0"/>
    <x v="0"/>
    <x v="0"/>
    <s v="CB 110 DLX                                        NEGRO    "/>
    <e v="#N/A"/>
    <s v=""/>
  </r>
  <r>
    <x v="22"/>
    <d v="2017-08-01T00:00:00"/>
    <x v="0"/>
    <s v="SURO - SUR OCCIDENTE"/>
    <s v="CONC - CONCESIONARIOS"/>
    <n v="1"/>
    <x v="8"/>
    <n v="1"/>
    <x v="22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2"/>
    <d v="2017-08-01T00:00:00"/>
    <x v="0"/>
    <s v="SURO - SUR OCCIDENTE"/>
    <s v="CONC - CONCESIONARIOS"/>
    <n v="1"/>
    <x v="8"/>
    <n v="1"/>
    <x v="22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2"/>
    <d v="2017-08-01T00:00:00"/>
    <x v="0"/>
    <s v="SURO - SUR OCCIDENTE"/>
    <s v="CONC - CONCESIONARIOS"/>
    <n v="1"/>
    <x v="8"/>
    <n v="1"/>
    <x v="22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2"/>
    <d v="2017-08-01T00:00:00"/>
    <x v="0"/>
    <s v="SURO - SUR OCCIDENTE"/>
    <s v="CONC - CONCESIONARIOS"/>
    <n v="2"/>
    <x v="8"/>
    <n v="2"/>
    <x v="22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2"/>
    <d v="2017-08-01T00:00:00"/>
    <x v="0"/>
    <s v="SURO - SUR OCCIDENTE"/>
    <s v="CONC - CONCESIONARIOS"/>
    <n v="1"/>
    <x v="8"/>
    <n v="1"/>
    <x v="22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2"/>
    <d v="2017-08-01T00:00:00"/>
    <x v="0"/>
    <s v="SURO - SUR OCCIDENTE"/>
    <s v="CONC - CONCESIONARIOS"/>
    <n v="1"/>
    <x v="8"/>
    <n v="1"/>
    <x v="22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2"/>
    <d v="2017-08-01T00:00:00"/>
    <x v="0"/>
    <s v="SURO - SUR OCCIDENTE"/>
    <s v="CONC - CONCESIONARIOS"/>
    <n v="1"/>
    <x v="8"/>
    <n v="1"/>
    <x v="22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3"/>
    <d v="2017-08-01T00:00:00"/>
    <x v="0"/>
    <s v="SURO - SUR OCCIDENTE"/>
    <s v="CONC - CONCESIONARIOS"/>
    <n v="1"/>
    <x v="8"/>
    <n v="1"/>
    <x v="23"/>
    <x v="3"/>
    <x v="2"/>
    <m/>
    <x v="3"/>
    <x v="8"/>
    <n v="7554622"/>
    <m/>
    <n v="802084041"/>
    <n v="0"/>
    <x v="0"/>
    <x v="3"/>
    <x v="3"/>
    <x v="0"/>
    <n v="0"/>
    <x v="0"/>
    <x v="0"/>
    <s v="CB 190R                                           ROJO NEGR"/>
    <e v="#N/A"/>
    <s v=""/>
  </r>
  <r>
    <x v="23"/>
    <d v="2017-08-01T00:00:00"/>
    <x v="0"/>
    <s v="SURO - SUR OCCIDENTE"/>
    <s v="CONC - CONCESIONARIOS"/>
    <n v="1"/>
    <x v="8"/>
    <n v="1"/>
    <x v="23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3"/>
    <d v="2017-08-01T00:00:00"/>
    <x v="0"/>
    <s v="SURO - SUR OCCIDENTE"/>
    <s v="CONC - CONCESIONARIOS"/>
    <n v="1"/>
    <x v="8"/>
    <n v="1"/>
    <x v="23"/>
    <x v="5"/>
    <x v="7"/>
    <m/>
    <x v="3"/>
    <x v="8"/>
    <n v="6133613"/>
    <m/>
    <n v="802084041"/>
    <n v="0"/>
    <x v="0"/>
    <x v="3"/>
    <x v="13"/>
    <x v="0"/>
    <n v="0"/>
    <x v="0"/>
    <x v="0"/>
    <s v="CB 160F DLX                                       ROJO SPOR"/>
    <e v="#N/A"/>
    <s v=""/>
  </r>
  <r>
    <x v="23"/>
    <d v="2017-08-01T00:00:00"/>
    <x v="0"/>
    <s v="SURO - SUR OCCIDENTE"/>
    <s v="CONC - CONCESIONARIOS"/>
    <n v="3"/>
    <x v="8"/>
    <n v="3"/>
    <x v="23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3"/>
    <d v="2017-08-01T00:00:00"/>
    <x v="0"/>
    <s v="SURO - SUR OCCIDENTE"/>
    <s v="CONC - CONCESIONARIOS"/>
    <n v="1"/>
    <x v="8"/>
    <n v="1"/>
    <x v="23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3"/>
    <d v="2017-08-01T00:00:00"/>
    <x v="0"/>
    <s v="SURO - SUR OCCIDENTE"/>
    <s v="CONC - CONCESIONARIOS"/>
    <n v="2"/>
    <x v="8"/>
    <n v="2"/>
    <x v="23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3"/>
    <d v="2017-08-01T00:00:00"/>
    <x v="0"/>
    <s v="SURO - SUR OCCIDENTE"/>
    <s v="CONC - CONCESIONARIOS"/>
    <n v="1"/>
    <x v="8"/>
    <n v="1"/>
    <x v="23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4"/>
    <d v="2017-08-01T00:00:00"/>
    <x v="0"/>
    <s v="CTR - ZONA CENTRO"/>
    <s v="CONC - CONCESIONARIOS"/>
    <n v="2"/>
    <x v="9"/>
    <n v="2"/>
    <x v="24"/>
    <x v="1"/>
    <x v="14"/>
    <m/>
    <x v="16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4"/>
    <d v="2017-08-01T00:00:00"/>
    <x v="0"/>
    <s v="CTR - ZONA CENTRO"/>
    <s v="CONC - CONCESIONARIOS"/>
    <n v="2"/>
    <x v="9"/>
    <n v="2"/>
    <x v="24"/>
    <x v="1"/>
    <x v="7"/>
    <m/>
    <x v="16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4"/>
    <d v="2017-08-01T00:00:00"/>
    <x v="0"/>
    <s v="CTR - ZONA CENTRO"/>
    <s v="CONC - CONCESIONARIOS"/>
    <n v="2"/>
    <x v="9"/>
    <n v="2"/>
    <x v="24"/>
    <x v="1"/>
    <x v="1"/>
    <m/>
    <x v="16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4"/>
    <d v="2017-08-01T00:00:00"/>
    <x v="0"/>
    <s v="CTR - ZONA CENTRO"/>
    <s v="CONC - CONCESIONARIOS"/>
    <n v="1"/>
    <x v="9"/>
    <n v="1"/>
    <x v="24"/>
    <x v="2"/>
    <x v="13"/>
    <m/>
    <x v="16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4"/>
    <d v="2017-08-01T00:00:00"/>
    <x v="0"/>
    <s v="CTR - ZONA CENTRO"/>
    <s v="CONC - CONCESIONARIOS"/>
    <n v="2"/>
    <x v="9"/>
    <n v="2"/>
    <x v="24"/>
    <x v="8"/>
    <x v="8"/>
    <m/>
    <x v="16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4"/>
    <d v="2017-08-01T00:00:00"/>
    <x v="0"/>
    <s v="CTR - ZONA CENTRO"/>
    <s v="CONC - CONCESIONARIOS"/>
    <n v="1"/>
    <x v="9"/>
    <n v="1"/>
    <x v="24"/>
    <x v="8"/>
    <x v="7"/>
    <m/>
    <x v="16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4"/>
    <d v="2017-08-01T00:00:00"/>
    <x v="0"/>
    <s v="CTR - ZONA CENTRO"/>
    <s v="CONC - CONCESIONARIOS"/>
    <n v="3"/>
    <x v="9"/>
    <n v="3"/>
    <x v="24"/>
    <x v="9"/>
    <x v="17"/>
    <m/>
    <x v="16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4"/>
    <d v="2017-08-01T00:00:00"/>
    <x v="0"/>
    <s v="CTR - ZONA CENTRO"/>
    <s v="CONC - CONCESIONARIOS"/>
    <n v="5"/>
    <x v="9"/>
    <n v="5"/>
    <x v="24"/>
    <x v="9"/>
    <x v="16"/>
    <m/>
    <x v="16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4"/>
    <d v="2017-08-01T00:00:00"/>
    <x v="0"/>
    <s v="CTR - ZONA CENTRO"/>
    <s v="CONC - CONCESIONARIOS"/>
    <n v="8"/>
    <x v="9"/>
    <n v="8"/>
    <x v="24"/>
    <x v="9"/>
    <x v="1"/>
    <m/>
    <x v="16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5"/>
    <d v="2017-08-01T00:00:00"/>
    <x v="0"/>
    <s v="SURO - SUR OCCIDENTE"/>
    <s v="CONC - CONCESIONARIOS"/>
    <n v="1"/>
    <x v="8"/>
    <n v="1"/>
    <x v="25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5"/>
    <d v="2017-08-01T00:00:00"/>
    <x v="0"/>
    <s v="SURO - SUR OCCIDENTE"/>
    <s v="CONC - CONCESIONARIOS"/>
    <n v="2"/>
    <x v="8"/>
    <n v="2"/>
    <x v="25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5"/>
    <d v="2017-08-01T00:00:00"/>
    <x v="0"/>
    <s v="SURO - SUR OCCIDENTE"/>
    <s v="CONC - CONCESIONARIOS"/>
    <n v="1"/>
    <x v="8"/>
    <n v="1"/>
    <x v="25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5"/>
    <d v="2017-08-01T00:00:00"/>
    <x v="0"/>
    <s v="SURO - SUR OCCIDENTE"/>
    <s v="CONC - CONCESIONARIOS"/>
    <n v="1"/>
    <x v="8"/>
    <n v="1"/>
    <x v="25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6"/>
    <d v="2017-08-01T00:00:00"/>
    <x v="0"/>
    <s v="CTR - ZONA CENTRO"/>
    <s v="CONC - CONCESIONARIOS"/>
    <n v="2"/>
    <x v="9"/>
    <n v="2"/>
    <x v="26"/>
    <x v="1"/>
    <x v="14"/>
    <m/>
    <x v="17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6"/>
    <d v="2017-08-01T00:00:00"/>
    <x v="0"/>
    <s v="CTR - ZONA CENTRO"/>
    <s v="CONC - CONCESIONARIOS"/>
    <n v="2"/>
    <x v="9"/>
    <n v="2"/>
    <x v="26"/>
    <x v="2"/>
    <x v="13"/>
    <m/>
    <x v="17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6"/>
    <d v="2017-08-01T00:00:00"/>
    <x v="0"/>
    <s v="CTR - ZONA CENTRO"/>
    <s v="CONC - CONCESIONARIOS"/>
    <n v="5"/>
    <x v="9"/>
    <n v="5"/>
    <x v="26"/>
    <x v="9"/>
    <x v="1"/>
    <m/>
    <x v="17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7"/>
    <d v="2017-08-01T00:00:00"/>
    <x v="0"/>
    <s v="CTR - ZONA CENTRO"/>
    <s v="CONC - CONCESIONARIOS"/>
    <n v="5"/>
    <x v="9"/>
    <n v="5"/>
    <x v="27"/>
    <x v="1"/>
    <x v="7"/>
    <m/>
    <x v="18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7"/>
    <d v="2017-08-01T00:00:00"/>
    <x v="0"/>
    <s v="CTR - ZONA CENTRO"/>
    <s v="CONC - CONCESIONARIOS"/>
    <n v="5"/>
    <x v="9"/>
    <n v="5"/>
    <x v="27"/>
    <x v="1"/>
    <x v="14"/>
    <m/>
    <x v="18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7"/>
    <d v="2017-08-01T00:00:00"/>
    <x v="0"/>
    <s v="CTR - ZONA CENTRO"/>
    <s v="CONC - CONCESIONARIOS"/>
    <n v="8"/>
    <x v="9"/>
    <n v="8"/>
    <x v="27"/>
    <x v="1"/>
    <x v="1"/>
    <m/>
    <x v="18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7"/>
    <d v="2017-08-01T00:00:00"/>
    <x v="0"/>
    <s v="CTR - ZONA CENTRO"/>
    <s v="CONC - CONCESIONARIOS"/>
    <n v="2"/>
    <x v="9"/>
    <n v="2"/>
    <x v="27"/>
    <x v="2"/>
    <x v="13"/>
    <m/>
    <x v="18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3"/>
    <x v="2"/>
    <m/>
    <x v="18"/>
    <x v="9"/>
    <n v="7554622"/>
    <m/>
    <n v="281000000"/>
    <n v="0"/>
    <x v="0"/>
    <x v="12"/>
    <x v="3"/>
    <x v="0"/>
    <n v="0"/>
    <x v="0"/>
    <x v="0"/>
    <s v="CB 190R                                           ROJO NEGR"/>
    <e v="#N/A"/>
    <s v=""/>
  </r>
  <r>
    <x v="27"/>
    <d v="2017-08-01T00:00:00"/>
    <x v="0"/>
    <s v="CTR - ZONA CENTRO"/>
    <s v="CONC - CONCESIONARIOS"/>
    <n v="1"/>
    <x v="9"/>
    <n v="1"/>
    <x v="27"/>
    <x v="3"/>
    <x v="3"/>
    <m/>
    <x v="18"/>
    <x v="9"/>
    <n v="7554622"/>
    <m/>
    <n v="281000000"/>
    <n v="0"/>
    <x v="0"/>
    <x v="12"/>
    <x v="0"/>
    <x v="0"/>
    <n v="0"/>
    <x v="0"/>
    <x v="0"/>
    <s v="CB 190R                                           NEGRO ONI"/>
    <e v="#N/A"/>
    <s v=""/>
  </r>
  <r>
    <x v="27"/>
    <d v="2017-08-01T00:00:00"/>
    <x v="0"/>
    <s v="CTR - ZONA CENTRO"/>
    <s v="CONC - CONCESIONARIOS"/>
    <n v="1"/>
    <x v="9"/>
    <n v="1"/>
    <x v="27"/>
    <x v="11"/>
    <x v="13"/>
    <m/>
    <x v="18"/>
    <x v="9"/>
    <n v="3521008"/>
    <m/>
    <n v="281000000"/>
    <n v="0"/>
    <x v="0"/>
    <x v="12"/>
    <x v="12"/>
    <x v="0"/>
    <n v="0"/>
    <x v="0"/>
    <x v="0"/>
    <s v="DIO 110 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11"/>
    <x v="22"/>
    <m/>
    <x v="18"/>
    <x v="9"/>
    <n v="3521008"/>
    <m/>
    <n v="281000000"/>
    <n v="0"/>
    <x v="0"/>
    <x v="12"/>
    <x v="19"/>
    <x v="0"/>
    <n v="0"/>
    <x v="0"/>
    <x v="0"/>
    <s v="DIO 110                                           AZUL BLAN"/>
    <e v="#N/A"/>
    <s v=""/>
  </r>
  <r>
    <x v="27"/>
    <d v="2017-08-01T00:00:00"/>
    <x v="0"/>
    <s v="CTR - ZONA CENTRO"/>
    <s v="CONC - CONCESIONARIOS"/>
    <n v="1"/>
    <x v="9"/>
    <n v="1"/>
    <x v="27"/>
    <x v="11"/>
    <x v="10"/>
    <m/>
    <x v="18"/>
    <x v="9"/>
    <n v="3521008"/>
    <m/>
    <n v="281000000"/>
    <n v="0"/>
    <x v="0"/>
    <x v="12"/>
    <x v="2"/>
    <x v="0"/>
    <n v="0"/>
    <x v="0"/>
    <x v="0"/>
    <s v="DIO 110                                           ROJO BLAN"/>
    <e v="#N/A"/>
    <s v=""/>
  </r>
  <r>
    <x v="27"/>
    <d v="2017-08-01T00:00:00"/>
    <x v="0"/>
    <s v="CTR - ZONA CENTRO"/>
    <s v="CONC - CONCESIONARIOS"/>
    <n v="2"/>
    <x v="9"/>
    <n v="2"/>
    <x v="27"/>
    <x v="7"/>
    <x v="6"/>
    <m/>
    <x v="18"/>
    <x v="9"/>
    <n v="3941176"/>
    <m/>
    <n v="281000000"/>
    <n v="0"/>
    <x v="0"/>
    <x v="12"/>
    <x v="0"/>
    <x v="0"/>
    <n v="0"/>
    <x v="0"/>
    <x v="0"/>
    <s v="WAVE 110S                                         ROJO     "/>
    <e v="#N/A"/>
    <s v=""/>
  </r>
  <r>
    <x v="27"/>
    <d v="2017-08-01T00:00:00"/>
    <x v="0"/>
    <s v="CTR - ZONA CENTRO"/>
    <s v="CONC - CONCESIONARIOS"/>
    <n v="2"/>
    <x v="9"/>
    <n v="2"/>
    <x v="27"/>
    <x v="8"/>
    <x v="7"/>
    <m/>
    <x v="18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7"/>
    <d v="2017-08-01T00:00:00"/>
    <x v="0"/>
    <s v="CTR - ZONA CENTRO"/>
    <s v="CONC - CONCESIONARIOS"/>
    <n v="2"/>
    <x v="9"/>
    <n v="2"/>
    <x v="27"/>
    <x v="8"/>
    <x v="8"/>
    <m/>
    <x v="18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7"/>
    <d v="2017-08-01T00:00:00"/>
    <x v="0"/>
    <s v="CTR - ZONA CENTRO"/>
    <s v="CONC - CONCESIONARIOS"/>
    <n v="2"/>
    <x v="9"/>
    <n v="2"/>
    <x v="27"/>
    <x v="9"/>
    <x v="17"/>
    <m/>
    <x v="18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7"/>
    <d v="2017-08-01T00:00:00"/>
    <x v="0"/>
    <s v="CTR - ZONA CENTRO"/>
    <s v="CONC - CONCESIONARIOS"/>
    <n v="5"/>
    <x v="9"/>
    <n v="5"/>
    <x v="27"/>
    <x v="9"/>
    <x v="16"/>
    <m/>
    <x v="18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7"/>
    <d v="2017-08-01T00:00:00"/>
    <x v="0"/>
    <s v="CTR - ZONA CENTRO"/>
    <s v="CONC - CONCESIONARIOS"/>
    <n v="10"/>
    <x v="9"/>
    <n v="10"/>
    <x v="27"/>
    <x v="9"/>
    <x v="1"/>
    <m/>
    <x v="18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8"/>
    <d v="2017-08-01T00:00:00"/>
    <x v="0"/>
    <s v="CTR - ZONA CENTRO"/>
    <s v="CONC - CONCESIONARIOS"/>
    <n v="7"/>
    <x v="9"/>
    <n v="7"/>
    <x v="28"/>
    <x v="1"/>
    <x v="7"/>
    <m/>
    <x v="19"/>
    <x v="9"/>
    <n v="3360504"/>
    <m/>
    <n v="281000000"/>
    <n v="0"/>
    <x v="0"/>
    <x v="13"/>
    <x v="9"/>
    <x v="0"/>
    <n v="0"/>
    <x v="0"/>
    <x v="0"/>
    <s v="*CB-110                                           ROJO SPOR"/>
    <e v="#N/A"/>
    <s v=""/>
  </r>
  <r>
    <x v="28"/>
    <d v="2017-08-01T00:00:00"/>
    <x v="0"/>
    <s v="CTR - ZONA CENTRO"/>
    <s v="CONC - CONCESIONARIOS"/>
    <n v="5"/>
    <x v="9"/>
    <n v="5"/>
    <x v="28"/>
    <x v="1"/>
    <x v="14"/>
    <m/>
    <x v="19"/>
    <x v="9"/>
    <n v="3360504"/>
    <m/>
    <n v="281000000"/>
    <n v="0"/>
    <x v="0"/>
    <x v="13"/>
    <x v="10"/>
    <x v="0"/>
    <n v="0"/>
    <x v="0"/>
    <x v="0"/>
    <s v="*CB-110                                           AZUL FIJI"/>
    <e v="#N/A"/>
    <s v=""/>
  </r>
  <r>
    <x v="28"/>
    <d v="2017-08-01T00:00:00"/>
    <x v="0"/>
    <s v="CTR - ZONA CENTRO"/>
    <s v="CONC - CONCESIONARIOS"/>
    <n v="8"/>
    <x v="9"/>
    <n v="8"/>
    <x v="28"/>
    <x v="1"/>
    <x v="1"/>
    <m/>
    <x v="19"/>
    <x v="9"/>
    <n v="3360504"/>
    <m/>
    <n v="281000000"/>
    <n v="0"/>
    <x v="0"/>
    <x v="13"/>
    <x v="1"/>
    <x v="0"/>
    <n v="0"/>
    <x v="0"/>
    <x v="0"/>
    <s v="*CB-110                                           NEGRO    "/>
    <e v="#N/A"/>
    <s v=""/>
  </r>
  <r>
    <x v="28"/>
    <d v="2017-08-01T00:00:00"/>
    <x v="0"/>
    <s v="CTR - ZONA CENTRO"/>
    <s v="CONC - CONCESIONARIOS"/>
    <n v="2"/>
    <x v="9"/>
    <n v="2"/>
    <x v="28"/>
    <x v="2"/>
    <x v="13"/>
    <m/>
    <x v="19"/>
    <x v="9"/>
    <n v="5789916"/>
    <m/>
    <n v="281000000"/>
    <n v="0"/>
    <x v="0"/>
    <x v="13"/>
    <x v="8"/>
    <x v="0"/>
    <n v="0"/>
    <x v="0"/>
    <x v="0"/>
    <s v="*XR 150L                                          NEGRO BLA"/>
    <e v="#N/A"/>
    <s v=""/>
  </r>
  <r>
    <x v="28"/>
    <d v="2017-08-01T00:00:00"/>
    <x v="0"/>
    <s v="CTR - ZONA CENTRO"/>
    <s v="CONC - CONCESIONARIOS"/>
    <n v="1"/>
    <x v="9"/>
    <n v="1"/>
    <x v="28"/>
    <x v="8"/>
    <x v="7"/>
    <m/>
    <x v="19"/>
    <x v="9"/>
    <n v="5453782"/>
    <m/>
    <n v="281000000"/>
    <n v="0"/>
    <x v="0"/>
    <x v="13"/>
    <x v="0"/>
    <x v="0"/>
    <n v="0"/>
    <x v="0"/>
    <x v="0"/>
    <s v="CB 160F STD                                       ROJO SPOR"/>
    <e v="#N/A"/>
    <s v=""/>
  </r>
  <r>
    <x v="28"/>
    <d v="2017-08-01T00:00:00"/>
    <x v="0"/>
    <s v="CTR - ZONA CENTRO"/>
    <s v="CONC - CONCESIONARIOS"/>
    <n v="2"/>
    <x v="9"/>
    <n v="2"/>
    <x v="28"/>
    <x v="9"/>
    <x v="17"/>
    <m/>
    <x v="19"/>
    <x v="9"/>
    <n v="3696639"/>
    <m/>
    <n v="281000000"/>
    <n v="0"/>
    <x v="0"/>
    <x v="13"/>
    <x v="15"/>
    <x v="0"/>
    <n v="0"/>
    <x v="0"/>
    <x v="0"/>
    <s v="CB 110 DLX                                        GRIS     "/>
    <e v="#N/A"/>
    <s v=""/>
  </r>
  <r>
    <x v="28"/>
    <d v="2017-08-01T00:00:00"/>
    <x v="0"/>
    <s v="CTR - ZONA CENTRO"/>
    <s v="CONC - CONCESIONARIOS"/>
    <n v="5"/>
    <x v="9"/>
    <n v="5"/>
    <x v="28"/>
    <x v="9"/>
    <x v="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ROJO     "/>
    <e v="#N/A"/>
    <s v=""/>
  </r>
  <r>
    <x v="28"/>
    <d v="2017-08-01T00:00:00"/>
    <x v="0"/>
    <s v="CTR - ZONA CENTRO"/>
    <s v="CONC - CONCESIONARIOS"/>
    <n v="8"/>
    <x v="9"/>
    <n v="8"/>
    <x v="28"/>
    <x v="9"/>
    <x v="1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AZUL     "/>
    <e v="#N/A"/>
    <s v=""/>
  </r>
  <r>
    <x v="28"/>
    <d v="2017-08-01T00:00:00"/>
    <x v="0"/>
    <s v="CTR - ZONA CENTRO"/>
    <s v="CONC - CONCESIONARIOS"/>
    <n v="10"/>
    <x v="9"/>
    <n v="10"/>
    <x v="28"/>
    <x v="9"/>
    <x v="1"/>
    <m/>
    <x v="19"/>
    <x v="9"/>
    <n v="3696639"/>
    <m/>
    <n v="281000000"/>
    <n v="0"/>
    <x v="0"/>
    <x v="13"/>
    <x v="2"/>
    <x v="0"/>
    <n v="0"/>
    <x v="0"/>
    <x v="0"/>
    <s v="CB 110 DLX                                        NEGRO    "/>
    <e v="#N/A"/>
    <s v=""/>
  </r>
  <r>
    <x v="29"/>
    <d v="2017-08-01T00:00:00"/>
    <x v="0"/>
    <s v="NTE - ZONA NORTE"/>
    <s v="CONC - CONCESIONARIOS"/>
    <n v="10"/>
    <x v="10"/>
    <n v="10"/>
    <x v="29"/>
    <x v="10"/>
    <x v="12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29"/>
    <d v="2017-08-01T00:00:00"/>
    <x v="0"/>
    <s v="NTE - ZONA NORTE"/>
    <s v="CONC - CONCESIONARIOS"/>
    <n v="2"/>
    <x v="10"/>
    <n v="2"/>
    <x v="29"/>
    <x v="10"/>
    <x v="15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ROJ"/>
    <e v="#N/A"/>
    <s v=""/>
  </r>
  <r>
    <x v="29"/>
    <d v="2017-08-01T00:00:00"/>
    <x v="0"/>
    <s v="NTE - ZONA NORTE"/>
    <s v="CONC - CONCESIONARIOS"/>
    <n v="8"/>
    <x v="10"/>
    <n v="8"/>
    <x v="29"/>
    <x v="10"/>
    <x v="20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29"/>
    <d v="2017-08-01T00:00:00"/>
    <x v="0"/>
    <s v="NTE - ZONA NORTE"/>
    <s v="CONC - CONCESIONARIOS"/>
    <n v="2"/>
    <x v="10"/>
    <n v="2"/>
    <x v="29"/>
    <x v="9"/>
    <x v="1"/>
    <m/>
    <x v="20"/>
    <x v="10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30"/>
    <d v="2017-08-01T00:00:00"/>
    <x v="0"/>
    <s v="SURO - SUR OCCIDENTE"/>
    <s v="DIST - DISTRIBUIDORES"/>
    <n v="1"/>
    <x v="11"/>
    <n v="1"/>
    <x v="30"/>
    <x v="1"/>
    <x v="18"/>
    <m/>
    <x v="21"/>
    <x v="11"/>
    <n v="3360504"/>
    <m/>
    <n v="0"/>
    <n v="158000000"/>
    <x v="0"/>
    <x v="15"/>
    <x v="15"/>
    <x v="0"/>
    <n v="0"/>
    <x v="0"/>
    <x v="0"/>
    <s v="*CB-110                                           GRIS MET "/>
    <e v="#N/A"/>
    <s v=""/>
  </r>
  <r>
    <x v="30"/>
    <d v="2017-08-01T00:00:00"/>
    <x v="0"/>
    <s v="SURO - SUR OCCIDENTE"/>
    <s v="DIST - DISTRIBUIDORES"/>
    <n v="1"/>
    <x v="11"/>
    <n v="1"/>
    <x v="30"/>
    <x v="2"/>
    <x v="13"/>
    <m/>
    <x v="21"/>
    <x v="11"/>
    <n v="5789916"/>
    <m/>
    <n v="0"/>
    <n v="158000000"/>
    <x v="0"/>
    <x v="15"/>
    <x v="8"/>
    <x v="0"/>
    <n v="0"/>
    <x v="0"/>
    <x v="0"/>
    <s v="*XR 150L                                          NEGRO BLA"/>
    <e v="#N/A"/>
    <s v=""/>
  </r>
  <r>
    <x v="30"/>
    <d v="2017-08-01T00:00:00"/>
    <x v="0"/>
    <s v="SURO - SUR OCCIDENTE"/>
    <s v="DIST - DISTRIBUIDORES"/>
    <n v="1"/>
    <x v="11"/>
    <n v="1"/>
    <x v="30"/>
    <x v="9"/>
    <x v="16"/>
    <m/>
    <x v="21"/>
    <x v="11"/>
    <n v="3696639"/>
    <m/>
    <n v="0"/>
    <n v="158000000"/>
    <x v="0"/>
    <x v="15"/>
    <x v="14"/>
    <x v="0"/>
    <n v="0"/>
    <x v="0"/>
    <x v="0"/>
    <s v="CB 110 DLX                                        AZUL     "/>
    <e v="#N/A"/>
    <s v=""/>
  </r>
  <r>
    <x v="30"/>
    <d v="2017-08-01T00:00:00"/>
    <x v="0"/>
    <s v="SURO - SUR OCCIDENTE"/>
    <s v="DIST - DISTRIBUIDORES"/>
    <n v="1"/>
    <x v="11"/>
    <n v="1"/>
    <x v="30"/>
    <x v="9"/>
    <x v="17"/>
    <m/>
    <x v="21"/>
    <x v="11"/>
    <n v="3696639"/>
    <m/>
    <n v="0"/>
    <n v="158000000"/>
    <x v="0"/>
    <x v="15"/>
    <x v="15"/>
    <x v="0"/>
    <n v="0"/>
    <x v="0"/>
    <x v="0"/>
    <s v="CB 110 DLX                                        GRIS     "/>
    <e v="#N/A"/>
    <s v=""/>
  </r>
  <r>
    <x v="30"/>
    <d v="2017-08-01T00:00:00"/>
    <x v="0"/>
    <s v="SURO - SUR OCCIDENTE"/>
    <s v="DIST - DISTRIBUIDORES"/>
    <n v="1"/>
    <x v="11"/>
    <n v="1"/>
    <x v="30"/>
    <x v="9"/>
    <x v="1"/>
    <m/>
    <x v="21"/>
    <x v="11"/>
    <n v="3696639"/>
    <m/>
    <n v="0"/>
    <n v="158000000"/>
    <x v="0"/>
    <x v="15"/>
    <x v="2"/>
    <x v="0"/>
    <n v="0"/>
    <x v="0"/>
    <x v="0"/>
    <s v="CB 110 DLX                                        NEGRO    "/>
    <e v="#N/A"/>
    <s v=""/>
  </r>
  <r>
    <x v="31"/>
    <d v="2017-08-01T00:00:00"/>
    <x v="1"/>
    <s v="SURO - SUR OCCIDENTE"/>
    <s v="DIST - DISTRIBUIDORES"/>
    <n v="2"/>
    <x v="12"/>
    <n v="2"/>
    <x v="31"/>
    <x v="1"/>
    <x v="18"/>
    <m/>
    <x v="22"/>
    <x v="12"/>
    <n v="3360504"/>
    <m/>
    <s v="FACTURAS VENCIDAS"/>
    <n v="0"/>
    <x v="1"/>
    <x v="0"/>
    <x v="15"/>
    <x v="0"/>
    <n v="0"/>
    <x v="0"/>
    <x v="0"/>
    <s v="*CB-110                                           GRIS MET "/>
    <e v="#N/A"/>
    <s v=""/>
  </r>
  <r>
    <x v="31"/>
    <d v="2017-08-01T00:00:00"/>
    <x v="1"/>
    <s v="SURO - SUR OCCIDENTE"/>
    <s v="DIST - DISTRIBUIDORES"/>
    <n v="2"/>
    <x v="12"/>
    <n v="2"/>
    <x v="31"/>
    <x v="1"/>
    <x v="7"/>
    <m/>
    <x v="22"/>
    <x v="12"/>
    <n v="3360504"/>
    <m/>
    <s v="FACTURAS VENCIDAS"/>
    <n v="0"/>
    <x v="1"/>
    <x v="0"/>
    <x v="9"/>
    <x v="0"/>
    <n v="0"/>
    <x v="0"/>
    <x v="0"/>
    <s v="*CB-110                                           ROJO SPOR"/>
    <e v="#N/A"/>
    <s v=""/>
  </r>
  <r>
    <x v="31"/>
    <d v="2017-08-01T00:00:00"/>
    <x v="1"/>
    <s v="SURO - SUR OCCIDENTE"/>
    <s v="DIST - DISTRIBUIDORES"/>
    <n v="8"/>
    <x v="12"/>
    <n v="8"/>
    <x v="31"/>
    <x v="1"/>
    <x v="1"/>
    <m/>
    <x v="22"/>
    <x v="12"/>
    <n v="3360504"/>
    <m/>
    <s v="FACTURAS VENCIDAS"/>
    <n v="0"/>
    <x v="1"/>
    <x v="0"/>
    <x v="1"/>
    <x v="0"/>
    <n v="0"/>
    <x v="0"/>
    <x v="0"/>
    <s v="*CB-110                                           NEGRO    "/>
    <e v="#N/A"/>
    <s v=""/>
  </r>
  <r>
    <x v="31"/>
    <d v="2017-08-01T00:00:00"/>
    <x v="1"/>
    <s v="SURO - SUR OCCIDENTE"/>
    <s v="DIST - DISTRIBUIDORES"/>
    <n v="1"/>
    <x v="12"/>
    <n v="1"/>
    <x v="31"/>
    <x v="1"/>
    <x v="14"/>
    <m/>
    <x v="22"/>
    <x v="12"/>
    <n v="3360504"/>
    <m/>
    <s v="FACTURAS VENCIDAS"/>
    <n v="0"/>
    <x v="1"/>
    <x v="0"/>
    <x v="10"/>
    <x v="0"/>
    <n v="0"/>
    <x v="0"/>
    <x v="0"/>
    <s v="*CB-110                                           AZUL FIJI"/>
    <e v="#N/A"/>
    <s v=""/>
  </r>
  <r>
    <x v="31"/>
    <d v="2017-08-01T00:00:00"/>
    <x v="1"/>
    <s v="SURO - SUR OCCIDENTE"/>
    <s v="DIST - DISTRIBUIDORES"/>
    <n v="1"/>
    <x v="12"/>
    <n v="1"/>
    <x v="31"/>
    <x v="2"/>
    <x v="15"/>
    <m/>
    <x v="22"/>
    <x v="12"/>
    <n v="5789916"/>
    <m/>
    <s v="FACTURAS VENCIDAS"/>
    <n v="0"/>
    <x v="1"/>
    <x v="0"/>
    <x v="11"/>
    <x v="0"/>
    <n v="0"/>
    <x v="0"/>
    <x v="0"/>
    <s v="*XR 150L  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2"/>
    <x v="13"/>
    <m/>
    <x v="22"/>
    <x v="12"/>
    <n v="5789916"/>
    <m/>
    <s v="FACTURAS VENCIDAS"/>
    <n v="0"/>
    <x v="1"/>
    <x v="0"/>
    <x v="8"/>
    <x v="0"/>
    <n v="0"/>
    <x v="0"/>
    <x v="0"/>
    <s v="*XR 150L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2"/>
    <x v="1"/>
    <m/>
    <x v="22"/>
    <x v="12"/>
    <n v="5789916"/>
    <m/>
    <s v="FACTURAS VENCIDAS"/>
    <n v="0"/>
    <x v="1"/>
    <x v="0"/>
    <x v="2"/>
    <x v="0"/>
    <n v="0"/>
    <x v="0"/>
    <x v="0"/>
    <s v="*XR 150L                                          NEGRO    "/>
    <e v="#N/A"/>
    <s v=""/>
  </r>
  <r>
    <x v="31"/>
    <d v="2017-08-01T00:00:00"/>
    <x v="1"/>
    <s v="SURO - SUR OCCIDENTE"/>
    <s v="DIST - DISTRIBUIDORES"/>
    <n v="6"/>
    <x v="12"/>
    <n v="6"/>
    <x v="31"/>
    <x v="11"/>
    <x v="13"/>
    <m/>
    <x v="22"/>
    <x v="12"/>
    <n v="3521008"/>
    <m/>
    <s v="FACTURAS VENCIDAS"/>
    <n v="0"/>
    <x v="1"/>
    <x v="0"/>
    <x v="12"/>
    <x v="0"/>
    <n v="0"/>
    <x v="0"/>
    <x v="0"/>
    <s v="DIO 110 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6"/>
    <x v="6"/>
    <m/>
    <x v="22"/>
    <x v="12"/>
    <n v="3521008"/>
    <m/>
    <s v="FACTURAS VENCIDAS"/>
    <n v="0"/>
    <x v="1"/>
    <x v="0"/>
    <x v="0"/>
    <x v="0"/>
    <n v="0"/>
    <x v="0"/>
    <x v="0"/>
    <s v="DIO  110  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6"/>
    <x v="0"/>
    <m/>
    <x v="22"/>
    <x v="12"/>
    <n v="3521008"/>
    <m/>
    <s v="FACTURAS VENCIDAS"/>
    <n v="0"/>
    <x v="1"/>
    <x v="0"/>
    <x v="7"/>
    <x v="0"/>
    <n v="0"/>
    <x v="0"/>
    <x v="0"/>
    <s v="DIO  110                                          BLANCO NE"/>
    <e v="#N/A"/>
    <s v=""/>
  </r>
  <r>
    <x v="31"/>
    <d v="2017-08-01T00:00:00"/>
    <x v="1"/>
    <s v="SURO - SUR OCCIDENTE"/>
    <s v="DIST - DISTRIBUIDORES"/>
    <n v="1"/>
    <x v="12"/>
    <n v="1"/>
    <x v="31"/>
    <x v="10"/>
    <x v="15"/>
    <m/>
    <x v="22"/>
    <x v="12"/>
    <n v="3067227"/>
    <m/>
    <s v="FACTURAS VENCIDAS"/>
    <n v="0"/>
    <x v="1"/>
    <x v="0"/>
    <x v="0"/>
    <x v="0"/>
    <n v="0"/>
    <x v="0"/>
    <x v="0"/>
    <s v="DREAM  NEO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9"/>
    <x v="17"/>
    <m/>
    <x v="22"/>
    <x v="12"/>
    <n v="3696639"/>
    <m/>
    <s v="FACTURAS VENCIDAS"/>
    <n v="0"/>
    <x v="1"/>
    <x v="0"/>
    <x v="15"/>
    <x v="0"/>
    <n v="0"/>
    <x v="0"/>
    <x v="0"/>
    <s v="CB 110 DLX                                        GRIS     "/>
    <e v="#N/A"/>
    <s v=""/>
  </r>
  <r>
    <x v="31"/>
    <d v="2017-08-01T00:00:00"/>
    <x v="1"/>
    <s v="SURO - SUR OCCIDENTE"/>
    <s v="DIST - DISTRIBUIDORES"/>
    <n v="1"/>
    <x v="12"/>
    <n v="1"/>
    <x v="31"/>
    <x v="9"/>
    <x v="6"/>
    <m/>
    <x v="22"/>
    <x v="12"/>
    <n v="3696639"/>
    <m/>
    <s v="FACTURAS VENCIDAS"/>
    <n v="0"/>
    <x v="1"/>
    <x v="0"/>
    <x v="14"/>
    <x v="0"/>
    <n v="0"/>
    <x v="0"/>
    <x v="0"/>
    <s v="CB 110 DLX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9"/>
    <x v="1"/>
    <m/>
    <x v="22"/>
    <x v="12"/>
    <n v="3696639"/>
    <m/>
    <s v="FACTURAS VENCIDAS"/>
    <n v="0"/>
    <x v="1"/>
    <x v="0"/>
    <x v="2"/>
    <x v="0"/>
    <n v="0"/>
    <x v="0"/>
    <x v="0"/>
    <s v="CB 110 DLX                                        NEGRO    "/>
    <e v="#N/A"/>
    <s v=""/>
  </r>
  <r>
    <x v="32"/>
    <d v="2017-08-01T00:00:00"/>
    <x v="0"/>
    <s v="SURO - SUR OCCIDENTE"/>
    <s v="CONC - CONCESIONARIOS"/>
    <n v="10"/>
    <x v="13"/>
    <n v="10"/>
    <x v="32"/>
    <x v="15"/>
    <x v="1"/>
    <m/>
    <x v="23"/>
    <x v="13"/>
    <n v="4109244"/>
    <m/>
    <n v="137260504"/>
    <n v="0"/>
    <x v="0"/>
    <x v="4"/>
    <x v="18"/>
    <x v="0"/>
    <n v="0"/>
    <x v="0"/>
    <x v="0"/>
    <s v="*WAVE 110                                         NEGRO    "/>
    <e v="#N/A"/>
    <s v=""/>
  </r>
  <r>
    <x v="32"/>
    <d v="2017-08-01T00:00:00"/>
    <x v="0"/>
    <s v="SURO - SUR OCCIDENTE"/>
    <s v="CONC - CONCESIONARIOS"/>
    <n v="9"/>
    <x v="13"/>
    <n v="9"/>
    <x v="32"/>
    <x v="2"/>
    <x v="15"/>
    <m/>
    <x v="23"/>
    <x v="13"/>
    <n v="5789916"/>
    <m/>
    <n v="137260504"/>
    <n v="0"/>
    <x v="0"/>
    <x v="4"/>
    <x v="11"/>
    <x v="0"/>
    <n v="0"/>
    <x v="0"/>
    <x v="0"/>
    <s v="*XR 150L                                          NEGRO ROJ"/>
    <e v="#N/A"/>
    <s v=""/>
  </r>
  <r>
    <x v="32"/>
    <d v="2017-08-01T00:00:00"/>
    <x v="0"/>
    <s v="SURO - SUR OCCIDENTE"/>
    <s v="CONC - CONCESIONARIOS"/>
    <n v="15"/>
    <x v="13"/>
    <n v="15"/>
    <x v="32"/>
    <x v="2"/>
    <x v="13"/>
    <m/>
    <x v="23"/>
    <x v="13"/>
    <n v="5789916"/>
    <m/>
    <n v="137260504"/>
    <n v="0"/>
    <x v="0"/>
    <x v="4"/>
    <x v="8"/>
    <x v="0"/>
    <n v="0"/>
    <x v="0"/>
    <x v="0"/>
    <s v="*XR 150L                                          NEGRO BLA"/>
    <e v="#N/A"/>
    <s v=""/>
  </r>
  <r>
    <x v="32"/>
    <d v="2017-08-01T00:00:00"/>
    <x v="0"/>
    <s v="SURO - SUR OCCIDENTE"/>
    <s v="CONC - CONCESIONARIOS"/>
    <n v="5"/>
    <x v="13"/>
    <n v="5"/>
    <x v="32"/>
    <x v="2"/>
    <x v="1"/>
    <m/>
    <x v="23"/>
    <x v="13"/>
    <n v="5789916"/>
    <m/>
    <n v="137260504"/>
    <n v="0"/>
    <x v="0"/>
    <x v="4"/>
    <x v="2"/>
    <x v="0"/>
    <n v="0"/>
    <x v="0"/>
    <x v="0"/>
    <s v="*XR 150L                                          NEGRO    "/>
    <e v="#N/A"/>
    <s v=""/>
  </r>
  <r>
    <x v="32"/>
    <d v="2017-08-01T00:00:00"/>
    <x v="0"/>
    <s v="SURO - SUR OCCIDENTE"/>
    <s v="CONC - CONCESIONARIOS"/>
    <n v="8"/>
    <x v="13"/>
    <n v="8"/>
    <x v="32"/>
    <x v="5"/>
    <x v="7"/>
    <m/>
    <x v="23"/>
    <x v="13"/>
    <n v="6133613"/>
    <m/>
    <n v="137260504"/>
    <n v="0"/>
    <x v="0"/>
    <x v="4"/>
    <x v="13"/>
    <x v="0"/>
    <n v="0"/>
    <x v="0"/>
    <x v="0"/>
    <s v="CB 160F DLX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5"/>
    <x v="8"/>
    <m/>
    <x v="23"/>
    <x v="13"/>
    <n v="6133613"/>
    <m/>
    <n v="137260504"/>
    <n v="0"/>
    <x v="0"/>
    <x v="4"/>
    <x v="0"/>
    <x v="0"/>
    <n v="0"/>
    <x v="0"/>
    <x v="0"/>
    <s v="CB 160F DLX                                       NEGRO PER"/>
    <e v="#N/A"/>
    <s v=""/>
  </r>
  <r>
    <x v="32"/>
    <d v="2017-08-01T00:00:00"/>
    <x v="0"/>
    <s v="SURO - SUR OCCIDENTE"/>
    <s v="CONC - CONCESIONARIOS"/>
    <n v="4"/>
    <x v="13"/>
    <n v="4"/>
    <x v="32"/>
    <x v="5"/>
    <x v="5"/>
    <m/>
    <x v="23"/>
    <x v="13"/>
    <n v="6133613"/>
    <m/>
    <n v="137260504"/>
    <n v="0"/>
    <x v="0"/>
    <x v="4"/>
    <x v="2"/>
    <x v="0"/>
    <n v="0"/>
    <x v="0"/>
    <x v="0"/>
    <s v="CB 160F DLX                                       NARANJA N"/>
    <e v="#N/A"/>
    <s v=""/>
  </r>
  <r>
    <x v="32"/>
    <d v="2017-08-01T00:00:00"/>
    <x v="0"/>
    <s v="SURO - SUR OCCIDENTE"/>
    <s v="CONC - CONCESIONARIOS"/>
    <n v="3"/>
    <x v="13"/>
    <n v="3"/>
    <x v="32"/>
    <x v="6"/>
    <x v="6"/>
    <m/>
    <x v="23"/>
    <x v="13"/>
    <n v="3521008"/>
    <m/>
    <n v="137260504"/>
    <n v="0"/>
    <x v="0"/>
    <x v="4"/>
    <x v="0"/>
    <x v="0"/>
    <n v="0"/>
    <x v="0"/>
    <x v="0"/>
    <s v="DIO  110                                          ROJO     "/>
    <e v="#N/A"/>
    <s v=""/>
  </r>
  <r>
    <x v="32"/>
    <d v="2017-08-01T00:00:00"/>
    <x v="0"/>
    <s v="SURO - SUR OCCIDENTE"/>
    <s v="CONC - CONCESIONARIOS"/>
    <n v="3"/>
    <x v="13"/>
    <n v="3"/>
    <x v="32"/>
    <x v="6"/>
    <x v="0"/>
    <m/>
    <x v="23"/>
    <x v="13"/>
    <n v="3521008"/>
    <m/>
    <n v="137260504"/>
    <n v="0"/>
    <x v="0"/>
    <x v="4"/>
    <x v="7"/>
    <x v="0"/>
    <n v="0"/>
    <x v="0"/>
    <x v="0"/>
    <s v="DIO  110                                          BLANCO NE"/>
    <e v="#N/A"/>
    <s v=""/>
  </r>
  <r>
    <x v="32"/>
    <d v="2017-08-01T00:00:00"/>
    <x v="0"/>
    <s v="SURO - SUR OCCIDENTE"/>
    <s v="CONC - CONCESIONARIOS"/>
    <n v="3"/>
    <x v="13"/>
    <n v="3"/>
    <x v="32"/>
    <x v="6"/>
    <x v="16"/>
    <m/>
    <x v="23"/>
    <x v="13"/>
    <n v="3521008"/>
    <m/>
    <n v="137260504"/>
    <n v="0"/>
    <x v="0"/>
    <x v="4"/>
    <x v="0"/>
    <x v="0"/>
    <n v="0"/>
    <x v="0"/>
    <x v="0"/>
    <s v="DIO  110                                          AZUL     "/>
    <e v="#N/A"/>
    <s v=""/>
  </r>
  <r>
    <x v="32"/>
    <d v="2017-08-01T00:00:00"/>
    <x v="0"/>
    <s v="SURO - SUR OCCIDENTE"/>
    <s v="CONC - CONCESIONARIOS"/>
    <n v="12"/>
    <x v="13"/>
    <n v="12"/>
    <x v="32"/>
    <x v="10"/>
    <x v="12"/>
    <m/>
    <x v="23"/>
    <x v="13"/>
    <n v="3067227"/>
    <m/>
    <n v="137260504"/>
    <n v="0"/>
    <x v="0"/>
    <x v="4"/>
    <x v="0"/>
    <x v="0"/>
    <n v="0"/>
    <x v="0"/>
    <x v="0"/>
    <s v="DREAM  NEO                                        ROJO ALFA"/>
    <e v="#N/A"/>
    <s v=""/>
  </r>
  <r>
    <x v="32"/>
    <d v="2017-08-01T00:00:00"/>
    <x v="0"/>
    <s v="SURO - SUR OCCIDENTE"/>
    <s v="CONC - CONCESIONARIOS"/>
    <n v="20"/>
    <x v="13"/>
    <n v="20"/>
    <x v="32"/>
    <x v="10"/>
    <x v="20"/>
    <m/>
    <x v="23"/>
    <x v="13"/>
    <n v="3067227"/>
    <m/>
    <n v="137260504"/>
    <n v="0"/>
    <x v="0"/>
    <x v="4"/>
    <x v="0"/>
    <x v="0"/>
    <n v="0"/>
    <x v="0"/>
    <x v="0"/>
    <s v="DREAM  NEO                                        NEGRO AZU"/>
    <e v="#N/A"/>
    <s v=""/>
  </r>
  <r>
    <x v="32"/>
    <d v="2017-08-01T00:00:00"/>
    <x v="0"/>
    <s v="SURO - SUR OCCIDENTE"/>
    <s v="CONC - CONCESIONARIOS"/>
    <n v="6"/>
    <x v="13"/>
    <n v="6"/>
    <x v="32"/>
    <x v="7"/>
    <x v="6"/>
    <m/>
    <x v="23"/>
    <x v="13"/>
    <n v="3941176"/>
    <m/>
    <n v="137260504"/>
    <n v="0"/>
    <x v="0"/>
    <x v="4"/>
    <x v="0"/>
    <x v="0"/>
    <n v="0"/>
    <x v="0"/>
    <x v="0"/>
    <s v="WAVE 110S                                         ROJO     "/>
    <e v="#N/A"/>
    <s v=""/>
  </r>
  <r>
    <x v="32"/>
    <d v="2017-08-01T00:00:00"/>
    <x v="0"/>
    <s v="SURO - SUR OCCIDENTE"/>
    <s v="CONC - CONCESIONARIOS"/>
    <n v="6"/>
    <x v="13"/>
    <n v="6"/>
    <x v="32"/>
    <x v="7"/>
    <x v="1"/>
    <m/>
    <x v="23"/>
    <x v="13"/>
    <n v="3941176"/>
    <m/>
    <n v="137260504"/>
    <n v="0"/>
    <x v="0"/>
    <x v="4"/>
    <x v="0"/>
    <x v="0"/>
    <n v="0"/>
    <x v="0"/>
    <x v="0"/>
    <s v="WAVE 110S                                         NEGRO    "/>
    <e v="#N/A"/>
    <s v=""/>
  </r>
  <r>
    <x v="32"/>
    <d v="2017-08-01T00:00:00"/>
    <x v="0"/>
    <s v="SURO - SUR OCCIDENTE"/>
    <s v="CONC - CONCESIONARIOS"/>
    <n v="4"/>
    <x v="13"/>
    <n v="4"/>
    <x v="32"/>
    <x v="8"/>
    <x v="7"/>
    <m/>
    <x v="23"/>
    <x v="13"/>
    <n v="5453782"/>
    <m/>
    <n v="137260504"/>
    <n v="0"/>
    <x v="0"/>
    <x v="4"/>
    <x v="0"/>
    <x v="0"/>
    <n v="0"/>
    <x v="0"/>
    <x v="0"/>
    <s v="CB 160F STD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8"/>
    <x v="8"/>
    <m/>
    <x v="23"/>
    <x v="13"/>
    <n v="5453782"/>
    <m/>
    <n v="137260504"/>
    <n v="0"/>
    <x v="0"/>
    <x v="4"/>
    <x v="0"/>
    <x v="0"/>
    <n v="0"/>
    <x v="0"/>
    <x v="0"/>
    <s v="CB 160F STD                                       NEGRO PER"/>
    <e v="#N/A"/>
    <s v=""/>
  </r>
  <r>
    <x v="32"/>
    <d v="2017-08-01T00:00:00"/>
    <x v="0"/>
    <s v="SURO - SUR OCCIDENTE"/>
    <s v="CONC - CONCESIONARIOS"/>
    <n v="23"/>
    <x v="13"/>
    <n v="23"/>
    <x v="32"/>
    <x v="9"/>
    <x v="17"/>
    <m/>
    <x v="23"/>
    <x v="13"/>
    <n v="3696639"/>
    <m/>
    <n v="137260504"/>
    <n v="0"/>
    <x v="0"/>
    <x v="4"/>
    <x v="15"/>
    <x v="0"/>
    <n v="0"/>
    <x v="0"/>
    <x v="0"/>
    <s v="CB 110 DLX                                        GRIS     "/>
    <e v="#N/A"/>
    <s v=""/>
  </r>
  <r>
    <x v="32"/>
    <d v="2017-08-01T00:00:00"/>
    <x v="0"/>
    <s v="SURO - SUR OCCIDENTE"/>
    <s v="CONC - CONCESIONARIOS"/>
    <n v="21"/>
    <x v="13"/>
    <n v="21"/>
    <x v="32"/>
    <x v="9"/>
    <x v="16"/>
    <m/>
    <x v="23"/>
    <x v="13"/>
    <n v="3696639"/>
    <m/>
    <n v="137260504"/>
    <n v="0"/>
    <x v="0"/>
    <x v="4"/>
    <x v="14"/>
    <x v="0"/>
    <n v="0"/>
    <x v="0"/>
    <x v="0"/>
    <s v="CB 110 DLX                                        AZUL     "/>
    <e v="#N/A"/>
    <s v=""/>
  </r>
  <r>
    <x v="32"/>
    <d v="2017-08-01T00:00:00"/>
    <x v="0"/>
    <s v="SURO - SUR OCCIDENTE"/>
    <s v="CONC - CONCESIONARIOS"/>
    <n v="40"/>
    <x v="13"/>
    <n v="40"/>
    <x v="32"/>
    <x v="9"/>
    <x v="1"/>
    <m/>
    <x v="23"/>
    <x v="13"/>
    <n v="3696639"/>
    <m/>
    <n v="137260504"/>
    <n v="0"/>
    <x v="0"/>
    <x v="4"/>
    <x v="2"/>
    <x v="0"/>
    <n v="0"/>
    <x v="0"/>
    <x v="0"/>
    <s v="CB 110 DLX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18"/>
    <m/>
    <x v="24"/>
    <x v="14"/>
    <n v="3360504"/>
    <m/>
    <n v="0"/>
    <n v="0"/>
    <x v="1"/>
    <x v="9"/>
    <x v="15"/>
    <x v="0"/>
    <n v="0"/>
    <x v="0"/>
    <x v="0"/>
    <s v="*CB-110                                           GRIS MET "/>
    <e v="#N/A"/>
    <s v=""/>
  </r>
  <r>
    <x v="33"/>
    <d v="2017-08-01T00:00:00"/>
    <x v="1"/>
    <s v="SURO - SUR OCCIDENTE"/>
    <s v="DIST - DISTRIBUIDORES"/>
    <n v="1"/>
    <x v="14"/>
    <n v="1"/>
    <x v="33"/>
    <x v="1"/>
    <x v="7"/>
    <m/>
    <x v="24"/>
    <x v="14"/>
    <n v="3360504"/>
    <m/>
    <n v="0"/>
    <n v="0"/>
    <x v="1"/>
    <x v="9"/>
    <x v="9"/>
    <x v="0"/>
    <n v="0"/>
    <x v="0"/>
    <x v="0"/>
    <s v="*CB-110                                           ROJO SPOR"/>
    <e v="#N/A"/>
    <s v=""/>
  </r>
  <r>
    <x v="33"/>
    <d v="2017-08-01T00:00:00"/>
    <x v="1"/>
    <s v="SURO - SUR OCCIDENTE"/>
    <s v="DIST - DISTRIBUIDORES"/>
    <n v="2"/>
    <x v="14"/>
    <n v="2"/>
    <x v="33"/>
    <x v="1"/>
    <x v="1"/>
    <m/>
    <x v="24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23"/>
    <m/>
    <x v="24"/>
    <x v="14"/>
    <n v="3360504"/>
    <m/>
    <n v="0"/>
    <n v="0"/>
    <x v="1"/>
    <x v="9"/>
    <x v="0"/>
    <x v="0"/>
    <n v="0"/>
    <x v="0"/>
    <x v="0"/>
    <s v="*CB-110                                           VERDE CAN"/>
    <e v="#N/A"/>
    <s v=""/>
  </r>
  <r>
    <x v="33"/>
    <d v="2017-08-01T00:00:00"/>
    <x v="1"/>
    <s v="SURO - SUR OCCIDENTE"/>
    <s v="DIST - DISTRIBUIDORES"/>
    <n v="1"/>
    <x v="14"/>
    <n v="1"/>
    <x v="33"/>
    <x v="1"/>
    <x v="14"/>
    <m/>
    <x v="24"/>
    <x v="14"/>
    <n v="3360504"/>
    <m/>
    <n v="0"/>
    <n v="0"/>
    <x v="1"/>
    <x v="9"/>
    <x v="10"/>
    <x v="0"/>
    <n v="0"/>
    <x v="0"/>
    <x v="0"/>
    <s v="*CB-110                                           AZUL FIJI"/>
    <e v="#N/A"/>
    <s v=""/>
  </r>
  <r>
    <x v="33"/>
    <d v="2017-08-01T00:00:00"/>
    <x v="1"/>
    <s v="SURO - SUR OCCIDENTE"/>
    <s v="DIST - DISTRIBUIDORES"/>
    <n v="1"/>
    <x v="14"/>
    <n v="1"/>
    <x v="33"/>
    <x v="2"/>
    <x v="1"/>
    <m/>
    <x v="24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4"/>
    <x v="4"/>
    <m/>
    <x v="24"/>
    <x v="14"/>
    <n v="7730252"/>
    <m/>
    <n v="0"/>
    <n v="0"/>
    <x v="1"/>
    <x v="9"/>
    <x v="4"/>
    <x v="0"/>
    <n v="0"/>
    <x v="0"/>
    <x v="0"/>
    <s v="CB 190 REPSOL                                     NARANJA B"/>
    <e v="#N/A"/>
    <s v=""/>
  </r>
  <r>
    <x v="33"/>
    <d v="2017-08-01T00:00:00"/>
    <x v="1"/>
    <s v="SURO - SUR OCCIDENTE"/>
    <s v="DIST - DISTRIBUIDORES"/>
    <n v="1"/>
    <x v="14"/>
    <n v="1"/>
    <x v="33"/>
    <x v="5"/>
    <x v="7"/>
    <m/>
    <x v="24"/>
    <x v="14"/>
    <n v="6133613"/>
    <m/>
    <n v="0"/>
    <n v="0"/>
    <x v="1"/>
    <x v="9"/>
    <x v="13"/>
    <x v="0"/>
    <n v="0"/>
    <x v="0"/>
    <x v="0"/>
    <s v="CB 160F DLX                                       ROJO SPOR"/>
    <e v="#N/A"/>
    <s v=""/>
  </r>
  <r>
    <x v="33"/>
    <d v="2017-08-01T00:00:00"/>
    <x v="1"/>
    <s v="SURO - SUR OCCIDENTE"/>
    <s v="DIST - DISTRIBUIDORES"/>
    <n v="1"/>
    <x v="14"/>
    <n v="1"/>
    <x v="33"/>
    <x v="5"/>
    <x v="8"/>
    <m/>
    <x v="24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6"/>
    <x v="6"/>
    <m/>
    <x v="24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10"/>
    <x v="20"/>
    <m/>
    <x v="24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3"/>
    <d v="2017-08-01T00:00:00"/>
    <x v="1"/>
    <s v="SURO - SUR OCCIDENTE"/>
    <s v="DIST - DISTRIBUIDORES"/>
    <n v="1"/>
    <x v="14"/>
    <n v="1"/>
    <x v="33"/>
    <x v="7"/>
    <x v="1"/>
    <m/>
    <x v="24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8"/>
    <x v="8"/>
    <m/>
    <x v="24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9"/>
    <x v="16"/>
    <m/>
    <x v="24"/>
    <x v="14"/>
    <n v="3696639"/>
    <m/>
    <n v="0"/>
    <n v="0"/>
    <x v="1"/>
    <x v="9"/>
    <x v="14"/>
    <x v="0"/>
    <n v="0"/>
    <x v="0"/>
    <x v="0"/>
    <s v="CB 110 DLX                                        AZUL     "/>
    <e v="#N/A"/>
    <s v=""/>
  </r>
  <r>
    <x v="33"/>
    <d v="2017-08-01T00:00:00"/>
    <x v="1"/>
    <s v="SURO - SUR OCCIDENTE"/>
    <s v="DIST - DISTRIBUIDORES"/>
    <n v="1"/>
    <x v="14"/>
    <n v="1"/>
    <x v="33"/>
    <x v="9"/>
    <x v="6"/>
    <m/>
    <x v="24"/>
    <x v="14"/>
    <n v="3696639"/>
    <m/>
    <n v="0"/>
    <n v="0"/>
    <x v="1"/>
    <x v="9"/>
    <x v="14"/>
    <x v="0"/>
    <n v="0"/>
    <x v="0"/>
    <x v="0"/>
    <s v="CB 110 DLX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9"/>
    <x v="1"/>
    <m/>
    <x v="24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4"/>
    <d v="2017-08-01T00:00:00"/>
    <x v="1"/>
    <s v="SURO - SUR OCCIDENTE"/>
    <s v="DIST - DISTRIBUIDORES"/>
    <n v="2"/>
    <x v="14"/>
    <n v="2"/>
    <x v="34"/>
    <x v="1"/>
    <x v="1"/>
    <m/>
    <x v="25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2"/>
    <x v="1"/>
    <m/>
    <x v="25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3"/>
    <x v="3"/>
    <m/>
    <x v="25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4"/>
    <d v="2017-08-01T00:00:00"/>
    <x v="1"/>
    <s v="SURO - SUR OCCIDENTE"/>
    <s v="DIST - DISTRIBUIDORES"/>
    <n v="1"/>
    <x v="14"/>
    <n v="1"/>
    <x v="34"/>
    <x v="5"/>
    <x v="8"/>
    <m/>
    <x v="25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10"/>
    <x v="20"/>
    <m/>
    <x v="25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4"/>
    <d v="2017-08-01T00:00:00"/>
    <x v="1"/>
    <s v="SURO - SUR OCCIDENTE"/>
    <s v="DIST - DISTRIBUIDORES"/>
    <n v="1"/>
    <x v="14"/>
    <n v="1"/>
    <x v="34"/>
    <x v="7"/>
    <x v="1"/>
    <m/>
    <x v="25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8"/>
    <x v="8"/>
    <m/>
    <x v="25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9"/>
    <x v="1"/>
    <m/>
    <x v="25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1"/>
    <x v="18"/>
    <m/>
    <x v="26"/>
    <x v="14"/>
    <n v="3360504"/>
    <m/>
    <n v="0"/>
    <n v="0"/>
    <x v="1"/>
    <x v="7"/>
    <x v="15"/>
    <x v="0"/>
    <n v="0"/>
    <x v="0"/>
    <x v="0"/>
    <s v="*CB-110                                           GRIS MET "/>
    <e v="#N/A"/>
    <s v=""/>
  </r>
  <r>
    <x v="35"/>
    <d v="2017-08-01T00:00:00"/>
    <x v="1"/>
    <s v="SURO - SUR OCCIDENTE"/>
    <s v="DIST - DISTRIBUIDORES"/>
    <n v="1"/>
    <x v="14"/>
    <n v="1"/>
    <x v="35"/>
    <x v="1"/>
    <x v="7"/>
    <m/>
    <x v="26"/>
    <x v="14"/>
    <n v="3360504"/>
    <m/>
    <n v="0"/>
    <n v="0"/>
    <x v="1"/>
    <x v="7"/>
    <x v="9"/>
    <x v="0"/>
    <n v="0"/>
    <x v="0"/>
    <x v="0"/>
    <s v="*CB-110    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1"/>
    <x v="14"/>
    <m/>
    <x v="26"/>
    <x v="14"/>
    <n v="3360504"/>
    <m/>
    <n v="0"/>
    <n v="0"/>
    <x v="1"/>
    <x v="7"/>
    <x v="10"/>
    <x v="0"/>
    <n v="0"/>
    <x v="0"/>
    <x v="0"/>
    <s v="*CB-110                                           AZUL FIJI"/>
    <e v="#N/A"/>
    <s v=""/>
  </r>
  <r>
    <x v="35"/>
    <d v="2017-08-01T00:00:00"/>
    <x v="1"/>
    <s v="SURO - SUR OCCIDENTE"/>
    <s v="DIST - DISTRIBUIDORES"/>
    <n v="1"/>
    <x v="14"/>
    <n v="1"/>
    <x v="35"/>
    <x v="2"/>
    <x v="15"/>
    <m/>
    <x v="26"/>
    <x v="14"/>
    <n v="5789916"/>
    <m/>
    <n v="0"/>
    <n v="0"/>
    <x v="1"/>
    <x v="7"/>
    <x v="11"/>
    <x v="0"/>
    <n v="0"/>
    <x v="0"/>
    <x v="0"/>
    <s v="*XR 150L  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3"/>
    <x v="2"/>
    <m/>
    <x v="26"/>
    <x v="14"/>
    <n v="7554622"/>
    <m/>
    <n v="0"/>
    <n v="0"/>
    <x v="1"/>
    <x v="7"/>
    <x v="3"/>
    <x v="0"/>
    <n v="0"/>
    <x v="0"/>
    <x v="0"/>
    <s v="CB 190R                                           ROJO NEGR"/>
    <e v="#N/A"/>
    <s v=""/>
  </r>
  <r>
    <x v="35"/>
    <d v="2017-08-01T00:00:00"/>
    <x v="1"/>
    <s v="SURO - SUR OCCIDENTE"/>
    <s v="DIST - DISTRIBUIDORES"/>
    <n v="2"/>
    <x v="14"/>
    <n v="2"/>
    <x v="35"/>
    <x v="3"/>
    <x v="3"/>
    <m/>
    <x v="26"/>
    <x v="14"/>
    <n v="7554622"/>
    <m/>
    <n v="0"/>
    <n v="0"/>
    <x v="1"/>
    <x v="7"/>
    <x v="0"/>
    <x v="0"/>
    <n v="0"/>
    <x v="0"/>
    <x v="0"/>
    <s v="CB 190R           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4"/>
    <x v="4"/>
    <m/>
    <x v="26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5"/>
    <d v="2017-08-01T00:00:00"/>
    <x v="1"/>
    <s v="SURO - SUR OCCIDENTE"/>
    <s v="DIST - DISTRIBUIDORES"/>
    <n v="1"/>
    <x v="14"/>
    <n v="1"/>
    <x v="35"/>
    <x v="5"/>
    <x v="9"/>
    <m/>
    <x v="26"/>
    <x v="14"/>
    <n v="6133613"/>
    <m/>
    <n v="0"/>
    <n v="0"/>
    <x v="1"/>
    <x v="7"/>
    <x v="18"/>
    <x v="0"/>
    <n v="0"/>
    <x v="0"/>
    <x v="0"/>
    <s v="CB 160F DLX                                       BLANCO PE"/>
    <e v="#N/A"/>
    <s v=""/>
  </r>
  <r>
    <x v="35"/>
    <d v="2017-08-01T00:00:00"/>
    <x v="1"/>
    <s v="SURO - SUR OCCIDENTE"/>
    <s v="DIST - DISTRIBUIDORES"/>
    <n v="1"/>
    <x v="14"/>
    <n v="1"/>
    <x v="35"/>
    <x v="5"/>
    <x v="7"/>
    <m/>
    <x v="26"/>
    <x v="14"/>
    <n v="6133613"/>
    <m/>
    <n v="0"/>
    <n v="0"/>
    <x v="1"/>
    <x v="7"/>
    <x v="13"/>
    <x v="0"/>
    <n v="0"/>
    <x v="0"/>
    <x v="0"/>
    <s v="CB 160F DLX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5"/>
    <x v="8"/>
    <m/>
    <x v="26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6"/>
    <x v="16"/>
    <m/>
    <x v="26"/>
    <x v="14"/>
    <n v="3521008"/>
    <m/>
    <n v="0"/>
    <n v="0"/>
    <x v="1"/>
    <x v="7"/>
    <x v="0"/>
    <x v="0"/>
    <n v="0"/>
    <x v="0"/>
    <x v="0"/>
    <s v="DIO  110  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14"/>
    <x v="3"/>
    <m/>
    <x v="26"/>
    <x v="14"/>
    <n v="7730252"/>
    <m/>
    <n v="0"/>
    <n v="0"/>
    <x v="1"/>
    <x v="7"/>
    <x v="0"/>
    <x v="0"/>
    <n v="0"/>
    <x v="0"/>
    <x v="0"/>
    <s v="CB 190R INSTINTO R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10"/>
    <x v="15"/>
    <m/>
    <x v="26"/>
    <x v="14"/>
    <n v="3067227"/>
    <m/>
    <n v="0"/>
    <n v="0"/>
    <x v="1"/>
    <x v="7"/>
    <x v="0"/>
    <x v="0"/>
    <n v="0"/>
    <x v="0"/>
    <x v="0"/>
    <s v="DREAM  NEO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10"/>
    <x v="20"/>
    <m/>
    <x v="26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5"/>
    <d v="2017-08-01T00:00:00"/>
    <x v="1"/>
    <s v="SURO - SUR OCCIDENTE"/>
    <s v="DIST - DISTRIBUIDORES"/>
    <n v="1"/>
    <x v="14"/>
    <n v="1"/>
    <x v="35"/>
    <x v="7"/>
    <x v="11"/>
    <m/>
    <x v="26"/>
    <x v="14"/>
    <n v="3941176"/>
    <m/>
    <n v="0"/>
    <n v="0"/>
    <x v="1"/>
    <x v="7"/>
    <x v="7"/>
    <x v="0"/>
    <n v="0"/>
    <x v="0"/>
    <x v="0"/>
    <s v="WAVE 110S                                         BLANCO   "/>
    <e v="#N/A"/>
    <s v=""/>
  </r>
  <r>
    <x v="35"/>
    <d v="2017-08-01T00:00:00"/>
    <x v="1"/>
    <s v="SURO - SUR OCCIDENTE"/>
    <s v="DIST - DISTRIBUIDORES"/>
    <n v="2"/>
    <x v="14"/>
    <n v="2"/>
    <x v="35"/>
    <x v="7"/>
    <x v="1"/>
    <m/>
    <x v="26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8"/>
    <x v="9"/>
    <m/>
    <x v="26"/>
    <x v="14"/>
    <n v="5453782"/>
    <m/>
    <n v="0"/>
    <n v="0"/>
    <x v="1"/>
    <x v="7"/>
    <x v="5"/>
    <x v="0"/>
    <n v="0"/>
    <x v="0"/>
    <x v="0"/>
    <s v="CB 160F STD                                       BLANCO PE"/>
    <e v="#N/A"/>
    <s v=""/>
  </r>
  <r>
    <x v="35"/>
    <d v="2017-08-01T00:00:00"/>
    <x v="1"/>
    <s v="SURO - SUR OCCIDENTE"/>
    <s v="DIST - DISTRIBUIDORES"/>
    <n v="4"/>
    <x v="14"/>
    <n v="4"/>
    <x v="35"/>
    <x v="8"/>
    <x v="8"/>
    <m/>
    <x v="26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9"/>
    <x v="16"/>
    <m/>
    <x v="26"/>
    <x v="14"/>
    <n v="3696639"/>
    <m/>
    <n v="0"/>
    <n v="0"/>
    <x v="1"/>
    <x v="7"/>
    <x v="14"/>
    <x v="0"/>
    <n v="0"/>
    <x v="0"/>
    <x v="0"/>
    <s v="CB 110 DLX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9"/>
    <x v="17"/>
    <m/>
    <x v="26"/>
    <x v="14"/>
    <n v="3696639"/>
    <m/>
    <n v="0"/>
    <n v="0"/>
    <x v="1"/>
    <x v="7"/>
    <x v="15"/>
    <x v="0"/>
    <n v="0"/>
    <x v="0"/>
    <x v="0"/>
    <s v="CB 110 DLX                                        GRIS     "/>
    <e v="#N/A"/>
    <s v=""/>
  </r>
  <r>
    <x v="35"/>
    <d v="2017-08-01T00:00:00"/>
    <x v="1"/>
    <s v="SURO - SUR OCCIDENTE"/>
    <s v="DIST - DISTRIBUIDORES"/>
    <n v="1"/>
    <x v="14"/>
    <n v="1"/>
    <x v="35"/>
    <x v="9"/>
    <x v="6"/>
    <m/>
    <x v="26"/>
    <x v="14"/>
    <n v="3696639"/>
    <m/>
    <n v="0"/>
    <n v="0"/>
    <x v="1"/>
    <x v="7"/>
    <x v="14"/>
    <x v="0"/>
    <n v="0"/>
    <x v="0"/>
    <x v="0"/>
    <s v="CB 110 DLX                                        ROJO     "/>
    <e v="#N/A"/>
    <s v=""/>
  </r>
  <r>
    <x v="35"/>
    <d v="2017-08-01T00:00:00"/>
    <x v="1"/>
    <s v="SURO - SUR OCCIDENTE"/>
    <s v="DIST - DISTRIBUIDORES"/>
    <n v="4"/>
    <x v="14"/>
    <n v="4"/>
    <x v="35"/>
    <x v="9"/>
    <x v="1"/>
    <m/>
    <x v="26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6"/>
    <d v="2017-08-01T00:00:00"/>
    <x v="1"/>
    <s v="CTR - ZONA CENTRO"/>
    <s v="DIST - DISTRIBUIDORES"/>
    <n v="3"/>
    <x v="15"/>
    <n v="3"/>
    <x v="36"/>
    <x v="1"/>
    <x v="7"/>
    <m/>
    <x v="27"/>
    <x v="15"/>
    <n v="3360504"/>
    <m/>
    <n v="0"/>
    <n v="78989409"/>
    <x v="0"/>
    <x v="13"/>
    <x v="9"/>
    <x v="0"/>
    <n v="0"/>
    <x v="0"/>
    <x v="0"/>
    <s v="*CB-110                                           ROJO SPOR"/>
    <e v="#N/A"/>
    <s v=""/>
  </r>
  <r>
    <x v="36"/>
    <d v="2017-08-01T00:00:00"/>
    <x v="1"/>
    <s v="CTR - ZONA CENTRO"/>
    <s v="DIST - DISTRIBUIDORES"/>
    <n v="3"/>
    <x v="15"/>
    <n v="3"/>
    <x v="36"/>
    <x v="1"/>
    <x v="18"/>
    <m/>
    <x v="27"/>
    <x v="15"/>
    <n v="3360504"/>
    <m/>
    <n v="0"/>
    <n v="78989409"/>
    <x v="0"/>
    <x v="13"/>
    <x v="15"/>
    <x v="0"/>
    <n v="0"/>
    <x v="0"/>
    <x v="0"/>
    <s v="*CB-110                                           GRIS MET "/>
    <e v="#N/A"/>
    <s v=""/>
  </r>
  <r>
    <x v="36"/>
    <d v="2017-08-01T00:00:00"/>
    <x v="1"/>
    <s v="CTR - ZONA CENTRO"/>
    <s v="DIST - DISTRIBUIDORES"/>
    <n v="6"/>
    <x v="15"/>
    <n v="6"/>
    <x v="36"/>
    <x v="1"/>
    <x v="1"/>
    <m/>
    <x v="27"/>
    <x v="15"/>
    <n v="3360504"/>
    <m/>
    <n v="0"/>
    <n v="78989409"/>
    <x v="0"/>
    <x v="13"/>
    <x v="1"/>
    <x v="0"/>
    <n v="0"/>
    <x v="0"/>
    <x v="0"/>
    <s v="*CB-110 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"/>
    <x v="23"/>
    <m/>
    <x v="27"/>
    <x v="15"/>
    <n v="3360504"/>
    <m/>
    <n v="0"/>
    <n v="78989409"/>
    <x v="0"/>
    <x v="13"/>
    <x v="0"/>
    <x v="0"/>
    <n v="0"/>
    <x v="0"/>
    <x v="0"/>
    <s v="*CB-110                                           VERDE CAN"/>
    <e v="#N/A"/>
    <s v=""/>
  </r>
  <r>
    <x v="36"/>
    <d v="2017-08-01T00:00:00"/>
    <x v="1"/>
    <s v="CTR - ZONA CENTRO"/>
    <s v="DIST - DISTRIBUIDORES"/>
    <n v="4"/>
    <x v="15"/>
    <n v="4"/>
    <x v="36"/>
    <x v="1"/>
    <x v="14"/>
    <m/>
    <x v="27"/>
    <x v="15"/>
    <n v="3360504"/>
    <m/>
    <n v="0"/>
    <n v="78989409"/>
    <x v="0"/>
    <x v="13"/>
    <x v="10"/>
    <x v="0"/>
    <n v="0"/>
    <x v="0"/>
    <x v="0"/>
    <s v="*CB-110                                           AZUL FIJI"/>
    <e v="#N/A"/>
    <s v=""/>
  </r>
  <r>
    <x v="36"/>
    <d v="2017-08-01T00:00:00"/>
    <x v="1"/>
    <s v="CTR - ZONA CENTRO"/>
    <s v="DIST - DISTRIBUIDORES"/>
    <n v="3"/>
    <x v="15"/>
    <n v="3"/>
    <x v="36"/>
    <x v="2"/>
    <x v="15"/>
    <m/>
    <x v="27"/>
    <x v="15"/>
    <n v="5789916"/>
    <m/>
    <n v="0"/>
    <n v="78989409"/>
    <x v="0"/>
    <x v="13"/>
    <x v="11"/>
    <x v="0"/>
    <n v="0"/>
    <x v="0"/>
    <x v="0"/>
    <s v="*XR 150L                                          NEGRO ROJ"/>
    <e v="#N/A"/>
    <s v=""/>
  </r>
  <r>
    <x v="36"/>
    <d v="2017-08-01T00:00:00"/>
    <x v="1"/>
    <s v="CTR - ZONA CENTRO"/>
    <s v="DIST - DISTRIBUIDORES"/>
    <n v="3"/>
    <x v="15"/>
    <n v="3"/>
    <x v="36"/>
    <x v="2"/>
    <x v="13"/>
    <m/>
    <x v="27"/>
    <x v="15"/>
    <n v="5789916"/>
    <m/>
    <n v="0"/>
    <n v="78989409"/>
    <x v="0"/>
    <x v="13"/>
    <x v="8"/>
    <x v="0"/>
    <n v="0"/>
    <x v="0"/>
    <x v="0"/>
    <s v="*XR 150L                                          NEGRO BLA"/>
    <e v="#N/A"/>
    <s v=""/>
  </r>
  <r>
    <x v="36"/>
    <d v="2017-08-01T00:00:00"/>
    <x v="1"/>
    <s v="CTR - ZONA CENTRO"/>
    <s v="DIST - DISTRIBUIDORES"/>
    <n v="4"/>
    <x v="15"/>
    <n v="4"/>
    <x v="36"/>
    <x v="2"/>
    <x v="1"/>
    <m/>
    <x v="27"/>
    <x v="15"/>
    <n v="5789916"/>
    <m/>
    <n v="0"/>
    <n v="78989409"/>
    <x v="0"/>
    <x v="13"/>
    <x v="2"/>
    <x v="0"/>
    <n v="0"/>
    <x v="0"/>
    <x v="0"/>
    <s v="*XR 150L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1"/>
    <x v="13"/>
    <m/>
    <x v="27"/>
    <x v="15"/>
    <n v="3521008"/>
    <m/>
    <n v="0"/>
    <n v="78989409"/>
    <x v="0"/>
    <x v="13"/>
    <x v="12"/>
    <x v="0"/>
    <n v="0"/>
    <x v="0"/>
    <x v="0"/>
    <s v="DIO 110                                           NEGRO BLA"/>
    <e v="#N/A"/>
    <s v=""/>
  </r>
  <r>
    <x v="36"/>
    <d v="2017-08-01T00:00:00"/>
    <x v="1"/>
    <s v="CTR - ZONA CENTRO"/>
    <s v="DIST - DISTRIBUIDORES"/>
    <n v="1"/>
    <x v="15"/>
    <n v="1"/>
    <x v="36"/>
    <x v="5"/>
    <x v="8"/>
    <m/>
    <x v="27"/>
    <x v="15"/>
    <n v="6133613"/>
    <m/>
    <n v="0"/>
    <n v="78989409"/>
    <x v="0"/>
    <x v="13"/>
    <x v="0"/>
    <x v="0"/>
    <n v="0"/>
    <x v="0"/>
    <x v="0"/>
    <s v="CB 160F DLX                                       NEGRO PER"/>
    <e v="#N/A"/>
    <s v=""/>
  </r>
  <r>
    <x v="36"/>
    <d v="2017-08-01T00:00:00"/>
    <x v="1"/>
    <s v="CTR - ZONA CENTRO"/>
    <s v="DIST - DISTRIBUIDORES"/>
    <n v="1"/>
    <x v="15"/>
    <n v="1"/>
    <x v="36"/>
    <x v="5"/>
    <x v="7"/>
    <m/>
    <x v="27"/>
    <x v="15"/>
    <n v="6133613"/>
    <m/>
    <n v="0"/>
    <n v="78989409"/>
    <x v="0"/>
    <x v="13"/>
    <x v="13"/>
    <x v="0"/>
    <n v="0"/>
    <x v="0"/>
    <x v="0"/>
    <s v="CB 160F DLX                                       ROJO SPOR"/>
    <e v="#N/A"/>
    <s v=""/>
  </r>
  <r>
    <x v="36"/>
    <d v="2017-08-01T00:00:00"/>
    <x v="1"/>
    <s v="CTR - ZONA CENTRO"/>
    <s v="DIST - DISTRIBUIDORES"/>
    <n v="4"/>
    <x v="15"/>
    <n v="4"/>
    <x v="36"/>
    <x v="6"/>
    <x v="16"/>
    <m/>
    <x v="27"/>
    <x v="15"/>
    <n v="3521008"/>
    <m/>
    <n v="0"/>
    <n v="78989409"/>
    <x v="0"/>
    <x v="13"/>
    <x v="0"/>
    <x v="0"/>
    <n v="0"/>
    <x v="0"/>
    <x v="0"/>
    <s v="DIO  110                                          AZUL     "/>
    <e v="#N/A"/>
    <s v=""/>
  </r>
  <r>
    <x v="36"/>
    <d v="2017-08-01T00:00:00"/>
    <x v="1"/>
    <s v="CTR - ZONA CENTRO"/>
    <s v="DIST - DISTRIBUIDORES"/>
    <n v="6"/>
    <x v="15"/>
    <n v="6"/>
    <x v="36"/>
    <x v="6"/>
    <x v="6"/>
    <m/>
    <x v="27"/>
    <x v="15"/>
    <n v="3521008"/>
    <m/>
    <n v="0"/>
    <n v="78989409"/>
    <x v="0"/>
    <x v="13"/>
    <x v="0"/>
    <x v="0"/>
    <n v="0"/>
    <x v="0"/>
    <x v="0"/>
    <s v="DIO  110 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10"/>
    <x v="15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ROJ"/>
    <e v="#N/A"/>
    <s v=""/>
  </r>
  <r>
    <x v="36"/>
    <d v="2017-08-01T00:00:00"/>
    <x v="1"/>
    <s v="CTR - ZONA CENTRO"/>
    <s v="DIST - DISTRIBUIDORES"/>
    <n v="10"/>
    <x v="15"/>
    <n v="10"/>
    <x v="36"/>
    <x v="10"/>
    <x v="20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AZU"/>
    <e v="#N/A"/>
    <s v=""/>
  </r>
  <r>
    <x v="36"/>
    <d v="2017-08-01T00:00:00"/>
    <x v="1"/>
    <s v="CTR - ZONA CENTRO"/>
    <s v="DIST - DISTRIBUIDORES"/>
    <n v="2"/>
    <x v="15"/>
    <n v="2"/>
    <x v="36"/>
    <x v="7"/>
    <x v="11"/>
    <m/>
    <x v="27"/>
    <x v="15"/>
    <n v="3941176"/>
    <m/>
    <n v="0"/>
    <n v="78989409"/>
    <x v="0"/>
    <x v="13"/>
    <x v="7"/>
    <x v="0"/>
    <n v="0"/>
    <x v="0"/>
    <x v="0"/>
    <s v="WAVE 110S                                         BLANCO   "/>
    <e v="#N/A"/>
    <s v=""/>
  </r>
  <r>
    <x v="36"/>
    <d v="2017-08-01T00:00:00"/>
    <x v="1"/>
    <s v="CTR - ZONA CENTRO"/>
    <s v="DIST - DISTRIBUIDORES"/>
    <n v="5"/>
    <x v="15"/>
    <n v="5"/>
    <x v="36"/>
    <x v="7"/>
    <x v="1"/>
    <m/>
    <x v="27"/>
    <x v="15"/>
    <n v="3941176"/>
    <m/>
    <n v="0"/>
    <n v="78989409"/>
    <x v="0"/>
    <x v="13"/>
    <x v="0"/>
    <x v="0"/>
    <n v="0"/>
    <x v="0"/>
    <x v="0"/>
    <s v="WAVE 110S                                         NEGRO    "/>
    <e v="#N/A"/>
    <s v=""/>
  </r>
  <r>
    <x v="36"/>
    <d v="2017-08-01T00:00:00"/>
    <x v="1"/>
    <s v="CTR - ZONA CENTRO"/>
    <s v="DIST - DISTRIBUIDORES"/>
    <n v="6"/>
    <x v="15"/>
    <n v="6"/>
    <x v="36"/>
    <x v="7"/>
    <x v="6"/>
    <m/>
    <x v="27"/>
    <x v="15"/>
    <n v="3941176"/>
    <m/>
    <n v="0"/>
    <n v="78989409"/>
    <x v="0"/>
    <x v="13"/>
    <x v="0"/>
    <x v="0"/>
    <n v="0"/>
    <x v="0"/>
    <x v="0"/>
    <s v="WAVE 110S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17"/>
    <m/>
    <x v="27"/>
    <x v="15"/>
    <n v="3696639"/>
    <m/>
    <n v="0"/>
    <n v="78989409"/>
    <x v="0"/>
    <x v="13"/>
    <x v="15"/>
    <x v="0"/>
    <n v="0"/>
    <x v="0"/>
    <x v="0"/>
    <s v="CB 110 DLX                                        GRIS     "/>
    <e v="#N/A"/>
    <s v=""/>
  </r>
  <r>
    <x v="36"/>
    <d v="2017-08-01T00:00:00"/>
    <x v="1"/>
    <s v="CTR - ZONA CENTRO"/>
    <s v="DIST - DISTRIBUIDORES"/>
    <n v="8"/>
    <x v="15"/>
    <n v="8"/>
    <x v="36"/>
    <x v="9"/>
    <x v="1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AZUL     "/>
    <e v="#N/A"/>
    <s v=""/>
  </r>
  <r>
    <x v="36"/>
    <d v="2017-08-01T00:00:00"/>
    <x v="1"/>
    <s v="CTR - ZONA CENTRO"/>
    <s v="DIST - DISTRIBUIDORES"/>
    <n v="12"/>
    <x v="15"/>
    <n v="12"/>
    <x v="36"/>
    <x v="9"/>
    <x v="1"/>
    <m/>
    <x v="27"/>
    <x v="15"/>
    <n v="3696639"/>
    <m/>
    <n v="0"/>
    <n v="78989409"/>
    <x v="0"/>
    <x v="13"/>
    <x v="2"/>
    <x v="0"/>
    <n v="0"/>
    <x v="0"/>
    <x v="0"/>
    <s v="CB 110 DLX                                        NEGRO    "/>
    <e v="#N/A"/>
    <s v=""/>
  </r>
  <r>
    <x v="37"/>
    <d v="2017-08-01T00:00:00"/>
    <x v="1"/>
    <s v="SURO - SUR OCCIDENTE"/>
    <s v="DIST - DISTRIBUIDORES"/>
    <n v="2"/>
    <x v="14"/>
    <n v="2"/>
    <x v="37"/>
    <x v="1"/>
    <x v="1"/>
    <m/>
    <x v="28"/>
    <x v="14"/>
    <n v="3360504"/>
    <m/>
    <n v="0"/>
    <n v="0"/>
    <x v="1"/>
    <x v="16"/>
    <x v="1"/>
    <x v="0"/>
    <n v="0"/>
    <x v="0"/>
    <x v="0"/>
    <s v="*CB-110 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2"/>
    <x v="1"/>
    <m/>
    <x v="28"/>
    <x v="14"/>
    <n v="5789916"/>
    <m/>
    <n v="0"/>
    <n v="0"/>
    <x v="1"/>
    <x v="16"/>
    <x v="2"/>
    <x v="0"/>
    <n v="0"/>
    <x v="0"/>
    <x v="0"/>
    <s v="*XR 150L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4"/>
    <x v="4"/>
    <m/>
    <x v="28"/>
    <x v="14"/>
    <n v="7730252"/>
    <m/>
    <n v="0"/>
    <n v="0"/>
    <x v="1"/>
    <x v="16"/>
    <x v="4"/>
    <x v="0"/>
    <n v="0"/>
    <x v="0"/>
    <x v="0"/>
    <s v="CB 190 REPSOL                                     NARANJA B"/>
    <e v="#N/A"/>
    <s v=""/>
  </r>
  <r>
    <x v="37"/>
    <d v="2017-08-01T00:00:00"/>
    <x v="1"/>
    <s v="SURO - SUR OCCIDENTE"/>
    <s v="DIST - DISTRIBUIDORES"/>
    <n v="1"/>
    <x v="14"/>
    <n v="1"/>
    <x v="37"/>
    <x v="5"/>
    <x v="8"/>
    <m/>
    <x v="28"/>
    <x v="14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10"/>
    <x v="20"/>
    <m/>
    <x v="28"/>
    <x v="14"/>
    <n v="3067227"/>
    <m/>
    <n v="0"/>
    <n v="0"/>
    <x v="1"/>
    <x v="16"/>
    <x v="0"/>
    <x v="0"/>
    <n v="0"/>
    <x v="0"/>
    <x v="0"/>
    <s v="DREAM  NEO                                        NEGRO AZU"/>
    <e v="#N/A"/>
    <s v=""/>
  </r>
  <r>
    <x v="37"/>
    <d v="2017-08-01T00:00:00"/>
    <x v="1"/>
    <s v="SURO - SUR OCCIDENTE"/>
    <s v="DIST - DISTRIBUIDORES"/>
    <n v="1"/>
    <x v="14"/>
    <n v="1"/>
    <x v="37"/>
    <x v="7"/>
    <x v="1"/>
    <m/>
    <x v="28"/>
    <x v="14"/>
    <n v="3941176"/>
    <m/>
    <n v="0"/>
    <n v="0"/>
    <x v="1"/>
    <x v="16"/>
    <x v="0"/>
    <x v="0"/>
    <n v="0"/>
    <x v="0"/>
    <x v="0"/>
    <s v="WAVE 110S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8"/>
    <x v="8"/>
    <m/>
    <x v="28"/>
    <x v="14"/>
    <n v="5453782"/>
    <m/>
    <n v="0"/>
    <n v="0"/>
    <x v="1"/>
    <x v="16"/>
    <x v="0"/>
    <x v="0"/>
    <n v="0"/>
    <x v="0"/>
    <x v="0"/>
    <s v="CB 160F STD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9"/>
    <x v="1"/>
    <m/>
    <x v="28"/>
    <x v="14"/>
    <n v="3696639"/>
    <m/>
    <n v="0"/>
    <n v="0"/>
    <x v="1"/>
    <x v="16"/>
    <x v="2"/>
    <x v="0"/>
    <n v="0"/>
    <x v="0"/>
    <x v="0"/>
    <s v="CB 110 DLX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"/>
    <x v="1"/>
    <m/>
    <x v="29"/>
    <x v="14"/>
    <n v="3360504"/>
    <m/>
    <n v="0"/>
    <n v="0"/>
    <x v="1"/>
    <x v="7"/>
    <x v="1"/>
    <x v="0"/>
    <n v="0"/>
    <x v="0"/>
    <x v="0"/>
    <s v="*CB-110  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1"/>
    <x v="13"/>
    <m/>
    <x v="29"/>
    <x v="14"/>
    <n v="3521008"/>
    <m/>
    <n v="0"/>
    <n v="0"/>
    <x v="1"/>
    <x v="7"/>
    <x v="12"/>
    <x v="0"/>
    <n v="0"/>
    <x v="0"/>
    <x v="0"/>
    <s v="DIO 110                                           NEGRO BLA"/>
    <e v="#N/A"/>
    <s v=""/>
  </r>
  <r>
    <x v="38"/>
    <d v="2017-08-01T00:00:00"/>
    <x v="0"/>
    <s v="SURO - SUR OCCIDENTE"/>
    <s v="DIST - DISTRIBUIDORES"/>
    <n v="1"/>
    <x v="14"/>
    <n v="1"/>
    <x v="38"/>
    <x v="4"/>
    <x v="4"/>
    <m/>
    <x v="29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8"/>
    <d v="2017-08-01T00:00:00"/>
    <x v="0"/>
    <s v="SURO - SUR OCCIDENTE"/>
    <s v="DIST - DISTRIBUIDORES"/>
    <n v="1"/>
    <x v="14"/>
    <n v="1"/>
    <x v="38"/>
    <x v="5"/>
    <x v="8"/>
    <m/>
    <x v="29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10"/>
    <x v="20"/>
    <m/>
    <x v="29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8"/>
    <d v="2017-08-01T00:00:00"/>
    <x v="0"/>
    <s v="SURO - SUR OCCIDENTE"/>
    <s v="DIST - DISTRIBUIDORES"/>
    <n v="1"/>
    <x v="14"/>
    <n v="1"/>
    <x v="38"/>
    <x v="7"/>
    <x v="1"/>
    <m/>
    <x v="29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8"/>
    <x v="8"/>
    <m/>
    <x v="29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9"/>
    <x v="1"/>
    <m/>
    <x v="29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9"/>
    <d v="2017-08-01T00:00:00"/>
    <x v="1"/>
    <s v="SURO - SUR OCCIDENTE"/>
    <s v="DIST - DISTRIBUIDORES"/>
    <n v="2"/>
    <x v="14"/>
    <n v="2"/>
    <x v="39"/>
    <x v="1"/>
    <x v="1"/>
    <m/>
    <x v="30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2"/>
    <x v="1"/>
    <m/>
    <x v="30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3"/>
    <x v="3"/>
    <m/>
    <x v="30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5"/>
    <x v="8"/>
    <m/>
    <x v="30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6"/>
    <x v="6"/>
    <m/>
    <x v="30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9"/>
    <d v="2017-08-01T00:00:00"/>
    <x v="1"/>
    <s v="SURO - SUR OCCIDENTE"/>
    <s v="DIST - DISTRIBUIDORES"/>
    <n v="1"/>
    <x v="14"/>
    <n v="1"/>
    <x v="39"/>
    <x v="14"/>
    <x v="3"/>
    <m/>
    <x v="30"/>
    <x v="14"/>
    <n v="7730252"/>
    <m/>
    <n v="0"/>
    <n v="0"/>
    <x v="1"/>
    <x v="9"/>
    <x v="0"/>
    <x v="0"/>
    <n v="0"/>
    <x v="0"/>
    <x v="0"/>
    <s v="CB 190R INSTINTO R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10"/>
    <x v="20"/>
    <m/>
    <x v="30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9"/>
    <d v="2017-08-01T00:00:00"/>
    <x v="1"/>
    <s v="SURO - SUR OCCIDENTE"/>
    <s v="DIST - DISTRIBUIDORES"/>
    <n v="1"/>
    <x v="14"/>
    <n v="1"/>
    <x v="39"/>
    <x v="7"/>
    <x v="1"/>
    <m/>
    <x v="30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8"/>
    <x v="8"/>
    <m/>
    <x v="30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9"/>
    <x v="1"/>
    <m/>
    <x v="30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8"/>
    <m/>
    <x v="18"/>
    <x v="14"/>
    <n v="3360504"/>
    <m/>
    <n v="0"/>
    <n v="0"/>
    <x v="1"/>
    <x v="12"/>
    <x v="15"/>
    <x v="0"/>
    <n v="0"/>
    <x v="0"/>
    <x v="0"/>
    <s v="*CB-110                                           GRIS MET "/>
    <e v="#N/A"/>
    <s v=""/>
  </r>
  <r>
    <x v="40"/>
    <d v="2017-08-01T00:00:00"/>
    <x v="1"/>
    <s v="SURO - SUR OCCIDENTE"/>
    <s v="DIST - DISTRIBUIDORES"/>
    <n v="2"/>
    <x v="14"/>
    <n v="2"/>
    <x v="40"/>
    <x v="1"/>
    <x v="7"/>
    <m/>
    <x v="18"/>
    <x v="14"/>
    <n v="3360504"/>
    <m/>
    <n v="0"/>
    <n v="0"/>
    <x v="1"/>
    <x v="12"/>
    <x v="9"/>
    <x v="0"/>
    <n v="0"/>
    <x v="0"/>
    <x v="0"/>
    <s v="*CB-110                                           ROJO SPOR"/>
    <e v="#N/A"/>
    <s v=""/>
  </r>
  <r>
    <x v="40"/>
    <d v="2017-08-01T00:00:00"/>
    <x v="1"/>
    <s v="SURO - SUR OCCIDENTE"/>
    <s v="DIST - DISTRIBUIDORES"/>
    <n v="4"/>
    <x v="14"/>
    <n v="4"/>
    <x v="40"/>
    <x v="1"/>
    <x v="1"/>
    <m/>
    <x v="18"/>
    <x v="14"/>
    <n v="3360504"/>
    <m/>
    <n v="0"/>
    <n v="0"/>
    <x v="1"/>
    <x v="12"/>
    <x v="1"/>
    <x v="0"/>
    <n v="0"/>
    <x v="0"/>
    <x v="0"/>
    <s v="*CB-110  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4"/>
    <m/>
    <x v="18"/>
    <x v="14"/>
    <n v="3360504"/>
    <m/>
    <n v="0"/>
    <n v="0"/>
    <x v="1"/>
    <x v="12"/>
    <x v="10"/>
    <x v="0"/>
    <n v="0"/>
    <x v="0"/>
    <x v="0"/>
    <s v="*CB-110                                           AZUL FIJI"/>
    <e v="#N/A"/>
    <s v=""/>
  </r>
  <r>
    <x v="40"/>
    <d v="2017-08-01T00:00:00"/>
    <x v="1"/>
    <s v="SURO - SUR OCCIDENTE"/>
    <s v="DIST - DISTRIBUIDORES"/>
    <n v="1"/>
    <x v="14"/>
    <n v="1"/>
    <x v="40"/>
    <x v="2"/>
    <x v="13"/>
    <m/>
    <x v="18"/>
    <x v="14"/>
    <n v="5789916"/>
    <m/>
    <n v="0"/>
    <n v="0"/>
    <x v="1"/>
    <x v="12"/>
    <x v="8"/>
    <x v="0"/>
    <n v="0"/>
    <x v="0"/>
    <x v="0"/>
    <s v="*XR 150L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2"/>
    <x v="15"/>
    <m/>
    <x v="18"/>
    <x v="14"/>
    <n v="5789916"/>
    <m/>
    <n v="0"/>
    <n v="0"/>
    <x v="1"/>
    <x v="12"/>
    <x v="11"/>
    <x v="0"/>
    <n v="0"/>
    <x v="0"/>
    <x v="0"/>
    <s v="*XR 150L  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3"/>
    <x v="2"/>
    <m/>
    <x v="18"/>
    <x v="14"/>
    <n v="7554622"/>
    <m/>
    <n v="0"/>
    <n v="0"/>
    <x v="1"/>
    <x v="12"/>
    <x v="3"/>
    <x v="0"/>
    <n v="0"/>
    <x v="0"/>
    <x v="0"/>
    <s v="CB 190R                                           ROJO NEGR"/>
    <e v="#N/A"/>
    <s v=""/>
  </r>
  <r>
    <x v="40"/>
    <d v="2017-08-01T00:00:00"/>
    <x v="1"/>
    <s v="SURO - SUR OCCIDENTE"/>
    <s v="DIST - DISTRIBUIDORES"/>
    <n v="1"/>
    <x v="14"/>
    <n v="1"/>
    <x v="40"/>
    <x v="3"/>
    <x v="3"/>
    <m/>
    <x v="18"/>
    <x v="14"/>
    <n v="7554622"/>
    <m/>
    <n v="0"/>
    <n v="0"/>
    <x v="1"/>
    <x v="12"/>
    <x v="0"/>
    <x v="0"/>
    <n v="0"/>
    <x v="0"/>
    <x v="0"/>
    <s v="CB 190R           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1"/>
    <x v="13"/>
    <m/>
    <x v="18"/>
    <x v="14"/>
    <n v="3521008"/>
    <m/>
    <n v="0"/>
    <n v="0"/>
    <x v="1"/>
    <x v="12"/>
    <x v="12"/>
    <x v="0"/>
    <n v="0"/>
    <x v="0"/>
    <x v="0"/>
    <s v="DIO 110 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4"/>
    <x v="4"/>
    <m/>
    <x v="18"/>
    <x v="14"/>
    <n v="7730252"/>
    <m/>
    <n v="0"/>
    <n v="0"/>
    <x v="1"/>
    <x v="12"/>
    <x v="4"/>
    <x v="0"/>
    <n v="0"/>
    <x v="0"/>
    <x v="0"/>
    <s v="CB 190 REPSOL                                     NARANJA B"/>
    <e v="#N/A"/>
    <s v=""/>
  </r>
  <r>
    <x v="40"/>
    <d v="2017-08-01T00:00:00"/>
    <x v="1"/>
    <s v="SURO - SUR OCCIDENTE"/>
    <s v="DIST - DISTRIBUIDORES"/>
    <n v="2"/>
    <x v="14"/>
    <n v="2"/>
    <x v="40"/>
    <x v="5"/>
    <x v="7"/>
    <m/>
    <x v="18"/>
    <x v="14"/>
    <n v="6133613"/>
    <m/>
    <n v="0"/>
    <n v="0"/>
    <x v="1"/>
    <x v="12"/>
    <x v="13"/>
    <x v="0"/>
    <n v="0"/>
    <x v="0"/>
    <x v="0"/>
    <s v="CB 160F DLX                                       ROJO SPOR"/>
    <e v="#N/A"/>
    <s v=""/>
  </r>
  <r>
    <x v="40"/>
    <d v="2017-08-01T00:00:00"/>
    <x v="1"/>
    <s v="SURO - SUR OCCIDENTE"/>
    <s v="DIST - DISTRIBUIDORES"/>
    <n v="1"/>
    <x v="14"/>
    <n v="1"/>
    <x v="40"/>
    <x v="5"/>
    <x v="8"/>
    <m/>
    <x v="18"/>
    <x v="14"/>
    <n v="6133613"/>
    <m/>
    <n v="0"/>
    <n v="0"/>
    <x v="1"/>
    <x v="12"/>
    <x v="0"/>
    <x v="0"/>
    <n v="0"/>
    <x v="0"/>
    <x v="0"/>
    <s v="CB 160F DLX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6"/>
    <x v="6"/>
    <m/>
    <x v="18"/>
    <x v="14"/>
    <n v="3521008"/>
    <m/>
    <n v="0"/>
    <n v="0"/>
    <x v="1"/>
    <x v="12"/>
    <x v="0"/>
    <x v="0"/>
    <n v="0"/>
    <x v="0"/>
    <x v="0"/>
    <s v="DIO  110                                          ROJO     "/>
    <e v="#N/A"/>
    <s v=""/>
  </r>
  <r>
    <x v="40"/>
    <d v="2017-08-01T00:00:00"/>
    <x v="1"/>
    <s v="SURO - SUR OCCIDENTE"/>
    <s v="DIST - DISTRIBUIDORES"/>
    <n v="1"/>
    <x v="14"/>
    <n v="1"/>
    <x v="40"/>
    <x v="6"/>
    <x v="0"/>
    <m/>
    <x v="18"/>
    <x v="14"/>
    <n v="3521008"/>
    <m/>
    <n v="0"/>
    <n v="0"/>
    <x v="1"/>
    <x v="12"/>
    <x v="7"/>
    <x v="0"/>
    <n v="0"/>
    <x v="0"/>
    <x v="0"/>
    <s v="DIO  110                                          BLANCO NE"/>
    <e v="#N/A"/>
    <s v=""/>
  </r>
  <r>
    <x v="40"/>
    <d v="2017-08-01T00:00:00"/>
    <x v="1"/>
    <s v="SURO - SUR OCCIDENTE"/>
    <s v="DIST - DISTRIBUIDORES"/>
    <n v="1"/>
    <x v="14"/>
    <n v="1"/>
    <x v="40"/>
    <x v="6"/>
    <x v="16"/>
    <m/>
    <x v="18"/>
    <x v="14"/>
    <n v="3521008"/>
    <m/>
    <n v="0"/>
    <n v="0"/>
    <x v="1"/>
    <x v="12"/>
    <x v="0"/>
    <x v="0"/>
    <n v="0"/>
    <x v="0"/>
    <x v="0"/>
    <s v="DIO  110  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14"/>
    <x v="3"/>
    <m/>
    <x v="18"/>
    <x v="14"/>
    <n v="7730252"/>
    <m/>
    <n v="0"/>
    <n v="0"/>
    <x v="1"/>
    <x v="12"/>
    <x v="0"/>
    <x v="0"/>
    <n v="0"/>
    <x v="0"/>
    <x v="0"/>
    <s v="CB 190R INSTINTO R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0"/>
    <x v="15"/>
    <m/>
    <x v="18"/>
    <x v="14"/>
    <n v="3067227"/>
    <m/>
    <n v="0"/>
    <n v="0"/>
    <x v="1"/>
    <x v="12"/>
    <x v="0"/>
    <x v="0"/>
    <n v="0"/>
    <x v="0"/>
    <x v="0"/>
    <s v="DREAM  NEO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10"/>
    <x v="20"/>
    <m/>
    <x v="18"/>
    <x v="14"/>
    <n v="3067227"/>
    <m/>
    <n v="0"/>
    <n v="0"/>
    <x v="1"/>
    <x v="12"/>
    <x v="0"/>
    <x v="0"/>
    <n v="0"/>
    <x v="0"/>
    <x v="0"/>
    <s v="DREAM  NEO                                        NEGRO AZU"/>
    <e v="#N/A"/>
    <s v=""/>
  </r>
  <r>
    <x v="40"/>
    <d v="2017-08-01T00:00:00"/>
    <x v="1"/>
    <s v="SURO - SUR OCCIDENTE"/>
    <s v="DIST - DISTRIBUIDORES"/>
    <n v="1"/>
    <x v="14"/>
    <n v="1"/>
    <x v="40"/>
    <x v="7"/>
    <x v="11"/>
    <m/>
    <x v="18"/>
    <x v="14"/>
    <n v="3941176"/>
    <m/>
    <n v="0"/>
    <n v="0"/>
    <x v="1"/>
    <x v="12"/>
    <x v="7"/>
    <x v="0"/>
    <n v="0"/>
    <x v="0"/>
    <x v="0"/>
    <s v="WAVE 110S                                         BLANCO   "/>
    <e v="#N/A"/>
    <s v=""/>
  </r>
  <r>
    <x v="40"/>
    <d v="2017-08-01T00:00:00"/>
    <x v="1"/>
    <s v="SURO - SUR OCCIDENTE"/>
    <s v="DIST - DISTRIBUIDORES"/>
    <n v="1"/>
    <x v="14"/>
    <n v="1"/>
    <x v="40"/>
    <x v="7"/>
    <x v="1"/>
    <m/>
    <x v="18"/>
    <x v="14"/>
    <n v="3941176"/>
    <m/>
    <n v="0"/>
    <n v="0"/>
    <x v="1"/>
    <x v="12"/>
    <x v="0"/>
    <x v="0"/>
    <n v="0"/>
    <x v="0"/>
    <x v="0"/>
    <s v="WAVE 110S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8"/>
    <x v="8"/>
    <m/>
    <x v="18"/>
    <x v="14"/>
    <n v="5453782"/>
    <m/>
    <n v="0"/>
    <n v="0"/>
    <x v="1"/>
    <x v="12"/>
    <x v="0"/>
    <x v="0"/>
    <n v="0"/>
    <x v="0"/>
    <x v="0"/>
    <s v="CB 160F STD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9"/>
    <x v="16"/>
    <m/>
    <x v="18"/>
    <x v="14"/>
    <n v="3696639"/>
    <m/>
    <n v="0"/>
    <n v="0"/>
    <x v="1"/>
    <x v="12"/>
    <x v="14"/>
    <x v="0"/>
    <n v="0"/>
    <x v="0"/>
    <x v="0"/>
    <s v="CB 110 DLX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9"/>
    <x v="17"/>
    <m/>
    <x v="18"/>
    <x v="14"/>
    <n v="3696639"/>
    <m/>
    <n v="0"/>
    <n v="0"/>
    <x v="1"/>
    <x v="12"/>
    <x v="15"/>
    <x v="0"/>
    <n v="0"/>
    <x v="0"/>
    <x v="0"/>
    <s v="CB 110 DLX                                        GRIS     "/>
    <e v="#N/A"/>
    <s v=""/>
  </r>
  <r>
    <x v="40"/>
    <d v="2017-08-01T00:00:00"/>
    <x v="1"/>
    <s v="SURO - SUR OCCIDENTE"/>
    <s v="DIST - DISTRIBUIDORES"/>
    <n v="1"/>
    <x v="14"/>
    <n v="1"/>
    <x v="40"/>
    <x v="9"/>
    <x v="6"/>
    <m/>
    <x v="18"/>
    <x v="14"/>
    <n v="3696639"/>
    <m/>
    <n v="0"/>
    <n v="0"/>
    <x v="1"/>
    <x v="12"/>
    <x v="14"/>
    <x v="0"/>
    <n v="0"/>
    <x v="0"/>
    <x v="0"/>
    <s v="CB 110 DLX                                        ROJO     "/>
    <e v="#N/A"/>
    <s v=""/>
  </r>
  <r>
    <x v="40"/>
    <d v="2017-08-01T00:00:00"/>
    <x v="1"/>
    <s v="SURO - SUR OCCIDENTE"/>
    <s v="DIST - DISTRIBUIDORES"/>
    <n v="4"/>
    <x v="14"/>
    <n v="4"/>
    <x v="40"/>
    <x v="9"/>
    <x v="1"/>
    <m/>
    <x v="18"/>
    <x v="14"/>
    <n v="3696639"/>
    <m/>
    <n v="0"/>
    <n v="0"/>
    <x v="1"/>
    <x v="12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8"/>
    <m/>
    <x v="15"/>
    <x v="16"/>
    <n v="3360504"/>
    <m/>
    <s v="FACTURAS VENCIDAS"/>
    <n v="0"/>
    <x v="1"/>
    <x v="11"/>
    <x v="15"/>
    <x v="0"/>
    <n v="0"/>
    <x v="0"/>
    <x v="0"/>
    <s v="*CB-110                                           GRIS MET "/>
    <e v="#N/A"/>
    <s v=""/>
  </r>
  <r>
    <x v="41"/>
    <d v="2017-08-01T00:00:00"/>
    <x v="1"/>
    <s v="CTR - ZONA CENTRO"/>
    <s v="DIST - DISTRIBUIDORES"/>
    <n v="3"/>
    <x v="16"/>
    <n v="3"/>
    <x v="41"/>
    <x v="1"/>
    <x v="7"/>
    <m/>
    <x v="15"/>
    <x v="16"/>
    <n v="3360504"/>
    <m/>
    <s v="FACTURAS VENCIDAS"/>
    <n v="0"/>
    <x v="1"/>
    <x v="11"/>
    <x v="9"/>
    <x v="0"/>
    <n v="0"/>
    <x v="0"/>
    <x v="0"/>
    <s v="*CB-110                                           ROJO SPOR"/>
    <e v="#N/A"/>
    <s v=""/>
  </r>
  <r>
    <x v="41"/>
    <d v="2017-08-01T00:00:00"/>
    <x v="1"/>
    <s v="CTR - ZONA CENTRO"/>
    <s v="DIST - DISTRIBUIDORES"/>
    <n v="4"/>
    <x v="16"/>
    <n v="4"/>
    <x v="41"/>
    <x v="1"/>
    <x v="1"/>
    <m/>
    <x v="15"/>
    <x v="16"/>
    <n v="3360504"/>
    <m/>
    <s v="FACTURAS VENCIDAS"/>
    <n v="0"/>
    <x v="1"/>
    <x v="11"/>
    <x v="1"/>
    <x v="0"/>
    <n v="0"/>
    <x v="0"/>
    <x v="0"/>
    <s v="*CB-110  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4"/>
    <m/>
    <x v="15"/>
    <x v="16"/>
    <n v="3360504"/>
    <m/>
    <s v="FACTURAS VENCIDAS"/>
    <n v="0"/>
    <x v="1"/>
    <x v="11"/>
    <x v="10"/>
    <x v="0"/>
    <n v="0"/>
    <x v="0"/>
    <x v="0"/>
    <s v="*CB-110                                           AZUL FIJI"/>
    <e v="#N/A"/>
    <s v=""/>
  </r>
  <r>
    <x v="41"/>
    <d v="2017-08-01T00:00:00"/>
    <x v="1"/>
    <s v="CTR - ZONA CENTRO"/>
    <s v="DIST - DISTRIBUIDORES"/>
    <n v="2"/>
    <x v="16"/>
    <n v="2"/>
    <x v="41"/>
    <x v="2"/>
    <x v="15"/>
    <m/>
    <x v="15"/>
    <x v="16"/>
    <n v="5789916"/>
    <m/>
    <s v="FACTURAS VENCIDAS"/>
    <n v="0"/>
    <x v="1"/>
    <x v="11"/>
    <x v="11"/>
    <x v="0"/>
    <n v="0"/>
    <x v="0"/>
    <x v="0"/>
    <s v="*XR 150L                                          NEGRO ROJ"/>
    <e v="#N/A"/>
    <s v=""/>
  </r>
  <r>
    <x v="41"/>
    <d v="2017-08-01T00:00:00"/>
    <x v="1"/>
    <s v="CTR - ZONA CENTRO"/>
    <s v="DIST - DISTRIBUIDORES"/>
    <n v="1"/>
    <x v="16"/>
    <n v="1"/>
    <x v="41"/>
    <x v="2"/>
    <x v="1"/>
    <m/>
    <x v="15"/>
    <x v="16"/>
    <n v="5789916"/>
    <m/>
    <s v="FACTURAS VENCIDAS"/>
    <n v="0"/>
    <x v="1"/>
    <x v="11"/>
    <x v="2"/>
    <x v="0"/>
    <n v="0"/>
    <x v="0"/>
    <x v="0"/>
    <s v="*XR 150L                                          NEGRO    "/>
    <e v="#N/A"/>
    <s v=""/>
  </r>
  <r>
    <x v="41"/>
    <d v="2017-08-01T00:00:00"/>
    <x v="1"/>
    <s v="CTR - ZONA CENTRO"/>
    <s v="DIST - DISTRIBUIDORES"/>
    <n v="1"/>
    <x v="16"/>
    <n v="1"/>
    <x v="41"/>
    <x v="10"/>
    <x v="12"/>
    <m/>
    <x v="15"/>
    <x v="16"/>
    <n v="3067227"/>
    <m/>
    <s v="FACTURAS VENCIDAS"/>
    <n v="0"/>
    <x v="1"/>
    <x v="11"/>
    <x v="0"/>
    <x v="0"/>
    <n v="0"/>
    <x v="0"/>
    <x v="0"/>
    <s v="DREAM  NEO                                        ROJO ALFA"/>
    <e v="#N/A"/>
    <s v=""/>
  </r>
  <r>
    <x v="41"/>
    <d v="2017-08-01T00:00:00"/>
    <x v="1"/>
    <s v="CTR - ZONA CENTRO"/>
    <s v="DIST - DISTRIBUIDORES"/>
    <n v="1"/>
    <x v="16"/>
    <n v="1"/>
    <x v="41"/>
    <x v="7"/>
    <x v="6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ROJO     "/>
    <e v="#N/A"/>
    <s v=""/>
  </r>
  <r>
    <x v="41"/>
    <d v="2017-08-01T00:00:00"/>
    <x v="1"/>
    <s v="CTR - ZONA CENTRO"/>
    <s v="DIST - DISTRIBUIDORES"/>
    <n v="3"/>
    <x v="16"/>
    <n v="3"/>
    <x v="41"/>
    <x v="7"/>
    <x v="1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9"/>
    <x v="17"/>
    <m/>
    <x v="15"/>
    <x v="16"/>
    <n v="3696639"/>
    <m/>
    <s v="FACTURAS VENCIDAS"/>
    <n v="0"/>
    <x v="1"/>
    <x v="11"/>
    <x v="15"/>
    <x v="0"/>
    <n v="0"/>
    <x v="0"/>
    <x v="0"/>
    <s v="CB 110 DLX                                        GRIS     "/>
    <e v="#N/A"/>
    <s v=""/>
  </r>
  <r>
    <x v="41"/>
    <d v="2017-08-01T00:00:00"/>
    <x v="1"/>
    <s v="CTR - ZONA CENTRO"/>
    <s v="DIST - DISTRIBUIDORES"/>
    <n v="4"/>
    <x v="16"/>
    <n v="4"/>
    <x v="41"/>
    <x v="9"/>
    <x v="1"/>
    <m/>
    <x v="15"/>
    <x v="16"/>
    <n v="3696639"/>
    <m/>
    <s v="FACTURAS VENCIDAS"/>
    <n v="0"/>
    <x v="1"/>
    <x v="11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4"/>
    <x v="16"/>
    <n v="4"/>
    <x v="41"/>
    <x v="9"/>
    <x v="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ROJO     "/>
    <e v="#N/A"/>
    <s v=""/>
  </r>
  <r>
    <x v="41"/>
    <d v="2017-08-01T00:00:00"/>
    <x v="1"/>
    <s v="CTR - ZONA CENTRO"/>
    <s v="DIST - DISTRIBUIDORES"/>
    <n v="4"/>
    <x v="16"/>
    <n v="4"/>
    <x v="41"/>
    <x v="9"/>
    <x v="1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AZUL     "/>
    <e v="#N/A"/>
    <s v=""/>
  </r>
  <r>
    <x v="42"/>
    <d v="2017-08-01T00:00:00"/>
    <x v="1"/>
    <s v="SURO - SUR OCCIDENTE"/>
    <s v="DIST - DISTRIBUIDORES"/>
    <n v="2"/>
    <x v="14"/>
    <n v="2"/>
    <x v="42"/>
    <x v="1"/>
    <x v="1"/>
    <m/>
    <x v="31"/>
    <x v="14"/>
    <n v="3360504"/>
    <m/>
    <n v="0"/>
    <n v="0"/>
    <x v="1"/>
    <x v="8"/>
    <x v="1"/>
    <x v="0"/>
    <n v="0"/>
    <x v="0"/>
    <x v="0"/>
    <s v="*CB-110 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2"/>
    <x v="1"/>
    <m/>
    <x v="31"/>
    <x v="14"/>
    <n v="5789916"/>
    <m/>
    <n v="0"/>
    <n v="0"/>
    <x v="1"/>
    <x v="8"/>
    <x v="2"/>
    <x v="0"/>
    <n v="0"/>
    <x v="0"/>
    <x v="0"/>
    <s v="*XR 150L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4"/>
    <x v="4"/>
    <m/>
    <x v="31"/>
    <x v="14"/>
    <n v="7730252"/>
    <m/>
    <n v="0"/>
    <n v="0"/>
    <x v="1"/>
    <x v="8"/>
    <x v="4"/>
    <x v="0"/>
    <n v="0"/>
    <x v="0"/>
    <x v="0"/>
    <s v="CB 190 REPSOL                                     NARANJA B"/>
    <e v="#N/A"/>
    <s v=""/>
  </r>
  <r>
    <x v="42"/>
    <d v="2017-08-01T00:00:00"/>
    <x v="1"/>
    <s v="SURO - SUR OCCIDENTE"/>
    <s v="DIST - DISTRIBUIDORES"/>
    <n v="1"/>
    <x v="14"/>
    <n v="1"/>
    <x v="42"/>
    <x v="5"/>
    <x v="8"/>
    <m/>
    <x v="31"/>
    <x v="14"/>
    <n v="6133613"/>
    <m/>
    <n v="0"/>
    <n v="0"/>
    <x v="1"/>
    <x v="8"/>
    <x v="0"/>
    <x v="0"/>
    <n v="0"/>
    <x v="0"/>
    <x v="0"/>
    <s v="CB 160F DLX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10"/>
    <x v="20"/>
    <m/>
    <x v="31"/>
    <x v="14"/>
    <n v="3067227"/>
    <m/>
    <n v="0"/>
    <n v="0"/>
    <x v="1"/>
    <x v="8"/>
    <x v="0"/>
    <x v="0"/>
    <n v="0"/>
    <x v="0"/>
    <x v="0"/>
    <s v="DREAM  NEO                                        NEGRO AZU"/>
    <e v="#N/A"/>
    <s v=""/>
  </r>
  <r>
    <x v="42"/>
    <d v="2017-08-01T00:00:00"/>
    <x v="1"/>
    <s v="SURO - SUR OCCIDENTE"/>
    <s v="DIST - DISTRIBUIDORES"/>
    <n v="1"/>
    <x v="14"/>
    <n v="1"/>
    <x v="42"/>
    <x v="7"/>
    <x v="1"/>
    <m/>
    <x v="31"/>
    <x v="14"/>
    <n v="3941176"/>
    <m/>
    <n v="0"/>
    <n v="0"/>
    <x v="1"/>
    <x v="8"/>
    <x v="0"/>
    <x v="0"/>
    <n v="0"/>
    <x v="0"/>
    <x v="0"/>
    <s v="WAVE 110S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8"/>
    <x v="8"/>
    <m/>
    <x v="31"/>
    <x v="14"/>
    <n v="5453782"/>
    <m/>
    <n v="0"/>
    <n v="0"/>
    <x v="1"/>
    <x v="8"/>
    <x v="0"/>
    <x v="0"/>
    <n v="0"/>
    <x v="0"/>
    <x v="0"/>
    <s v="CB 160F STD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9"/>
    <x v="1"/>
    <m/>
    <x v="31"/>
    <x v="14"/>
    <n v="3696639"/>
    <m/>
    <n v="0"/>
    <n v="0"/>
    <x v="1"/>
    <x v="8"/>
    <x v="2"/>
    <x v="0"/>
    <n v="0"/>
    <x v="0"/>
    <x v="0"/>
    <s v="CB 110 DLX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0"/>
    <x v="10"/>
    <m/>
    <x v="32"/>
    <x v="17"/>
    <n v="11496063"/>
    <m/>
    <n v="45693960"/>
    <n v="0"/>
    <x v="0"/>
    <x v="11"/>
    <x v="6"/>
    <x v="0"/>
    <n v="0"/>
    <x v="0"/>
    <x v="0"/>
    <s v="*XR-250 TORNADO pt MD34                           ROJO BLAN"/>
    <e v="#N/A"/>
    <s v=""/>
  </r>
  <r>
    <x v="43"/>
    <d v="2017-08-01T00:00:00"/>
    <x v="0"/>
    <s v="CTR - ZONA CENTRO"/>
    <s v="DIST - DISTRIBUIDORES"/>
    <n v="2"/>
    <x v="17"/>
    <n v="2"/>
    <x v="43"/>
    <x v="2"/>
    <x v="15"/>
    <m/>
    <x v="32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3"/>
    <d v="2017-08-01T00:00:00"/>
    <x v="0"/>
    <s v="CTR - ZONA CENTRO"/>
    <s v="DIST - DISTRIBUIDORES"/>
    <n v="1"/>
    <x v="17"/>
    <n v="1"/>
    <x v="43"/>
    <x v="2"/>
    <x v="13"/>
    <m/>
    <x v="32"/>
    <x v="17"/>
    <n v="5789916"/>
    <m/>
    <n v="45693960"/>
    <n v="0"/>
    <x v="0"/>
    <x v="11"/>
    <x v="8"/>
    <x v="0"/>
    <n v="0"/>
    <x v="0"/>
    <x v="0"/>
    <s v="*XR 150L                                          NEGRO BLA"/>
    <e v="#N/A"/>
    <s v=""/>
  </r>
  <r>
    <x v="43"/>
    <d v="2017-08-01T00:00:00"/>
    <x v="0"/>
    <s v="CTR - ZONA CENTRO"/>
    <s v="DIST - DISTRIBUIDORES"/>
    <n v="4"/>
    <x v="17"/>
    <n v="4"/>
    <x v="43"/>
    <x v="2"/>
    <x v="1"/>
    <m/>
    <x v="32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5"/>
    <x v="8"/>
    <m/>
    <x v="32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3"/>
    <d v="2017-08-01T00:00:00"/>
    <x v="0"/>
    <s v="CTR - ZONA CENTRO"/>
    <s v="DIST - DISTRIBUIDORES"/>
    <n v="1"/>
    <x v="17"/>
    <n v="1"/>
    <x v="43"/>
    <x v="5"/>
    <x v="7"/>
    <m/>
    <x v="32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3"/>
    <d v="2017-08-01T00:00:00"/>
    <x v="0"/>
    <s v="CTR - ZONA CENTRO"/>
    <s v="DIST - DISTRIBUIDORES"/>
    <n v="6"/>
    <x v="17"/>
    <n v="6"/>
    <x v="43"/>
    <x v="9"/>
    <x v="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3"/>
    <d v="2017-08-01T00:00:00"/>
    <x v="0"/>
    <s v="CTR - ZONA CENTRO"/>
    <s v="DIST - DISTRIBUIDORES"/>
    <n v="4"/>
    <x v="17"/>
    <n v="4"/>
    <x v="43"/>
    <x v="9"/>
    <x v="17"/>
    <m/>
    <x v="32"/>
    <x v="17"/>
    <n v="3696639"/>
    <m/>
    <n v="45693960"/>
    <n v="0"/>
    <x v="0"/>
    <x v="11"/>
    <x v="15"/>
    <x v="0"/>
    <n v="0"/>
    <x v="0"/>
    <x v="0"/>
    <s v="CB 110 DLX                                        GRIS     "/>
    <e v="#N/A"/>
    <s v=""/>
  </r>
  <r>
    <x v="43"/>
    <d v="2017-08-01T00:00:00"/>
    <x v="0"/>
    <s v="CTR - ZONA CENTRO"/>
    <s v="DIST - DISTRIBUIDORES"/>
    <n v="5"/>
    <x v="17"/>
    <n v="5"/>
    <x v="43"/>
    <x v="9"/>
    <x v="1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3"/>
    <d v="2017-08-01T00:00:00"/>
    <x v="0"/>
    <s v="CTR - ZONA CENTRO"/>
    <s v="DIST - DISTRIBUIDORES"/>
    <n v="20"/>
    <x v="17"/>
    <n v="20"/>
    <x v="43"/>
    <x v="9"/>
    <x v="1"/>
    <m/>
    <x v="32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4"/>
    <d v="2017-08-01T00:00:00"/>
    <x v="1"/>
    <s v="SURO - SUR OCCIDENTE"/>
    <s v="DIST - DISTRIBUIDORES"/>
    <n v="3"/>
    <x v="18"/>
    <n v="3"/>
    <x v="44"/>
    <x v="1"/>
    <x v="1"/>
    <m/>
    <x v="33"/>
    <x v="18"/>
    <n v="3360504"/>
    <m/>
    <n v="28640233"/>
    <n v="0"/>
    <x v="0"/>
    <x v="17"/>
    <x v="1"/>
    <x v="0"/>
    <n v="0"/>
    <x v="0"/>
    <x v="0"/>
    <s v="*CB-110 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13"/>
    <x v="21"/>
    <m/>
    <x v="33"/>
    <x v="18"/>
    <n v="5168067"/>
    <m/>
    <n v="28640233"/>
    <n v="0"/>
    <x v="0"/>
    <x v="17"/>
    <x v="17"/>
    <x v="0"/>
    <n v="0"/>
    <x v="0"/>
    <x v="0"/>
    <s v="*INVICTA                                          AZUL NEON"/>
    <e v="#N/A"/>
    <s v=""/>
  </r>
  <r>
    <x v="44"/>
    <d v="2017-08-01T00:00:00"/>
    <x v="1"/>
    <s v="SURO - SUR OCCIDENTE"/>
    <s v="DIST - DISTRIBUIDORES"/>
    <n v="1"/>
    <x v="18"/>
    <n v="1"/>
    <x v="44"/>
    <x v="2"/>
    <x v="1"/>
    <m/>
    <x v="33"/>
    <x v="18"/>
    <n v="5789916"/>
    <m/>
    <n v="28640233"/>
    <n v="0"/>
    <x v="0"/>
    <x v="17"/>
    <x v="2"/>
    <x v="0"/>
    <n v="0"/>
    <x v="0"/>
    <x v="0"/>
    <s v="*XR 150L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5"/>
    <x v="9"/>
    <m/>
    <x v="33"/>
    <x v="18"/>
    <n v="6133613"/>
    <m/>
    <n v="28640233"/>
    <n v="0"/>
    <x v="0"/>
    <x v="17"/>
    <x v="18"/>
    <x v="0"/>
    <n v="0"/>
    <x v="0"/>
    <x v="0"/>
    <s v="CB 160F DLX                                       BLANCO PE"/>
    <e v="#N/A"/>
    <s v=""/>
  </r>
  <r>
    <x v="44"/>
    <d v="2017-08-01T00:00:00"/>
    <x v="1"/>
    <s v="SURO - SUR OCCIDENTE"/>
    <s v="DIST - DISTRIBUIDORES"/>
    <n v="3"/>
    <x v="18"/>
    <n v="3"/>
    <x v="44"/>
    <x v="10"/>
    <x v="20"/>
    <m/>
    <x v="33"/>
    <x v="18"/>
    <n v="3067227"/>
    <m/>
    <n v="28640233"/>
    <n v="0"/>
    <x v="0"/>
    <x v="17"/>
    <x v="0"/>
    <x v="0"/>
    <n v="0"/>
    <x v="0"/>
    <x v="0"/>
    <s v="DREAM  NEO                                        NEGRO AZU"/>
    <e v="#N/A"/>
    <s v=""/>
  </r>
  <r>
    <x v="44"/>
    <d v="2017-08-01T00:00:00"/>
    <x v="1"/>
    <s v="SURO - SUR OCCIDENTE"/>
    <s v="DIST - DISTRIBUIDORES"/>
    <n v="1"/>
    <x v="18"/>
    <n v="1"/>
    <x v="44"/>
    <x v="10"/>
    <x v="12"/>
    <m/>
    <x v="33"/>
    <x v="18"/>
    <n v="3067227"/>
    <m/>
    <n v="28640233"/>
    <n v="0"/>
    <x v="0"/>
    <x v="17"/>
    <x v="0"/>
    <x v="0"/>
    <n v="0"/>
    <x v="0"/>
    <x v="0"/>
    <s v="DREAM  NEO                                        ROJO ALFA"/>
    <e v="#N/A"/>
    <s v=""/>
  </r>
  <r>
    <x v="44"/>
    <d v="2017-08-01T00:00:00"/>
    <x v="1"/>
    <s v="SURO - SUR OCCIDENTE"/>
    <s v="DIST - DISTRIBUIDORES"/>
    <n v="1"/>
    <x v="18"/>
    <n v="1"/>
    <x v="44"/>
    <x v="7"/>
    <x v="1"/>
    <m/>
    <x v="33"/>
    <x v="18"/>
    <n v="3941176"/>
    <m/>
    <n v="28640233"/>
    <n v="0"/>
    <x v="0"/>
    <x v="17"/>
    <x v="0"/>
    <x v="0"/>
    <n v="0"/>
    <x v="0"/>
    <x v="0"/>
    <s v="WAVE 110S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9"/>
    <x v="1"/>
    <m/>
    <x v="33"/>
    <x v="18"/>
    <n v="3696639"/>
    <m/>
    <n v="28640233"/>
    <n v="0"/>
    <x v="0"/>
    <x v="17"/>
    <x v="2"/>
    <x v="0"/>
    <n v="0"/>
    <x v="0"/>
    <x v="0"/>
    <s v="CB 110 DLX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1"/>
    <x v="14"/>
    <m/>
    <x v="34"/>
    <x v="19"/>
    <n v="3360504"/>
    <m/>
    <n v="0"/>
    <n v="0"/>
    <x v="1"/>
    <x v="17"/>
    <x v="10"/>
    <x v="0"/>
    <n v="0"/>
    <x v="0"/>
    <x v="0"/>
    <s v="*CB-110                                           AZUL FIJI"/>
    <e v="#N/A"/>
    <s v=""/>
  </r>
  <r>
    <x v="45"/>
    <d v="2017-08-01T00:00:00"/>
    <x v="0"/>
    <s v="SURO - SUR OCCIDENTE"/>
    <s v="DIST - DISTRIBUIDORES"/>
    <n v="1"/>
    <x v="19"/>
    <n v="1"/>
    <x v="45"/>
    <x v="2"/>
    <x v="15"/>
    <m/>
    <x v="34"/>
    <x v="19"/>
    <n v="5789916"/>
    <m/>
    <n v="0"/>
    <n v="0"/>
    <x v="1"/>
    <x v="17"/>
    <x v="11"/>
    <x v="0"/>
    <n v="0"/>
    <x v="0"/>
    <x v="0"/>
    <s v="*XR 150L                                          NEGRO ROJ"/>
    <e v="#N/A"/>
    <s v=""/>
  </r>
  <r>
    <x v="45"/>
    <d v="2017-08-01T00:00:00"/>
    <x v="0"/>
    <s v="SURO - SUR OCCIDENTE"/>
    <s v="DIST - DISTRIBUIDORES"/>
    <n v="1"/>
    <x v="19"/>
    <n v="1"/>
    <x v="45"/>
    <x v="2"/>
    <x v="1"/>
    <m/>
    <x v="34"/>
    <x v="19"/>
    <n v="5789916"/>
    <m/>
    <n v="0"/>
    <n v="0"/>
    <x v="1"/>
    <x v="17"/>
    <x v="2"/>
    <x v="0"/>
    <n v="0"/>
    <x v="0"/>
    <x v="0"/>
    <s v="*XR 150L  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7"/>
    <x v="6"/>
    <m/>
    <x v="34"/>
    <x v="19"/>
    <n v="3941176"/>
    <m/>
    <n v="0"/>
    <n v="0"/>
    <x v="1"/>
    <x v="17"/>
    <x v="0"/>
    <x v="0"/>
    <n v="0"/>
    <x v="0"/>
    <x v="0"/>
    <s v="WAVE 110S                                         ROJO     "/>
    <e v="#N/A"/>
    <s v=""/>
  </r>
  <r>
    <x v="46"/>
    <d v="2017-08-01T00:00:00"/>
    <x v="1"/>
    <s v="SURO - SUR OCCIDENTE"/>
    <s v="DIST - DISTRIBUIDORES"/>
    <n v="1"/>
    <x v="19"/>
    <n v="1"/>
    <x v="46"/>
    <x v="1"/>
    <x v="18"/>
    <m/>
    <x v="35"/>
    <x v="19"/>
    <n v="3360504"/>
    <m/>
    <n v="0"/>
    <n v="0"/>
    <x v="1"/>
    <x v="18"/>
    <x v="15"/>
    <x v="0"/>
    <n v="0"/>
    <x v="0"/>
    <x v="0"/>
    <s v="*CB-110                                           GRIS MET "/>
    <e v="#N/A"/>
    <s v=""/>
  </r>
  <r>
    <x v="46"/>
    <d v="2017-08-01T00:00:00"/>
    <x v="1"/>
    <s v="SURO - SUR OCCIDENTE"/>
    <s v="DIST - DISTRIBUIDORES"/>
    <n v="1"/>
    <x v="19"/>
    <n v="1"/>
    <x v="46"/>
    <x v="2"/>
    <x v="13"/>
    <m/>
    <x v="35"/>
    <x v="19"/>
    <n v="5789916"/>
    <m/>
    <n v="0"/>
    <n v="0"/>
    <x v="1"/>
    <x v="18"/>
    <x v="8"/>
    <x v="0"/>
    <n v="0"/>
    <x v="0"/>
    <x v="0"/>
    <s v="*XR 150L                                          NEGRO BLA"/>
    <e v="#N/A"/>
    <s v=""/>
  </r>
  <r>
    <x v="46"/>
    <d v="2017-08-01T00:00:00"/>
    <x v="1"/>
    <s v="SURO - SUR OCCIDENTE"/>
    <s v="DIST - DISTRIBUIDORES"/>
    <n v="1"/>
    <x v="19"/>
    <n v="1"/>
    <x v="46"/>
    <x v="9"/>
    <x v="17"/>
    <m/>
    <x v="35"/>
    <x v="19"/>
    <n v="3696639"/>
    <m/>
    <n v="0"/>
    <n v="0"/>
    <x v="1"/>
    <x v="18"/>
    <x v="15"/>
    <x v="0"/>
    <n v="0"/>
    <x v="0"/>
    <x v="0"/>
    <s v="CB 110 DLX                                        GRIS     "/>
    <e v="#N/A"/>
    <s v=""/>
  </r>
  <r>
    <x v="46"/>
    <d v="2017-08-01T00:00:00"/>
    <x v="1"/>
    <s v="SURO - SUR OCCIDENTE"/>
    <s v="DIST - DISTRIBUIDORES"/>
    <n v="1"/>
    <x v="19"/>
    <n v="1"/>
    <x v="46"/>
    <x v="9"/>
    <x v="1"/>
    <m/>
    <x v="35"/>
    <x v="19"/>
    <n v="3696639"/>
    <m/>
    <n v="0"/>
    <n v="0"/>
    <x v="1"/>
    <x v="18"/>
    <x v="2"/>
    <x v="0"/>
    <n v="0"/>
    <x v="0"/>
    <x v="0"/>
    <s v="CB 110 DLX                                        NEGRO    "/>
    <e v="#N/A"/>
    <s v=""/>
  </r>
  <r>
    <x v="47"/>
    <d v="2017-08-01T00:00:00"/>
    <x v="0"/>
    <s v="CTR - ZONA CENTRO"/>
    <s v="DIST - DISTRIBUIDORES"/>
    <n v="3"/>
    <x v="17"/>
    <n v="3"/>
    <x v="47"/>
    <x v="2"/>
    <x v="15"/>
    <m/>
    <x v="36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7"/>
    <d v="2017-08-01T00:00:00"/>
    <x v="0"/>
    <s v="CTR - ZONA CENTRO"/>
    <s v="DIST - DISTRIBUIDORES"/>
    <n v="2"/>
    <x v="17"/>
    <n v="2"/>
    <x v="47"/>
    <x v="2"/>
    <x v="1"/>
    <m/>
    <x v="36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7"/>
    <d v="2017-08-01T00:00:00"/>
    <x v="0"/>
    <s v="CTR - ZONA CENTRO"/>
    <s v="DIST - DISTRIBUIDORES"/>
    <n v="1"/>
    <x v="17"/>
    <n v="1"/>
    <x v="47"/>
    <x v="5"/>
    <x v="7"/>
    <m/>
    <x v="36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7"/>
    <d v="2017-08-01T00:00:00"/>
    <x v="0"/>
    <s v="CTR - ZONA CENTRO"/>
    <s v="DIST - DISTRIBUIDORES"/>
    <n v="1"/>
    <x v="17"/>
    <n v="1"/>
    <x v="47"/>
    <x v="5"/>
    <x v="8"/>
    <m/>
    <x v="36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7"/>
    <d v="2017-08-01T00:00:00"/>
    <x v="0"/>
    <s v="CTR - ZONA CENTRO"/>
    <s v="DIST - DISTRIBUIDORES"/>
    <n v="11"/>
    <x v="17"/>
    <n v="11"/>
    <x v="47"/>
    <x v="9"/>
    <x v="1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7"/>
    <d v="2017-08-01T00:00:00"/>
    <x v="0"/>
    <s v="CTR - ZONA CENTRO"/>
    <s v="DIST - DISTRIBUIDORES"/>
    <n v="12"/>
    <x v="17"/>
    <n v="12"/>
    <x v="47"/>
    <x v="9"/>
    <x v="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7"/>
    <d v="2017-08-01T00:00:00"/>
    <x v="0"/>
    <s v="CTR - ZONA CENTRO"/>
    <s v="DIST - DISTRIBUIDORES"/>
    <n v="20"/>
    <x v="17"/>
    <n v="20"/>
    <x v="47"/>
    <x v="9"/>
    <x v="1"/>
    <m/>
    <x v="36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8"/>
    <d v="2017-08-01T00:00:00"/>
    <x v="0"/>
    <s v="SURO - SUR OCCIDENTE"/>
    <s v="DIST - DISTRIBUIDORES"/>
    <n v="4"/>
    <x v="20"/>
    <n v="4"/>
    <x v="48"/>
    <x v="1"/>
    <x v="18"/>
    <m/>
    <x v="37"/>
    <x v="20"/>
    <n v="3360504"/>
    <m/>
    <n v="116885711"/>
    <n v="0"/>
    <x v="0"/>
    <x v="19"/>
    <x v="15"/>
    <x v="0"/>
    <n v="0"/>
    <x v="0"/>
    <x v="0"/>
    <s v="*CB-110                                           GRIS MET "/>
    <e v="#N/A"/>
    <s v=""/>
  </r>
  <r>
    <x v="48"/>
    <d v="2017-08-01T00:00:00"/>
    <x v="0"/>
    <s v="SURO - SUR OCCIDENTE"/>
    <s v="DIST - DISTRIBUIDORES"/>
    <n v="4"/>
    <x v="20"/>
    <n v="4"/>
    <x v="48"/>
    <x v="1"/>
    <x v="1"/>
    <m/>
    <x v="37"/>
    <x v="20"/>
    <n v="3360504"/>
    <m/>
    <n v="116885711"/>
    <n v="0"/>
    <x v="0"/>
    <x v="19"/>
    <x v="1"/>
    <x v="0"/>
    <n v="0"/>
    <x v="0"/>
    <x v="0"/>
    <s v="*CB-110                                           NEGRO    "/>
    <e v="#N/A"/>
    <s v=""/>
  </r>
  <r>
    <x v="48"/>
    <d v="2017-08-01T00:00:00"/>
    <x v="0"/>
    <s v="SURO - SUR OCCIDENTE"/>
    <s v="DIST - DISTRIBUIDORES"/>
    <n v="1"/>
    <x v="20"/>
    <n v="1"/>
    <x v="48"/>
    <x v="2"/>
    <x v="15"/>
    <m/>
    <x v="37"/>
    <x v="20"/>
    <n v="5789916"/>
    <m/>
    <n v="116885711"/>
    <n v="0"/>
    <x v="0"/>
    <x v="19"/>
    <x v="11"/>
    <x v="0"/>
    <n v="0"/>
    <x v="0"/>
    <x v="0"/>
    <s v="*XR 150L                                          NEGRO ROJ"/>
    <e v="#N/A"/>
    <s v=""/>
  </r>
  <r>
    <x v="48"/>
    <d v="2017-08-01T00:00:00"/>
    <x v="0"/>
    <s v="SURO - SUR OCCIDENTE"/>
    <s v="DIST - DISTRIBUIDORES"/>
    <n v="8"/>
    <x v="20"/>
    <n v="8"/>
    <x v="48"/>
    <x v="2"/>
    <x v="1"/>
    <m/>
    <x v="37"/>
    <x v="20"/>
    <n v="5789916"/>
    <m/>
    <n v="116885711"/>
    <n v="0"/>
    <x v="0"/>
    <x v="19"/>
    <x v="2"/>
    <x v="0"/>
    <n v="0"/>
    <x v="0"/>
    <x v="0"/>
    <s v="*XR 150L                                          NEGRO    "/>
    <e v="#N/A"/>
    <s v=""/>
  </r>
  <r>
    <x v="48"/>
    <d v="2017-08-01T00:00:00"/>
    <x v="0"/>
    <s v="SURO - SUR OCCIDENTE"/>
    <s v="DIST - DISTRIBUIDORES"/>
    <n v="3"/>
    <x v="20"/>
    <n v="3"/>
    <x v="48"/>
    <x v="4"/>
    <x v="4"/>
    <m/>
    <x v="37"/>
    <x v="20"/>
    <n v="7730252"/>
    <m/>
    <n v="116885711"/>
    <n v="0"/>
    <x v="0"/>
    <x v="19"/>
    <x v="4"/>
    <x v="0"/>
    <n v="0"/>
    <x v="0"/>
    <x v="0"/>
    <s v="CB 190 REPSOL                                     NARANJA B"/>
    <e v="#N/A"/>
    <s v=""/>
  </r>
  <r>
    <x v="48"/>
    <d v="2017-08-01T00:00:00"/>
    <x v="0"/>
    <s v="SURO - SUR OCCIDENTE"/>
    <s v="DIST - DISTRIBUIDORES"/>
    <n v="2"/>
    <x v="20"/>
    <n v="2"/>
    <x v="48"/>
    <x v="5"/>
    <x v="7"/>
    <m/>
    <x v="37"/>
    <x v="20"/>
    <n v="6133613"/>
    <m/>
    <n v="116885711"/>
    <n v="0"/>
    <x v="0"/>
    <x v="19"/>
    <x v="13"/>
    <x v="0"/>
    <n v="0"/>
    <x v="0"/>
    <x v="0"/>
    <s v="CB 160F DLX                                       ROJO SPOR"/>
    <e v="#N/A"/>
    <s v=""/>
  </r>
  <r>
    <x v="48"/>
    <d v="2017-08-01T00:00:00"/>
    <x v="0"/>
    <s v="SURO - SUR OCCIDENTE"/>
    <s v="DIST - DISTRIBUIDORES"/>
    <n v="15"/>
    <x v="20"/>
    <n v="15"/>
    <x v="48"/>
    <x v="5"/>
    <x v="8"/>
    <m/>
    <x v="37"/>
    <x v="20"/>
    <n v="6133613"/>
    <m/>
    <n v="116885711"/>
    <n v="0"/>
    <x v="0"/>
    <x v="19"/>
    <x v="0"/>
    <x v="0"/>
    <n v="0"/>
    <x v="0"/>
    <x v="0"/>
    <s v="CB 160F DLX                                       NEGRO PER"/>
    <e v="#N/A"/>
    <s v=""/>
  </r>
  <r>
    <x v="48"/>
    <d v="2017-08-01T00:00:00"/>
    <x v="0"/>
    <s v="SURO - SUR OCCIDENTE"/>
    <s v="DIST - DISTRIBUIDORES"/>
    <n v="9"/>
    <x v="20"/>
    <n v="9"/>
    <x v="48"/>
    <x v="6"/>
    <x v="0"/>
    <m/>
    <x v="37"/>
    <x v="20"/>
    <n v="3521008"/>
    <m/>
    <n v="116885711"/>
    <n v="0"/>
    <x v="0"/>
    <x v="19"/>
    <x v="7"/>
    <x v="0"/>
    <n v="0"/>
    <x v="0"/>
    <x v="0"/>
    <s v="DIO  110                                          BLANCO NE"/>
    <e v="#N/A"/>
    <s v=""/>
  </r>
  <r>
    <x v="48"/>
    <d v="2017-08-01T00:00:00"/>
    <x v="0"/>
    <s v="SURO - SUR OCCIDENTE"/>
    <s v="DIST - DISTRIBUIDORES"/>
    <n v="2"/>
    <x v="20"/>
    <n v="2"/>
    <x v="48"/>
    <x v="6"/>
    <x v="16"/>
    <m/>
    <x v="37"/>
    <x v="20"/>
    <n v="3521008"/>
    <m/>
    <n v="116885711"/>
    <n v="0"/>
    <x v="0"/>
    <x v="19"/>
    <x v="0"/>
    <x v="0"/>
    <n v="0"/>
    <x v="0"/>
    <x v="0"/>
    <s v="DIO  110                                          AZUL     "/>
    <e v="#N/A"/>
    <s v=""/>
  </r>
  <r>
    <x v="48"/>
    <d v="2017-08-01T00:00:00"/>
    <x v="0"/>
    <s v="SURO - SUR OCCIDENTE"/>
    <s v="DIST - DISTRIBUIDORES"/>
    <n v="7"/>
    <x v="20"/>
    <n v="7"/>
    <x v="48"/>
    <x v="10"/>
    <x v="15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ROJ"/>
    <e v="#N/A"/>
    <s v=""/>
  </r>
  <r>
    <x v="48"/>
    <d v="2017-08-01T00:00:00"/>
    <x v="0"/>
    <s v="SURO - SUR OCCIDENTE"/>
    <s v="DIST - DISTRIBUIDORES"/>
    <n v="10"/>
    <x v="20"/>
    <n v="10"/>
    <x v="48"/>
    <x v="10"/>
    <x v="20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AZU"/>
    <e v="#N/A"/>
    <s v=""/>
  </r>
  <r>
    <x v="48"/>
    <d v="2017-08-01T00:00:00"/>
    <x v="0"/>
    <s v="SURO - SUR OCCIDENTE"/>
    <s v="DIST - DISTRIBUIDORES"/>
    <n v="2"/>
    <x v="20"/>
    <n v="2"/>
    <x v="48"/>
    <x v="7"/>
    <x v="6"/>
    <m/>
    <x v="37"/>
    <x v="20"/>
    <n v="3941176"/>
    <m/>
    <n v="116885711"/>
    <n v="0"/>
    <x v="0"/>
    <x v="19"/>
    <x v="0"/>
    <x v="0"/>
    <n v="0"/>
    <x v="0"/>
    <x v="0"/>
    <s v="WAVE 110S                                         ROJO     "/>
    <e v="#N/A"/>
    <s v=""/>
  </r>
  <r>
    <x v="48"/>
    <d v="2017-08-01T00:00:00"/>
    <x v="0"/>
    <s v="SURO - SUR OCCIDENTE"/>
    <s v="DIST - DISTRIBUIDORES"/>
    <n v="7"/>
    <x v="20"/>
    <n v="7"/>
    <x v="48"/>
    <x v="7"/>
    <x v="1"/>
    <m/>
    <x v="37"/>
    <x v="20"/>
    <n v="3941176"/>
    <m/>
    <n v="116885711"/>
    <n v="0"/>
    <x v="0"/>
    <x v="19"/>
    <x v="0"/>
    <x v="0"/>
    <n v="0"/>
    <x v="0"/>
    <x v="0"/>
    <s v="WAVE 110S                                         NEGRO    "/>
    <e v="#N/A"/>
    <s v=""/>
  </r>
  <r>
    <x v="48"/>
    <d v="2017-08-01T00:00:00"/>
    <x v="0"/>
    <s v="SURO - SUR OCCIDENTE"/>
    <s v="DIST - DISTRIBUIDORES"/>
    <n v="5"/>
    <x v="20"/>
    <n v="5"/>
    <x v="48"/>
    <x v="8"/>
    <x v="7"/>
    <m/>
    <x v="37"/>
    <x v="20"/>
    <n v="5453782"/>
    <m/>
    <n v="116885711"/>
    <n v="0"/>
    <x v="0"/>
    <x v="19"/>
    <x v="0"/>
    <x v="0"/>
    <n v="0"/>
    <x v="0"/>
    <x v="0"/>
    <s v="CB 160F STD                                       ROJO SPOR"/>
    <e v="#N/A"/>
    <s v=""/>
  </r>
  <r>
    <x v="48"/>
    <d v="2017-08-01T00:00:00"/>
    <x v="0"/>
    <s v="SURO - SUR OCCIDENTE"/>
    <s v="DIST - DISTRIBUIDORES"/>
    <n v="13"/>
    <x v="20"/>
    <n v="13"/>
    <x v="48"/>
    <x v="8"/>
    <x v="8"/>
    <m/>
    <x v="37"/>
    <x v="20"/>
    <n v="5453782"/>
    <m/>
    <n v="116885711"/>
    <n v="0"/>
    <x v="0"/>
    <x v="19"/>
    <x v="0"/>
    <x v="0"/>
    <n v="0"/>
    <x v="0"/>
    <x v="0"/>
    <s v="CB 160F STD                                       NEGRO PER"/>
    <e v="#N/A"/>
    <s v=""/>
  </r>
  <r>
    <x v="48"/>
    <d v="2017-08-01T00:00:00"/>
    <x v="0"/>
    <s v="SURO - SUR OCCIDENTE"/>
    <s v="DIST - DISTRIBUIDORES"/>
    <n v="5"/>
    <x v="20"/>
    <n v="5"/>
    <x v="48"/>
    <x v="9"/>
    <x v="16"/>
    <m/>
    <x v="37"/>
    <x v="20"/>
    <n v="3696639"/>
    <m/>
    <n v="116885711"/>
    <n v="0"/>
    <x v="0"/>
    <x v="19"/>
    <x v="14"/>
    <x v="0"/>
    <n v="0"/>
    <x v="0"/>
    <x v="0"/>
    <s v="CB 110 DLX                                        AZUL     "/>
    <e v="#N/A"/>
    <s v=""/>
  </r>
  <r>
    <x v="48"/>
    <d v="2017-08-01T00:00:00"/>
    <x v="0"/>
    <s v="SURO - SUR OCCIDENTE"/>
    <s v="DIST - DISTRIBUIDORES"/>
    <n v="4"/>
    <x v="20"/>
    <n v="4"/>
    <x v="48"/>
    <x v="9"/>
    <x v="17"/>
    <m/>
    <x v="37"/>
    <x v="20"/>
    <n v="3696639"/>
    <m/>
    <n v="116885711"/>
    <n v="0"/>
    <x v="0"/>
    <x v="19"/>
    <x v="15"/>
    <x v="0"/>
    <n v="0"/>
    <x v="0"/>
    <x v="0"/>
    <s v="CB 110 DLX                                        GRIS     "/>
    <e v="#N/A"/>
    <s v=""/>
  </r>
  <r>
    <x v="48"/>
    <d v="2017-08-01T00:00:00"/>
    <x v="0"/>
    <s v="SURO - SUR OCCIDENTE"/>
    <s v="DIST - DISTRIBUIDORES"/>
    <n v="4"/>
    <x v="20"/>
    <n v="4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49"/>
    <d v="2017-08-01T00:00:00"/>
    <x v="0"/>
    <s v="CTR - ZONA CENTRO"/>
    <s v="DIST - DISTRIBUIDORES"/>
    <n v="2"/>
    <x v="21"/>
    <n v="2"/>
    <x v="49"/>
    <x v="2"/>
    <x v="13"/>
    <m/>
    <x v="32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49"/>
    <d v="2017-08-01T00:00:00"/>
    <x v="0"/>
    <s v="CTR - ZONA CENTRO"/>
    <s v="DIST - DISTRIBUIDORES"/>
    <n v="1"/>
    <x v="21"/>
    <n v="1"/>
    <x v="49"/>
    <x v="8"/>
    <x v="7"/>
    <m/>
    <x v="32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49"/>
    <d v="2017-08-01T00:00:00"/>
    <x v="0"/>
    <s v="CTR - ZONA CENTRO"/>
    <s v="DIST - DISTRIBUIDORES"/>
    <n v="4"/>
    <x v="21"/>
    <n v="4"/>
    <x v="49"/>
    <x v="9"/>
    <x v="1"/>
    <m/>
    <x v="32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0"/>
    <d v="2017-08-01T00:00:00"/>
    <x v="0"/>
    <s v="CTR - ZONA CENTRO"/>
    <s v="DIST - DISTRIBUIDORES"/>
    <n v="1"/>
    <x v="21"/>
    <n v="1"/>
    <x v="50"/>
    <x v="2"/>
    <x v="13"/>
    <m/>
    <x v="38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50"/>
    <d v="2017-08-01T00:00:00"/>
    <x v="0"/>
    <s v="CTR - ZONA CENTRO"/>
    <s v="DIST - DISTRIBUIDORES"/>
    <n v="1"/>
    <x v="21"/>
    <n v="1"/>
    <x v="50"/>
    <x v="9"/>
    <x v="1"/>
    <m/>
    <x v="38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51"/>
    <d v="2017-08-01T00:00:00"/>
    <x v="0"/>
    <s v="SURO - SUR OCCIDENTE"/>
    <s v="DIST - DISTRIBUIDORES"/>
    <n v="4"/>
    <x v="20"/>
    <n v="4"/>
    <x v="51"/>
    <x v="2"/>
    <x v="1"/>
    <m/>
    <x v="5"/>
    <x v="20"/>
    <n v="5789916"/>
    <m/>
    <n v="116885711"/>
    <n v="0"/>
    <x v="0"/>
    <x v="5"/>
    <x v="2"/>
    <x v="0"/>
    <n v="0"/>
    <x v="0"/>
    <x v="0"/>
    <s v="*XR 150L                                          NEGRO    "/>
    <e v="#N/A"/>
    <s v=""/>
  </r>
  <r>
    <x v="51"/>
    <d v="2017-08-01T00:00:00"/>
    <x v="0"/>
    <s v="SURO - SUR OCCIDENTE"/>
    <s v="DIST - DISTRIBUIDORES"/>
    <n v="3"/>
    <x v="20"/>
    <n v="3"/>
    <x v="51"/>
    <x v="8"/>
    <x v="7"/>
    <m/>
    <x v="5"/>
    <x v="20"/>
    <n v="5453782"/>
    <m/>
    <n v="116885711"/>
    <n v="0"/>
    <x v="0"/>
    <x v="5"/>
    <x v="0"/>
    <x v="0"/>
    <n v="0"/>
    <x v="0"/>
    <x v="0"/>
    <s v="CB 160F STD                                       ROJO SPOR"/>
    <e v="#N/A"/>
    <s v=""/>
  </r>
  <r>
    <x v="51"/>
    <d v="2017-08-01T00:00:00"/>
    <x v="0"/>
    <s v="SURO - SUR OCCIDENTE"/>
    <s v="DIST - DISTRIBUIDORES"/>
    <n v="3"/>
    <x v="20"/>
    <n v="3"/>
    <x v="51"/>
    <x v="8"/>
    <x v="8"/>
    <m/>
    <x v="5"/>
    <x v="20"/>
    <n v="5453782"/>
    <m/>
    <n v="116885711"/>
    <n v="0"/>
    <x v="0"/>
    <x v="5"/>
    <x v="0"/>
    <x v="0"/>
    <n v="0"/>
    <x v="0"/>
    <x v="0"/>
    <s v="CB 160F STD                                       NEGRO PER"/>
    <e v="#N/A"/>
    <s v=""/>
  </r>
  <r>
    <x v="51"/>
    <d v="2017-08-01T00:00:00"/>
    <x v="0"/>
    <s v="SURO - SUR OCCIDENTE"/>
    <s v="DIST - DISTRIBUIDORES"/>
    <n v="2"/>
    <x v="20"/>
    <n v="2"/>
    <x v="51"/>
    <x v="9"/>
    <x v="16"/>
    <m/>
    <x v="5"/>
    <x v="20"/>
    <n v="3696639"/>
    <m/>
    <n v="116885711"/>
    <n v="0"/>
    <x v="0"/>
    <x v="5"/>
    <x v="14"/>
    <x v="0"/>
    <n v="0"/>
    <x v="0"/>
    <x v="0"/>
    <s v="CB 110 DLX                                        AZUL     "/>
    <e v="#N/A"/>
    <s v=""/>
  </r>
  <r>
    <x v="51"/>
    <d v="2017-08-01T00:00:00"/>
    <x v="0"/>
    <s v="SURO - SUR OCCIDENTE"/>
    <s v="DIST - DISTRIBUIDORES"/>
    <n v="3"/>
    <x v="20"/>
    <n v="3"/>
    <x v="51"/>
    <x v="9"/>
    <x v="17"/>
    <m/>
    <x v="5"/>
    <x v="20"/>
    <n v="3696639"/>
    <m/>
    <n v="116885711"/>
    <n v="0"/>
    <x v="0"/>
    <x v="5"/>
    <x v="15"/>
    <x v="0"/>
    <n v="0"/>
    <x v="0"/>
    <x v="0"/>
    <s v="CB 110 DLX                                        GRIS     "/>
    <e v="#N/A"/>
    <s v=""/>
  </r>
  <r>
    <x v="51"/>
    <d v="2017-08-01T00:00:00"/>
    <x v="0"/>
    <s v="SURO - SUR OCCIDENTE"/>
    <s v="DIST - DISTRIBUIDORES"/>
    <n v="10"/>
    <x v="20"/>
    <n v="10"/>
    <x v="51"/>
    <x v="9"/>
    <x v="1"/>
    <m/>
    <x v="5"/>
    <x v="20"/>
    <n v="3696639"/>
    <m/>
    <n v="116885711"/>
    <n v="0"/>
    <x v="0"/>
    <x v="5"/>
    <x v="2"/>
    <x v="0"/>
    <n v="0"/>
    <x v="0"/>
    <x v="0"/>
    <s v="CB 110 DLX                                        NEGRO    "/>
    <e v="#N/A"/>
    <s v=""/>
  </r>
  <r>
    <x v="52"/>
    <d v="2017-08-01T00:00:00"/>
    <x v="1"/>
    <s v="NTE - ZONA NORTE"/>
    <s v="DIST - DISTRIBUIDORES"/>
    <n v="3"/>
    <x v="22"/>
    <n v="3"/>
    <x v="52"/>
    <x v="2"/>
    <x v="15"/>
    <m/>
    <x v="39"/>
    <x v="22"/>
    <n v="5789916"/>
    <m/>
    <n v="0"/>
    <n v="106064657"/>
    <x v="0"/>
    <x v="20"/>
    <x v="11"/>
    <x v="0"/>
    <n v="0"/>
    <x v="0"/>
    <x v="0"/>
    <s v="*XR 150L  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2"/>
    <x v="13"/>
    <m/>
    <x v="39"/>
    <x v="22"/>
    <n v="5789916"/>
    <m/>
    <n v="0"/>
    <n v="106064657"/>
    <x v="0"/>
    <x v="20"/>
    <x v="8"/>
    <x v="0"/>
    <n v="0"/>
    <x v="0"/>
    <x v="0"/>
    <s v="*XR 150L                                          NEGRO BLA"/>
    <e v="#N/A"/>
    <s v=""/>
  </r>
  <r>
    <x v="52"/>
    <d v="2017-08-01T00:00:00"/>
    <x v="1"/>
    <s v="NTE - ZONA NORTE"/>
    <s v="DIST - DISTRIBUIDORES"/>
    <n v="3"/>
    <x v="22"/>
    <n v="3"/>
    <x v="52"/>
    <x v="2"/>
    <x v="1"/>
    <m/>
    <x v="39"/>
    <x v="22"/>
    <n v="5789916"/>
    <m/>
    <n v="0"/>
    <n v="106064657"/>
    <x v="0"/>
    <x v="20"/>
    <x v="2"/>
    <x v="0"/>
    <n v="0"/>
    <x v="0"/>
    <x v="0"/>
    <s v="*XR 150L                                          NEGRO    "/>
    <e v="#N/A"/>
    <s v=""/>
  </r>
  <r>
    <x v="52"/>
    <d v="2017-08-01T00:00:00"/>
    <x v="1"/>
    <s v="NTE - ZONA NORTE"/>
    <s v="DIST - DISTRIBUIDORES"/>
    <n v="1"/>
    <x v="22"/>
    <n v="1"/>
    <x v="52"/>
    <x v="11"/>
    <x v="13"/>
    <m/>
    <x v="39"/>
    <x v="22"/>
    <n v="3521008"/>
    <m/>
    <n v="0"/>
    <n v="106064657"/>
    <x v="0"/>
    <x v="20"/>
    <x v="12"/>
    <x v="0"/>
    <n v="0"/>
    <x v="0"/>
    <x v="0"/>
    <s v="DIO 110                                           NEGRO BLA"/>
    <e v="#N/A"/>
    <s v=""/>
  </r>
  <r>
    <x v="52"/>
    <d v="2017-08-01T00:00:00"/>
    <x v="1"/>
    <s v="NTE - ZONA NORTE"/>
    <s v="DIST - DISTRIBUIDORES"/>
    <n v="1"/>
    <x v="22"/>
    <n v="1"/>
    <x v="52"/>
    <x v="10"/>
    <x v="15"/>
    <m/>
    <x v="39"/>
    <x v="22"/>
    <n v="3067227"/>
    <m/>
    <n v="0"/>
    <n v="106064657"/>
    <x v="0"/>
    <x v="20"/>
    <x v="0"/>
    <x v="0"/>
    <n v="0"/>
    <x v="0"/>
    <x v="0"/>
    <s v="DREAM  NEO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9"/>
    <x v="6"/>
    <m/>
    <x v="39"/>
    <x v="22"/>
    <n v="3696639"/>
    <m/>
    <n v="0"/>
    <n v="106064657"/>
    <x v="0"/>
    <x v="20"/>
    <x v="14"/>
    <x v="0"/>
    <n v="0"/>
    <x v="0"/>
    <x v="0"/>
    <s v="CB 110 DLX                                        ROJO     "/>
    <e v="#N/A"/>
    <s v=""/>
  </r>
  <r>
    <x v="53"/>
    <d v="2017-08-01T00:00:00"/>
    <x v="0"/>
    <s v="NTE - ZONA NORTE"/>
    <s v="DIST - DISTRIBUIDORES"/>
    <n v="1"/>
    <x v="23"/>
    <n v="1"/>
    <x v="53"/>
    <x v="0"/>
    <x v="10"/>
    <m/>
    <x v="40"/>
    <x v="23"/>
    <n v="11496063"/>
    <m/>
    <n v="106814021"/>
    <n v="0"/>
    <x v="0"/>
    <x v="21"/>
    <x v="6"/>
    <x v="0"/>
    <n v="0"/>
    <x v="0"/>
    <x v="0"/>
    <s v="*XR-250 TORNADO pt MD34                           ROJO BLAN"/>
    <e v="#N/A"/>
    <s v=""/>
  </r>
  <r>
    <x v="53"/>
    <d v="2017-08-01T00:00:00"/>
    <x v="0"/>
    <s v="NTE - ZONA NORTE"/>
    <s v="DIST - DISTRIBUIDORES"/>
    <n v="10"/>
    <x v="23"/>
    <n v="10"/>
    <x v="53"/>
    <x v="2"/>
    <x v="15"/>
    <m/>
    <x v="40"/>
    <x v="23"/>
    <n v="5789916"/>
    <m/>
    <n v="106814021"/>
    <n v="0"/>
    <x v="0"/>
    <x v="21"/>
    <x v="11"/>
    <x v="0"/>
    <n v="0"/>
    <x v="0"/>
    <x v="0"/>
    <s v="*XR 150L                                          NEGRO ROJ"/>
    <e v="#N/A"/>
    <s v=""/>
  </r>
  <r>
    <x v="53"/>
    <d v="2017-08-01T00:00:00"/>
    <x v="0"/>
    <s v="NTE - ZONA NORTE"/>
    <s v="DIST - DISTRIBUIDORES"/>
    <n v="1"/>
    <x v="23"/>
    <n v="1"/>
    <x v="53"/>
    <x v="2"/>
    <x v="13"/>
    <m/>
    <x v="40"/>
    <x v="23"/>
    <n v="5789916"/>
    <m/>
    <n v="106814021"/>
    <n v="0"/>
    <x v="0"/>
    <x v="21"/>
    <x v="8"/>
    <x v="0"/>
    <n v="0"/>
    <x v="0"/>
    <x v="0"/>
    <s v="*XR 150L                                          NEGRO BLA"/>
    <e v="#N/A"/>
    <s v=""/>
  </r>
  <r>
    <x v="53"/>
    <d v="2017-08-01T00:00:00"/>
    <x v="0"/>
    <s v="NTE - ZONA NORTE"/>
    <s v="DIST - DISTRIBUIDORES"/>
    <n v="2"/>
    <x v="23"/>
    <n v="2"/>
    <x v="53"/>
    <x v="9"/>
    <x v="1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AZUL     "/>
    <e v="#N/A"/>
    <s v=""/>
  </r>
  <r>
    <x v="53"/>
    <d v="2017-08-01T00:00:00"/>
    <x v="0"/>
    <s v="NTE - ZONA NORTE"/>
    <s v="DIST - DISTRIBUIDORES"/>
    <n v="2"/>
    <x v="23"/>
    <n v="2"/>
    <x v="53"/>
    <x v="9"/>
    <x v="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6"/>
    <x v="21"/>
    <n v="6"/>
    <x v="54"/>
    <x v="1"/>
    <x v="18"/>
    <m/>
    <x v="15"/>
    <x v="21"/>
    <n v="3360504"/>
    <m/>
    <n v="264217093"/>
    <n v="852000000"/>
    <x v="0"/>
    <x v="11"/>
    <x v="15"/>
    <x v="0"/>
    <n v="0"/>
    <x v="0"/>
    <x v="0"/>
    <s v="*CB-110                                           GRIS MET "/>
    <e v="#N/A"/>
    <s v=""/>
  </r>
  <r>
    <x v="54"/>
    <d v="2017-08-01T00:00:00"/>
    <x v="0"/>
    <s v="CTR - ZONA CENTRO"/>
    <s v="DIST - DISTRIBUIDORES"/>
    <n v="5"/>
    <x v="21"/>
    <n v="5"/>
    <x v="54"/>
    <x v="1"/>
    <x v="7"/>
    <m/>
    <x v="15"/>
    <x v="21"/>
    <n v="3360504"/>
    <m/>
    <n v="264217093"/>
    <n v="852000000"/>
    <x v="0"/>
    <x v="11"/>
    <x v="9"/>
    <x v="0"/>
    <n v="0"/>
    <x v="0"/>
    <x v="0"/>
    <s v="*CB-110                                           ROJO SPOR"/>
    <e v="#N/A"/>
    <s v=""/>
  </r>
  <r>
    <x v="54"/>
    <d v="2017-08-01T00:00:00"/>
    <x v="0"/>
    <s v="CTR - ZONA CENTRO"/>
    <s v="DIST - DISTRIBUIDORES"/>
    <n v="5"/>
    <x v="21"/>
    <n v="5"/>
    <x v="54"/>
    <x v="1"/>
    <x v="1"/>
    <m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54"/>
    <d v="2017-08-01T00:00:00"/>
    <x v="0"/>
    <s v="CTR - ZONA CENTRO"/>
    <s v="DIST - DISTRIBUIDORES"/>
    <n v="2"/>
    <x v="21"/>
    <n v="2"/>
    <x v="54"/>
    <x v="1"/>
    <x v="23"/>
    <m/>
    <x v="15"/>
    <x v="21"/>
    <n v="3360504"/>
    <m/>
    <n v="264217093"/>
    <n v="852000000"/>
    <x v="0"/>
    <x v="11"/>
    <x v="0"/>
    <x v="0"/>
    <n v="0"/>
    <x v="0"/>
    <x v="0"/>
    <s v="*CB-110                                           VERDE CAN"/>
    <e v="#N/A"/>
    <s v=""/>
  </r>
  <r>
    <x v="54"/>
    <d v="2017-08-01T00:00:00"/>
    <x v="0"/>
    <s v="CTR - ZONA CENTRO"/>
    <s v="DIST - DISTRIBUIDORES"/>
    <n v="2"/>
    <x v="21"/>
    <n v="2"/>
    <x v="54"/>
    <x v="1"/>
    <x v="14"/>
    <m/>
    <x v="15"/>
    <x v="21"/>
    <n v="3360504"/>
    <m/>
    <n v="264217093"/>
    <n v="852000000"/>
    <x v="0"/>
    <x v="11"/>
    <x v="10"/>
    <x v="0"/>
    <n v="0"/>
    <x v="0"/>
    <x v="0"/>
    <s v="*CB-110                                           AZUL FIJI"/>
    <e v="#N/A"/>
    <s v=""/>
  </r>
  <r>
    <x v="54"/>
    <d v="2017-08-01T00:00:00"/>
    <x v="0"/>
    <s v="CTR - ZONA CENTRO"/>
    <s v="DIST - DISTRIBUIDORES"/>
    <n v="3"/>
    <x v="21"/>
    <n v="3"/>
    <x v="54"/>
    <x v="2"/>
    <x v="13"/>
    <m/>
    <x v="15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4"/>
    <d v="2017-08-01T00:00:00"/>
    <x v="0"/>
    <s v="CTR - ZONA CENTRO"/>
    <s v="DIST - DISTRIBUIDORES"/>
    <n v="1"/>
    <x v="21"/>
    <n v="1"/>
    <x v="54"/>
    <x v="5"/>
    <x v="7"/>
    <m/>
    <x v="15"/>
    <x v="21"/>
    <n v="6133613"/>
    <m/>
    <n v="264217093"/>
    <n v="852000000"/>
    <x v="0"/>
    <x v="11"/>
    <x v="13"/>
    <x v="0"/>
    <n v="0"/>
    <x v="0"/>
    <x v="0"/>
    <s v="CB 160F DLX                                       ROJO SPOR"/>
    <e v="#N/A"/>
    <s v=""/>
  </r>
  <r>
    <x v="54"/>
    <d v="2017-08-01T00:00:00"/>
    <x v="0"/>
    <s v="CTR - ZONA CENTRO"/>
    <s v="DIST - DISTRIBUIDORES"/>
    <n v="1"/>
    <x v="21"/>
    <n v="1"/>
    <x v="54"/>
    <x v="5"/>
    <x v="8"/>
    <m/>
    <x v="15"/>
    <x v="21"/>
    <n v="6133613"/>
    <m/>
    <n v="264217093"/>
    <n v="852000000"/>
    <x v="0"/>
    <x v="11"/>
    <x v="0"/>
    <x v="0"/>
    <n v="0"/>
    <x v="0"/>
    <x v="0"/>
    <s v="CB 160F DLX                                       NEGRO PER"/>
    <e v="#N/A"/>
    <s v=""/>
  </r>
  <r>
    <x v="54"/>
    <d v="2017-08-01T00:00:00"/>
    <x v="0"/>
    <s v="CTR - ZONA CENTRO"/>
    <s v="DIST - DISTRIBUIDORES"/>
    <n v="2"/>
    <x v="21"/>
    <n v="2"/>
    <x v="54"/>
    <x v="8"/>
    <x v="7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54"/>
    <d v="2017-08-01T00:00:00"/>
    <x v="0"/>
    <s v="CTR - ZONA CENTRO"/>
    <s v="DIST - DISTRIBUIDORES"/>
    <n v="2"/>
    <x v="21"/>
    <n v="2"/>
    <x v="54"/>
    <x v="8"/>
    <x v="8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4"/>
    <d v="2017-08-01T00:00:00"/>
    <x v="0"/>
    <s v="CTR - ZONA CENTRO"/>
    <s v="DIST - DISTRIBUIDORES"/>
    <n v="8"/>
    <x v="21"/>
    <n v="8"/>
    <x v="54"/>
    <x v="9"/>
    <x v="17"/>
    <m/>
    <x v="15"/>
    <x v="21"/>
    <n v="3696639"/>
    <m/>
    <n v="264217093"/>
    <n v="852000000"/>
    <x v="0"/>
    <x v="11"/>
    <x v="15"/>
    <x v="0"/>
    <n v="0"/>
    <x v="0"/>
    <x v="0"/>
    <s v="CB 110 DLX                                        GRIS     "/>
    <e v="#N/A"/>
    <s v=""/>
  </r>
  <r>
    <x v="54"/>
    <d v="2017-08-01T00:00:00"/>
    <x v="0"/>
    <s v="CTR - ZONA CENTRO"/>
    <s v="DIST - DISTRIBUIDORES"/>
    <n v="12"/>
    <x v="21"/>
    <n v="12"/>
    <x v="54"/>
    <x v="9"/>
    <x v="1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4"/>
    <d v="2017-08-01T00:00:00"/>
    <x v="0"/>
    <s v="CTR - ZONA CENTRO"/>
    <s v="DIST - DISTRIBUIDORES"/>
    <n v="5"/>
    <x v="21"/>
    <n v="5"/>
    <x v="54"/>
    <x v="9"/>
    <x v="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20"/>
    <x v="21"/>
    <n v="20"/>
    <x v="54"/>
    <x v="9"/>
    <x v="1"/>
    <m/>
    <x v="15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1"/>
    <x v="1"/>
    <m/>
    <x v="41"/>
    <x v="24"/>
    <n v="3360504"/>
    <m/>
    <n v="1252965"/>
    <n v="0"/>
    <x v="1"/>
    <x v="14"/>
    <x v="1"/>
    <x v="0"/>
    <n v="0"/>
    <x v="0"/>
    <x v="0"/>
    <s v="*CB-110 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2"/>
    <x v="13"/>
    <m/>
    <x v="41"/>
    <x v="24"/>
    <n v="5789916"/>
    <m/>
    <n v="1252965"/>
    <n v="0"/>
    <x v="1"/>
    <x v="14"/>
    <x v="8"/>
    <x v="0"/>
    <n v="0"/>
    <x v="0"/>
    <x v="0"/>
    <s v="*XR 150L                                          NEGRO BLA"/>
    <e v="#N/A"/>
    <s v=""/>
  </r>
  <r>
    <x v="55"/>
    <d v="2017-08-01T00:00:00"/>
    <x v="0"/>
    <s v="NTE - ZONA NORTE"/>
    <s v="DIST - DISTRIBUIDORES"/>
    <n v="2"/>
    <x v="24"/>
    <n v="2"/>
    <x v="55"/>
    <x v="2"/>
    <x v="1"/>
    <m/>
    <x v="41"/>
    <x v="24"/>
    <n v="5789916"/>
    <m/>
    <n v="1252965"/>
    <n v="0"/>
    <x v="1"/>
    <x v="14"/>
    <x v="2"/>
    <x v="0"/>
    <n v="0"/>
    <x v="0"/>
    <x v="0"/>
    <s v="*XR 150L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3"/>
    <x v="3"/>
    <m/>
    <x v="41"/>
    <x v="24"/>
    <n v="7554622"/>
    <m/>
    <n v="1252965"/>
    <n v="0"/>
    <x v="1"/>
    <x v="14"/>
    <x v="0"/>
    <x v="0"/>
    <n v="0"/>
    <x v="0"/>
    <x v="0"/>
    <s v="CB 190R                                           NEGRO ONI"/>
    <e v="#N/A"/>
    <s v=""/>
  </r>
  <r>
    <x v="56"/>
    <d v="2017-08-01T00:00:00"/>
    <x v="0"/>
    <s v="NTE - ZONA NORTE"/>
    <s v="DIST - DISTRIBUIDORES"/>
    <n v="1"/>
    <x v="25"/>
    <n v="1"/>
    <x v="56"/>
    <x v="2"/>
    <x v="15"/>
    <m/>
    <x v="42"/>
    <x v="25"/>
    <n v="5789916"/>
    <m/>
    <n v="20000000"/>
    <n v="48000000"/>
    <x v="0"/>
    <x v="22"/>
    <x v="11"/>
    <x v="0"/>
    <n v="0"/>
    <x v="0"/>
    <x v="0"/>
    <s v="*XR 150L                                          NEGRO ROJ"/>
    <e v="#N/A"/>
    <s v=""/>
  </r>
  <r>
    <x v="56"/>
    <d v="2017-08-01T00:00:00"/>
    <x v="0"/>
    <s v="NTE - ZONA NORTE"/>
    <s v="DIST - DISTRIBUIDORES"/>
    <n v="2"/>
    <x v="25"/>
    <n v="2"/>
    <x v="56"/>
    <x v="2"/>
    <x v="13"/>
    <m/>
    <x v="42"/>
    <x v="25"/>
    <n v="5789916"/>
    <m/>
    <n v="20000000"/>
    <n v="48000000"/>
    <x v="0"/>
    <x v="22"/>
    <x v="8"/>
    <x v="0"/>
    <n v="0"/>
    <x v="0"/>
    <x v="0"/>
    <s v="*XR 150L                                          NEGRO BLA"/>
    <e v="#N/A"/>
    <s v=""/>
  </r>
  <r>
    <x v="56"/>
    <d v="2017-08-01T00:00:00"/>
    <x v="0"/>
    <s v="NTE - ZONA NORTE"/>
    <s v="DIST - DISTRIBUIDORES"/>
    <n v="1"/>
    <x v="25"/>
    <n v="1"/>
    <x v="56"/>
    <x v="6"/>
    <x v="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ROJO     "/>
    <e v="#N/A"/>
    <s v=""/>
  </r>
  <r>
    <x v="56"/>
    <d v="2017-08-01T00:00:00"/>
    <x v="0"/>
    <s v="NTE - ZONA NORTE"/>
    <s v="DIST - DISTRIBUIDORES"/>
    <n v="1"/>
    <x v="25"/>
    <n v="1"/>
    <x v="56"/>
    <x v="6"/>
    <x v="1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AZUL     "/>
    <e v="#N/A"/>
    <s v=""/>
  </r>
  <r>
    <x v="56"/>
    <d v="2017-08-01T00:00:00"/>
    <x v="0"/>
    <s v="NTE - ZONA NORTE"/>
    <s v="DIST - DISTRIBUIDORES"/>
    <n v="1"/>
    <x v="25"/>
    <n v="1"/>
    <x v="56"/>
    <x v="10"/>
    <x v="20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NEGRO AZU"/>
    <e v="#N/A"/>
    <s v=""/>
  </r>
  <r>
    <x v="56"/>
    <d v="2017-08-01T00:00:00"/>
    <x v="0"/>
    <s v="NTE - ZONA NORTE"/>
    <s v="DIST - DISTRIBUIDORES"/>
    <n v="1"/>
    <x v="25"/>
    <n v="1"/>
    <x v="56"/>
    <x v="10"/>
    <x v="12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ROJO ALFA"/>
    <e v="#N/A"/>
    <s v=""/>
  </r>
  <r>
    <x v="57"/>
    <d v="2017-08-01T00:00:00"/>
    <x v="0"/>
    <s v="NTE - ZONA NORTE"/>
    <s v="DIST - DISTRIBUIDORES"/>
    <n v="1"/>
    <x v="26"/>
    <n v="1"/>
    <x v="57"/>
    <x v="1"/>
    <x v="1"/>
    <m/>
    <x v="43"/>
    <x v="26"/>
    <n v="3360504"/>
    <m/>
    <n v="31262"/>
    <n v="0"/>
    <x v="1"/>
    <x v="22"/>
    <x v="1"/>
    <x v="0"/>
    <n v="0"/>
    <x v="0"/>
    <x v="0"/>
    <s v="*CB-110                                           NEGRO    "/>
    <e v="#N/A"/>
    <s v=""/>
  </r>
  <r>
    <x v="57"/>
    <d v="2017-08-01T00:00:00"/>
    <x v="0"/>
    <s v="NTE - ZONA NORTE"/>
    <s v="DIST - DISTRIBUIDORES"/>
    <n v="2"/>
    <x v="26"/>
    <n v="2"/>
    <x v="57"/>
    <x v="2"/>
    <x v="15"/>
    <m/>
    <x v="43"/>
    <x v="26"/>
    <n v="5789916"/>
    <m/>
    <n v="31262"/>
    <n v="0"/>
    <x v="1"/>
    <x v="22"/>
    <x v="11"/>
    <x v="0"/>
    <n v="0"/>
    <x v="0"/>
    <x v="0"/>
    <s v="*XR 150L                                          NEGRO ROJ"/>
    <e v="#N/A"/>
    <s v=""/>
  </r>
  <r>
    <x v="57"/>
    <d v="2017-08-01T00:00:00"/>
    <x v="0"/>
    <s v="NTE - ZONA NORTE"/>
    <s v="DIST - DISTRIBUIDORES"/>
    <n v="1"/>
    <x v="26"/>
    <n v="1"/>
    <x v="57"/>
    <x v="2"/>
    <x v="13"/>
    <m/>
    <x v="43"/>
    <x v="26"/>
    <n v="5789916"/>
    <m/>
    <n v="31262"/>
    <n v="0"/>
    <x v="1"/>
    <x v="22"/>
    <x v="8"/>
    <x v="0"/>
    <n v="0"/>
    <x v="0"/>
    <x v="0"/>
    <s v="*XR 150L                                          NEGRO BLA"/>
    <e v="#N/A"/>
    <s v=""/>
  </r>
  <r>
    <x v="57"/>
    <d v="2017-08-01T00:00:00"/>
    <x v="0"/>
    <s v="NTE - ZONA NORTE"/>
    <s v="DIST - DISTRIBUIDORES"/>
    <n v="1"/>
    <x v="26"/>
    <n v="1"/>
    <x v="57"/>
    <x v="6"/>
    <x v="6"/>
    <m/>
    <x v="43"/>
    <x v="26"/>
    <n v="3521008"/>
    <m/>
    <n v="31262"/>
    <n v="0"/>
    <x v="1"/>
    <x v="22"/>
    <x v="0"/>
    <x v="0"/>
    <n v="0"/>
    <x v="0"/>
    <x v="0"/>
    <s v="DIO  110                                          ROJO     "/>
    <e v="#N/A"/>
    <s v=""/>
  </r>
  <r>
    <x v="57"/>
    <d v="2017-08-01T00:00:00"/>
    <x v="0"/>
    <s v="NTE - ZONA NORTE"/>
    <s v="DIST - DISTRIBUIDORES"/>
    <n v="1"/>
    <x v="26"/>
    <n v="1"/>
    <x v="57"/>
    <x v="6"/>
    <x v="16"/>
    <m/>
    <x v="43"/>
    <x v="26"/>
    <n v="3521008"/>
    <m/>
    <n v="31262"/>
    <n v="0"/>
    <x v="1"/>
    <x v="22"/>
    <x v="0"/>
    <x v="0"/>
    <n v="0"/>
    <x v="0"/>
    <x v="0"/>
    <s v="DIO  110                                          AZUL     "/>
    <e v="#N/A"/>
    <s v=""/>
  </r>
  <r>
    <x v="58"/>
    <d v="2017-08-01T00:00:00"/>
    <x v="0"/>
    <s v="CTR - ZONA CENTRO"/>
    <s v="DIST - DISTRIBUIDORES"/>
    <n v="3"/>
    <x v="21"/>
    <n v="3"/>
    <x v="58"/>
    <x v="2"/>
    <x v="13"/>
    <m/>
    <x v="36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8"/>
    <d v="2017-08-01T00:00:00"/>
    <x v="0"/>
    <s v="CTR - ZONA CENTRO"/>
    <s v="DIST - DISTRIBUIDORES"/>
    <n v="1"/>
    <x v="21"/>
    <n v="1"/>
    <x v="58"/>
    <x v="8"/>
    <x v="8"/>
    <m/>
    <x v="36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8"/>
    <d v="2017-08-01T00:00:00"/>
    <x v="0"/>
    <s v="CTR - ZONA CENTRO"/>
    <s v="DIST - DISTRIBUIDORES"/>
    <n v="4"/>
    <x v="21"/>
    <n v="4"/>
    <x v="58"/>
    <x v="9"/>
    <x v="16"/>
    <m/>
    <x v="36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8"/>
    <d v="2017-08-01T00:00:00"/>
    <x v="0"/>
    <s v="CTR - ZONA CENTRO"/>
    <s v="DIST - DISTRIBUIDORES"/>
    <n v="4"/>
    <x v="21"/>
    <n v="4"/>
    <x v="58"/>
    <x v="9"/>
    <x v="1"/>
    <m/>
    <x v="36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"/>
    <m/>
    <x v="44"/>
    <x v="27"/>
    <n v="3360504"/>
    <m/>
    <n v="27383871"/>
    <n v="0"/>
    <x v="0"/>
    <x v="14"/>
    <x v="1"/>
    <x v="0"/>
    <n v="0"/>
    <x v="0"/>
    <x v="0"/>
    <s v="*CB-110  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4"/>
    <m/>
    <x v="44"/>
    <x v="27"/>
    <n v="3360504"/>
    <m/>
    <n v="27383871"/>
    <n v="0"/>
    <x v="0"/>
    <x v="14"/>
    <x v="10"/>
    <x v="0"/>
    <n v="0"/>
    <x v="0"/>
    <x v="0"/>
    <s v="*CB-110                                           AZUL FIJI"/>
    <e v="#N/A"/>
    <s v=""/>
  </r>
  <r>
    <x v="59"/>
    <d v="2017-08-01T00:00:00"/>
    <x v="1"/>
    <s v="NTE - ZONA NORTE"/>
    <s v="DIST - DISTRIBUIDORES"/>
    <n v="2"/>
    <x v="27"/>
    <n v="2"/>
    <x v="59"/>
    <x v="2"/>
    <x v="15"/>
    <m/>
    <x v="44"/>
    <x v="27"/>
    <n v="5789916"/>
    <m/>
    <n v="27383871"/>
    <n v="0"/>
    <x v="0"/>
    <x v="14"/>
    <x v="11"/>
    <x v="0"/>
    <n v="0"/>
    <x v="0"/>
    <x v="0"/>
    <s v="*XR 150L  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2"/>
    <x v="13"/>
    <m/>
    <x v="44"/>
    <x v="27"/>
    <n v="5789916"/>
    <m/>
    <n v="27383871"/>
    <n v="0"/>
    <x v="0"/>
    <x v="14"/>
    <x v="8"/>
    <x v="0"/>
    <n v="0"/>
    <x v="0"/>
    <x v="0"/>
    <s v="*XR 150L                                          NEGRO BLA"/>
    <e v="#N/A"/>
    <s v=""/>
  </r>
  <r>
    <x v="59"/>
    <d v="2017-08-01T00:00:00"/>
    <x v="1"/>
    <s v="NTE - ZONA NORTE"/>
    <s v="DIST - DISTRIBUIDORES"/>
    <n v="2"/>
    <x v="27"/>
    <n v="2"/>
    <x v="59"/>
    <x v="2"/>
    <x v="1"/>
    <m/>
    <x v="44"/>
    <x v="27"/>
    <n v="5789916"/>
    <m/>
    <n v="27383871"/>
    <n v="0"/>
    <x v="0"/>
    <x v="14"/>
    <x v="2"/>
    <x v="0"/>
    <n v="0"/>
    <x v="0"/>
    <x v="0"/>
    <s v="*XR 150L                                          NEGRO    "/>
    <e v="#N/A"/>
    <s v=""/>
  </r>
  <r>
    <x v="59"/>
    <d v="2017-08-01T00:00:00"/>
    <x v="1"/>
    <s v="NTE - ZONA NORTE"/>
    <s v="DIST - DISTRIBUIDORES"/>
    <n v="2"/>
    <x v="27"/>
    <n v="2"/>
    <x v="59"/>
    <x v="10"/>
    <x v="15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10"/>
    <x v="20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AZU"/>
    <e v="#N/A"/>
    <s v=""/>
  </r>
  <r>
    <x v="59"/>
    <d v="2017-08-01T00:00:00"/>
    <x v="1"/>
    <s v="NTE - ZONA NORTE"/>
    <s v="DIST - DISTRIBUIDORES"/>
    <n v="1"/>
    <x v="27"/>
    <n v="1"/>
    <x v="59"/>
    <x v="10"/>
    <x v="12"/>
    <m/>
    <x v="44"/>
    <x v="27"/>
    <n v="3067227"/>
    <m/>
    <n v="27383871"/>
    <n v="0"/>
    <x v="0"/>
    <x v="14"/>
    <x v="0"/>
    <x v="0"/>
    <n v="0"/>
    <x v="0"/>
    <x v="0"/>
    <s v="DREAM  NEO                                        ROJO ALFA"/>
    <e v="#N/A"/>
    <s v=""/>
  </r>
  <r>
    <x v="59"/>
    <d v="2017-08-01T00:00:00"/>
    <x v="1"/>
    <s v="NTE - ZONA NORTE"/>
    <s v="DIST - DISTRIBUIDORES"/>
    <n v="1"/>
    <x v="27"/>
    <n v="1"/>
    <x v="59"/>
    <x v="7"/>
    <x v="6"/>
    <m/>
    <x v="44"/>
    <x v="27"/>
    <n v="3941176"/>
    <m/>
    <n v="27383871"/>
    <n v="0"/>
    <x v="0"/>
    <x v="14"/>
    <x v="0"/>
    <x v="0"/>
    <n v="0"/>
    <x v="0"/>
    <x v="0"/>
    <s v="WAVE 110S                                         ROJO     "/>
    <e v="#N/A"/>
    <s v=""/>
  </r>
  <r>
    <x v="59"/>
    <d v="2017-08-01T00:00:00"/>
    <x v="1"/>
    <s v="NTE - ZONA NORTE"/>
    <s v="DIST - DISTRIBUIDORES"/>
    <n v="1"/>
    <x v="27"/>
    <n v="1"/>
    <x v="59"/>
    <x v="7"/>
    <x v="1"/>
    <m/>
    <x v="44"/>
    <x v="27"/>
    <n v="3941176"/>
    <m/>
    <n v="27383871"/>
    <n v="0"/>
    <x v="0"/>
    <x v="14"/>
    <x v="0"/>
    <x v="0"/>
    <n v="0"/>
    <x v="0"/>
    <x v="0"/>
    <s v="WAVE 110S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9"/>
    <x v="16"/>
    <m/>
    <x v="44"/>
    <x v="27"/>
    <n v="3696639"/>
    <m/>
    <n v="27383871"/>
    <n v="0"/>
    <x v="0"/>
    <x v="14"/>
    <x v="14"/>
    <x v="0"/>
    <n v="0"/>
    <x v="0"/>
    <x v="0"/>
    <s v="CB 110 DLX                                        AZUL     "/>
    <e v="#N/A"/>
    <s v=""/>
  </r>
  <r>
    <x v="59"/>
    <d v="2017-08-01T00:00:00"/>
    <x v="1"/>
    <s v="NTE - ZONA NORTE"/>
    <s v="DIST - DISTRIBUIDORES"/>
    <n v="1"/>
    <x v="27"/>
    <n v="1"/>
    <x v="59"/>
    <x v="9"/>
    <x v="1"/>
    <m/>
    <x v="44"/>
    <x v="27"/>
    <n v="3696639"/>
    <m/>
    <n v="27383871"/>
    <n v="0"/>
    <x v="0"/>
    <x v="14"/>
    <x v="2"/>
    <x v="0"/>
    <n v="0"/>
    <x v="0"/>
    <x v="0"/>
    <s v="CB 110 DLX                                        NEGRO    "/>
    <e v="#N/A"/>
    <s v=""/>
  </r>
  <r>
    <x v="60"/>
    <d v="2017-08-01T00:00:00"/>
    <x v="1"/>
    <s v="CTR - ZONA CENTRO"/>
    <s v="DIST - DISTRIBUIDORES"/>
    <n v="3"/>
    <x v="21"/>
    <n v="3"/>
    <x v="60"/>
    <x v="2"/>
    <x v="13"/>
    <m/>
    <x v="18"/>
    <x v="21"/>
    <n v="5789916"/>
    <m/>
    <n v="264217093"/>
    <n v="852000000"/>
    <x v="0"/>
    <x v="12"/>
    <x v="8"/>
    <x v="0"/>
    <n v="0"/>
    <x v="0"/>
    <x v="0"/>
    <s v="*XR 150L                                          NEGRO BLA"/>
    <e v="#N/A"/>
    <s v=""/>
  </r>
  <r>
    <x v="60"/>
    <d v="2017-08-01T00:00:00"/>
    <x v="1"/>
    <s v="CTR - ZONA CENTRO"/>
    <s v="DIST - DISTRIBUIDORES"/>
    <n v="1"/>
    <x v="21"/>
    <n v="1"/>
    <x v="60"/>
    <x v="8"/>
    <x v="7"/>
    <m/>
    <x v="18"/>
    <x v="21"/>
    <n v="5453782"/>
    <m/>
    <n v="264217093"/>
    <n v="852000000"/>
    <x v="0"/>
    <x v="12"/>
    <x v="0"/>
    <x v="0"/>
    <n v="0"/>
    <x v="0"/>
    <x v="0"/>
    <s v="CB 160F STD                                       ROJO SPOR"/>
    <e v="#N/A"/>
    <s v=""/>
  </r>
  <r>
    <x v="60"/>
    <d v="2017-08-01T00:00:00"/>
    <x v="1"/>
    <s v="CTR - ZONA CENTRO"/>
    <s v="DIST - DISTRIBUIDORES"/>
    <n v="1"/>
    <x v="21"/>
    <n v="1"/>
    <x v="60"/>
    <x v="9"/>
    <x v="1"/>
    <m/>
    <x v="18"/>
    <x v="21"/>
    <n v="3696639"/>
    <m/>
    <n v="264217093"/>
    <n v="852000000"/>
    <x v="0"/>
    <x v="12"/>
    <x v="2"/>
    <x v="0"/>
    <n v="0"/>
    <x v="0"/>
    <x v="0"/>
    <s v="CB 110 DLX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2"/>
    <x v="15"/>
    <m/>
    <x v="45"/>
    <x v="28"/>
    <n v="5789916"/>
    <m/>
    <n v="1290813"/>
    <n v="0"/>
    <x v="1"/>
    <x v="23"/>
    <x v="11"/>
    <x v="0"/>
    <n v="0"/>
    <x v="0"/>
    <x v="0"/>
    <s v="*XR 150L                                          NEGRO ROJ"/>
    <e v="#N/A"/>
    <s v=""/>
  </r>
  <r>
    <x v="61"/>
    <d v="2017-08-01T00:00:00"/>
    <x v="0"/>
    <s v="NTE - ZONA NORTE"/>
    <s v="DIST - DISTRIBUIDORES"/>
    <n v="1"/>
    <x v="28"/>
    <n v="1"/>
    <x v="61"/>
    <x v="2"/>
    <x v="1"/>
    <m/>
    <x v="45"/>
    <x v="28"/>
    <n v="5789916"/>
    <m/>
    <n v="1290813"/>
    <n v="0"/>
    <x v="1"/>
    <x v="23"/>
    <x v="2"/>
    <x v="0"/>
    <n v="0"/>
    <x v="0"/>
    <x v="0"/>
    <s v="*XR 150L  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11"/>
    <x v="13"/>
    <m/>
    <x v="45"/>
    <x v="28"/>
    <n v="3521008"/>
    <m/>
    <n v="1290813"/>
    <n v="0"/>
    <x v="1"/>
    <x v="23"/>
    <x v="12"/>
    <x v="0"/>
    <n v="0"/>
    <x v="0"/>
    <x v="0"/>
    <s v="DIO 110                                           NEGRO BLA"/>
    <e v="#N/A"/>
    <s v=""/>
  </r>
  <r>
    <x v="61"/>
    <d v="2017-08-01T00:00:00"/>
    <x v="0"/>
    <s v="NTE - ZONA NORTE"/>
    <s v="DIST - DISTRIBUIDORES"/>
    <n v="2"/>
    <x v="28"/>
    <n v="2"/>
    <x v="61"/>
    <x v="6"/>
    <x v="6"/>
    <m/>
    <x v="45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1"/>
    <d v="2017-08-01T00:00:00"/>
    <x v="0"/>
    <s v="NTE - ZONA NORTE"/>
    <s v="DIST - DISTRIBUIDORES"/>
    <n v="2"/>
    <x v="28"/>
    <n v="2"/>
    <x v="61"/>
    <x v="6"/>
    <x v="16"/>
    <m/>
    <x v="45"/>
    <x v="28"/>
    <n v="3521008"/>
    <m/>
    <n v="1290813"/>
    <n v="0"/>
    <x v="1"/>
    <x v="23"/>
    <x v="0"/>
    <x v="0"/>
    <n v="0"/>
    <x v="0"/>
    <x v="0"/>
    <s v="DIO  110  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10"/>
    <x v="12"/>
    <m/>
    <x v="45"/>
    <x v="28"/>
    <n v="3067227"/>
    <m/>
    <n v="1290813"/>
    <n v="0"/>
    <x v="1"/>
    <x v="23"/>
    <x v="0"/>
    <x v="0"/>
    <n v="0"/>
    <x v="0"/>
    <x v="0"/>
    <s v="DREAM  NEO                                        ROJO ALFA"/>
    <e v="#N/A"/>
    <s v=""/>
  </r>
  <r>
    <x v="61"/>
    <d v="2017-08-01T00:00:00"/>
    <x v="0"/>
    <s v="NTE - ZONA NORTE"/>
    <s v="DIST - DISTRIBUIDORES"/>
    <n v="1"/>
    <x v="28"/>
    <n v="1"/>
    <x v="61"/>
    <x v="7"/>
    <x v="6"/>
    <m/>
    <x v="45"/>
    <x v="28"/>
    <n v="3941176"/>
    <m/>
    <n v="1290813"/>
    <n v="0"/>
    <x v="1"/>
    <x v="23"/>
    <x v="0"/>
    <x v="0"/>
    <n v="0"/>
    <x v="0"/>
    <x v="0"/>
    <s v="WAVE 110S                                         ROJO     "/>
    <e v="#N/A"/>
    <s v=""/>
  </r>
  <r>
    <x v="61"/>
    <d v="2017-08-01T00:00:00"/>
    <x v="0"/>
    <s v="NTE - ZONA NORTE"/>
    <s v="DIST - DISTRIBUIDORES"/>
    <n v="1"/>
    <x v="28"/>
    <n v="1"/>
    <x v="61"/>
    <x v="7"/>
    <x v="11"/>
    <m/>
    <x v="45"/>
    <x v="28"/>
    <n v="3941176"/>
    <m/>
    <n v="1290813"/>
    <n v="0"/>
    <x v="1"/>
    <x v="23"/>
    <x v="7"/>
    <x v="0"/>
    <n v="0"/>
    <x v="0"/>
    <x v="0"/>
    <s v="WAVE 110S                                         BLANCO   "/>
    <e v="#N/A"/>
    <s v=""/>
  </r>
  <r>
    <x v="61"/>
    <d v="2017-08-01T00:00:00"/>
    <x v="0"/>
    <s v="NTE - ZONA NORTE"/>
    <s v="DIST - DISTRIBUIDORES"/>
    <n v="1"/>
    <x v="28"/>
    <n v="1"/>
    <x v="61"/>
    <x v="9"/>
    <x v="16"/>
    <m/>
    <x v="45"/>
    <x v="28"/>
    <n v="3696639"/>
    <m/>
    <n v="1290813"/>
    <n v="0"/>
    <x v="1"/>
    <x v="23"/>
    <x v="14"/>
    <x v="0"/>
    <n v="0"/>
    <x v="0"/>
    <x v="0"/>
    <s v="CB 110 DLX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9"/>
    <x v="6"/>
    <m/>
    <x v="45"/>
    <x v="28"/>
    <n v="3696639"/>
    <m/>
    <n v="1290813"/>
    <n v="0"/>
    <x v="1"/>
    <x v="23"/>
    <x v="14"/>
    <x v="0"/>
    <n v="0"/>
    <x v="0"/>
    <x v="0"/>
    <s v="CB 110 DLX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6"/>
    <x v="6"/>
    <m/>
    <x v="46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8"/>
    <x v="8"/>
    <m/>
    <x v="46"/>
    <x v="28"/>
    <n v="5453782"/>
    <m/>
    <n v="1290813"/>
    <n v="0"/>
    <x v="1"/>
    <x v="23"/>
    <x v="0"/>
    <x v="0"/>
    <n v="0"/>
    <x v="0"/>
    <x v="0"/>
    <s v="CB 160F STD                                       NEGRO PER"/>
    <e v="#N/A"/>
    <s v=""/>
  </r>
  <r>
    <x v="63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64"/>
    <d v="2017-08-01T00:00:00"/>
    <x v="0"/>
    <s v="NTE - ZONA NORTE"/>
    <s v="DIST - DISTRIBUIDORES"/>
    <n v="2"/>
    <x v="28"/>
    <n v="2"/>
    <x v="63"/>
    <x v="2"/>
    <x v="15"/>
    <m/>
    <x v="47"/>
    <x v="28"/>
    <n v="5789916"/>
    <m/>
    <n v="1290813"/>
    <n v="0"/>
    <x v="1"/>
    <x v="24"/>
    <x v="11"/>
    <x v="0"/>
    <n v="0"/>
    <x v="0"/>
    <x v="0"/>
    <s v="*XR 150L                                          NEGRO ROJ"/>
    <e v="#N/A"/>
    <s v=""/>
  </r>
  <r>
    <x v="64"/>
    <d v="2017-08-01T00:00:00"/>
    <x v="0"/>
    <s v="NTE - ZONA NORTE"/>
    <s v="DIST - DISTRIBUIDORES"/>
    <n v="1"/>
    <x v="28"/>
    <n v="1"/>
    <x v="63"/>
    <x v="2"/>
    <x v="13"/>
    <m/>
    <x v="47"/>
    <x v="28"/>
    <n v="5789916"/>
    <m/>
    <n v="1290813"/>
    <n v="0"/>
    <x v="1"/>
    <x v="24"/>
    <x v="8"/>
    <x v="0"/>
    <n v="0"/>
    <x v="0"/>
    <x v="0"/>
    <s v="*XR 150L                                          NEGRO BLA"/>
    <e v="#N/A"/>
    <s v=""/>
  </r>
  <r>
    <x v="64"/>
    <d v="2017-08-01T00:00:00"/>
    <x v="0"/>
    <s v="NTE - ZONA NORTE"/>
    <s v="DIST - DISTRIBUIDORES"/>
    <n v="1"/>
    <x v="28"/>
    <n v="1"/>
    <x v="63"/>
    <x v="6"/>
    <x v="6"/>
    <m/>
    <x v="47"/>
    <x v="28"/>
    <n v="3521008"/>
    <m/>
    <n v="1290813"/>
    <n v="0"/>
    <x v="1"/>
    <x v="24"/>
    <x v="0"/>
    <x v="0"/>
    <n v="0"/>
    <x v="0"/>
    <x v="0"/>
    <s v="DIO  110                                          ROJO     "/>
    <e v="#N/A"/>
    <s v=""/>
  </r>
  <r>
    <x v="64"/>
    <d v="2017-08-01T00:00:00"/>
    <x v="0"/>
    <s v="NTE - ZONA NORTE"/>
    <s v="DIST - DISTRIBUIDORES"/>
    <n v="1"/>
    <x v="28"/>
    <n v="1"/>
    <x v="63"/>
    <x v="6"/>
    <x v="0"/>
    <m/>
    <x v="47"/>
    <x v="28"/>
    <n v="3521008"/>
    <m/>
    <n v="1290813"/>
    <n v="0"/>
    <x v="1"/>
    <x v="24"/>
    <x v="7"/>
    <x v="0"/>
    <n v="0"/>
    <x v="0"/>
    <x v="0"/>
    <s v="DIO  110                                          BLANCO NE"/>
    <e v="#N/A"/>
    <s v=""/>
  </r>
  <r>
    <x v="64"/>
    <d v="2017-08-01T00:00:00"/>
    <x v="0"/>
    <s v="NTE - ZONA NORTE"/>
    <s v="DIST - DISTRIBUIDORES"/>
    <n v="1"/>
    <x v="28"/>
    <n v="1"/>
    <x v="63"/>
    <x v="6"/>
    <x v="16"/>
    <m/>
    <x v="47"/>
    <x v="28"/>
    <n v="3521008"/>
    <m/>
    <n v="1290813"/>
    <n v="0"/>
    <x v="1"/>
    <x v="24"/>
    <x v="0"/>
    <x v="0"/>
    <n v="0"/>
    <x v="0"/>
    <x v="0"/>
    <s v="DIO  110                                          AZUL     "/>
    <e v="#N/A"/>
    <s v=""/>
  </r>
  <r>
    <x v="64"/>
    <d v="2017-08-01T00:00:00"/>
    <x v="0"/>
    <s v="NTE - ZONA NORTE"/>
    <s v="DIST - DISTRIBUIDORES"/>
    <n v="1"/>
    <x v="28"/>
    <n v="1"/>
    <x v="63"/>
    <x v="10"/>
    <x v="15"/>
    <m/>
    <x v="47"/>
    <x v="28"/>
    <n v="3067227"/>
    <m/>
    <n v="1290813"/>
    <n v="0"/>
    <x v="1"/>
    <x v="24"/>
    <x v="0"/>
    <x v="0"/>
    <n v="0"/>
    <x v="0"/>
    <x v="0"/>
    <s v="DREAM  NEO                                        NEGRO ROJ"/>
    <e v="#N/A"/>
    <s v=""/>
  </r>
  <r>
    <x v="65"/>
    <d v="2017-08-01T00:00:00"/>
    <x v="0"/>
    <s v="CTR - ZONA CENTRO"/>
    <s v="DIST - DISTRIBUIDORES"/>
    <n v="2"/>
    <x v="21"/>
    <n v="2"/>
    <x v="64"/>
    <x v="2"/>
    <x v="13"/>
    <m/>
    <x v="19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65"/>
    <d v="2017-08-01T00:00:00"/>
    <x v="0"/>
    <s v="CTR - ZONA CENTRO"/>
    <s v="DIST - DISTRIBUIDORES"/>
    <n v="3"/>
    <x v="21"/>
    <n v="3"/>
    <x v="64"/>
    <x v="2"/>
    <x v="15"/>
    <m/>
    <x v="19"/>
    <x v="21"/>
    <n v="5789916"/>
    <m/>
    <n v="264217093"/>
    <n v="852000000"/>
    <x v="0"/>
    <x v="13"/>
    <x v="11"/>
    <x v="0"/>
    <n v="0"/>
    <x v="0"/>
    <x v="0"/>
    <s v="*XR 150L                                          NEGRO ROJ"/>
    <e v="#N/A"/>
    <s v=""/>
  </r>
  <r>
    <x v="65"/>
    <d v="2017-08-01T00:00:00"/>
    <x v="0"/>
    <s v="CTR - ZONA CENTRO"/>
    <s v="DIST - DISTRIBUIDORES"/>
    <n v="3"/>
    <x v="21"/>
    <n v="3"/>
    <x v="64"/>
    <x v="2"/>
    <x v="1"/>
    <m/>
    <x v="19"/>
    <x v="21"/>
    <n v="5789916"/>
    <m/>
    <n v="264217093"/>
    <n v="852000000"/>
    <x v="0"/>
    <x v="13"/>
    <x v="2"/>
    <x v="0"/>
    <n v="0"/>
    <x v="0"/>
    <x v="0"/>
    <s v="*XR 150L 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4"/>
    <x v="4"/>
    <m/>
    <x v="19"/>
    <x v="21"/>
    <n v="7730252"/>
    <m/>
    <n v="264217093"/>
    <n v="852000000"/>
    <x v="0"/>
    <x v="13"/>
    <x v="4"/>
    <x v="0"/>
    <n v="0"/>
    <x v="0"/>
    <x v="0"/>
    <s v="CB 190 REPSOL                                     NARANJA B"/>
    <e v="#N/A"/>
    <s v=""/>
  </r>
  <r>
    <x v="65"/>
    <d v="2017-08-01T00:00:00"/>
    <x v="0"/>
    <s v="CTR - ZONA CENTRO"/>
    <s v="DIST - DISTRIBUIDORES"/>
    <n v="1"/>
    <x v="21"/>
    <n v="1"/>
    <x v="64"/>
    <x v="5"/>
    <x v="7"/>
    <m/>
    <x v="19"/>
    <x v="21"/>
    <n v="6133613"/>
    <m/>
    <n v="264217093"/>
    <n v="852000000"/>
    <x v="0"/>
    <x v="13"/>
    <x v="13"/>
    <x v="0"/>
    <n v="0"/>
    <x v="0"/>
    <x v="0"/>
    <s v="CB 160F DLX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7"/>
    <x v="6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ROJO     "/>
    <e v="#N/A"/>
    <s v=""/>
  </r>
  <r>
    <x v="65"/>
    <d v="2017-08-01T00:00:00"/>
    <x v="0"/>
    <s v="CTR - ZONA CENTRO"/>
    <s v="DIST - DISTRIBUIDORES"/>
    <n v="1"/>
    <x v="21"/>
    <n v="1"/>
    <x v="64"/>
    <x v="7"/>
    <x v="1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8"/>
    <x v="7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8"/>
    <x v="8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NEGRO PER"/>
    <e v="#N/A"/>
    <s v=""/>
  </r>
  <r>
    <x v="65"/>
    <d v="2017-08-01T00:00:00"/>
    <x v="0"/>
    <s v="CTR - ZONA CENTRO"/>
    <s v="DIST - DISTRIBUIDORES"/>
    <n v="4"/>
    <x v="21"/>
    <n v="4"/>
    <x v="64"/>
    <x v="9"/>
    <x v="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ROJO     "/>
    <e v="#N/A"/>
    <s v=""/>
  </r>
  <r>
    <x v="65"/>
    <d v="2017-08-01T00:00:00"/>
    <x v="0"/>
    <s v="CTR - ZONA CENTRO"/>
    <s v="DIST - DISTRIBUIDORES"/>
    <n v="2"/>
    <x v="21"/>
    <n v="2"/>
    <x v="64"/>
    <x v="9"/>
    <x v="17"/>
    <m/>
    <x v="19"/>
    <x v="21"/>
    <n v="3696639"/>
    <m/>
    <n v="264217093"/>
    <n v="852000000"/>
    <x v="0"/>
    <x v="13"/>
    <x v="15"/>
    <x v="0"/>
    <n v="0"/>
    <x v="0"/>
    <x v="0"/>
    <s v="CB 110 DLX                                        GRIS     "/>
    <e v="#N/A"/>
    <s v=""/>
  </r>
  <r>
    <x v="65"/>
    <d v="2017-08-01T00:00:00"/>
    <x v="0"/>
    <s v="CTR - ZONA CENTRO"/>
    <s v="DIST - DISTRIBUIDORES"/>
    <n v="4"/>
    <x v="21"/>
    <n v="4"/>
    <x v="64"/>
    <x v="9"/>
    <x v="1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AZUL     "/>
    <e v="#N/A"/>
    <s v=""/>
  </r>
  <r>
    <x v="65"/>
    <d v="2017-08-01T00:00:00"/>
    <x v="0"/>
    <s v="CTR - ZONA CENTRO"/>
    <s v="DIST - DISTRIBUIDORES"/>
    <n v="6"/>
    <x v="21"/>
    <n v="6"/>
    <x v="64"/>
    <x v="9"/>
    <x v="1"/>
    <m/>
    <x v="19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66"/>
    <d v="2017-08-01T00:00:00"/>
    <x v="0"/>
    <s v="SURO - SUR OCCIDENTE"/>
    <s v="CONC - CONCESIONARIOS"/>
    <n v="2"/>
    <x v="8"/>
    <n v="2"/>
    <x v="20"/>
    <x v="9"/>
    <x v="1"/>
    <m/>
    <x v="14"/>
    <x v="8"/>
    <n v="3696639"/>
    <m/>
    <n v="802084041"/>
    <n v="0"/>
    <x v="0"/>
    <x v="2"/>
    <x v="2"/>
    <x v="0"/>
    <n v="0"/>
    <x v="0"/>
    <x v="0"/>
    <s v="CB 110 DLX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1"/>
    <x v="1"/>
    <m/>
    <x v="48"/>
    <x v="28"/>
    <n v="3360504"/>
    <m/>
    <n v="1290813"/>
    <n v="0"/>
    <x v="1"/>
    <x v="25"/>
    <x v="1"/>
    <x v="0"/>
    <n v="0"/>
    <x v="0"/>
    <x v="0"/>
    <s v="*CB-110   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2"/>
    <x v="15"/>
    <m/>
    <x v="48"/>
    <x v="28"/>
    <n v="5789916"/>
    <m/>
    <n v="1290813"/>
    <n v="0"/>
    <x v="1"/>
    <x v="25"/>
    <x v="11"/>
    <x v="0"/>
    <n v="0"/>
    <x v="0"/>
    <x v="0"/>
    <s v="*XR 150L                                          NEGRO ROJ"/>
    <e v="#N/A"/>
    <s v=""/>
  </r>
  <r>
    <x v="67"/>
    <d v="2017-08-01T00:00:00"/>
    <x v="0"/>
    <s v="NTE - ZONA NORTE"/>
    <s v="DIST - DISTRIBUIDORES"/>
    <n v="2"/>
    <x v="28"/>
    <n v="2"/>
    <x v="65"/>
    <x v="2"/>
    <x v="13"/>
    <m/>
    <x v="48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7"/>
    <d v="2017-08-01T00:00:00"/>
    <x v="0"/>
    <s v="NTE - ZONA NORTE"/>
    <s v="DIST - DISTRIBUIDORES"/>
    <n v="2"/>
    <x v="28"/>
    <n v="2"/>
    <x v="65"/>
    <x v="2"/>
    <x v="1"/>
    <m/>
    <x v="48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67"/>
    <d v="2017-08-01T00:00:00"/>
    <x v="0"/>
    <s v="NTE - ZONA NORTE"/>
    <s v="DIST - DISTRIBUIDORES"/>
    <n v="1"/>
    <x v="28"/>
    <n v="1"/>
    <x v="65"/>
    <x v="10"/>
    <x v="20"/>
    <m/>
    <x v="48"/>
    <x v="28"/>
    <n v="3067227"/>
    <m/>
    <n v="1290813"/>
    <n v="0"/>
    <x v="1"/>
    <x v="25"/>
    <x v="0"/>
    <x v="0"/>
    <n v="0"/>
    <x v="0"/>
    <x v="0"/>
    <s v="DREAM  NEO                                        NEGRO AZU"/>
    <e v="#N/A"/>
    <s v=""/>
  </r>
  <r>
    <x v="68"/>
    <d v="2017-08-01T00:00:00"/>
    <x v="0"/>
    <s v="NTE - ZONA NORTE"/>
    <s v="DIST - DISTRIBUIDORES"/>
    <n v="1"/>
    <x v="28"/>
    <n v="1"/>
    <x v="66"/>
    <x v="2"/>
    <x v="15"/>
    <m/>
    <x v="49"/>
    <x v="28"/>
    <n v="5789916"/>
    <m/>
    <n v="1290813"/>
    <n v="0"/>
    <x v="1"/>
    <x v="26"/>
    <x v="11"/>
    <x v="0"/>
    <n v="0"/>
    <x v="0"/>
    <x v="0"/>
    <s v="*XR 150L                                          NEGRO ROJ"/>
    <e v="#N/A"/>
    <s v=""/>
  </r>
  <r>
    <x v="68"/>
    <d v="2017-08-01T00:00:00"/>
    <x v="0"/>
    <s v="NTE - ZONA NORTE"/>
    <s v="DIST - DISTRIBUIDORES"/>
    <n v="1"/>
    <x v="28"/>
    <n v="1"/>
    <x v="66"/>
    <x v="2"/>
    <x v="13"/>
    <m/>
    <x v="49"/>
    <x v="28"/>
    <n v="5789916"/>
    <m/>
    <n v="1290813"/>
    <n v="0"/>
    <x v="1"/>
    <x v="26"/>
    <x v="8"/>
    <x v="0"/>
    <n v="0"/>
    <x v="0"/>
    <x v="0"/>
    <s v="*XR 150L                                          NEGRO BLA"/>
    <e v="#N/A"/>
    <s v=""/>
  </r>
  <r>
    <x v="68"/>
    <d v="2017-08-01T00:00:00"/>
    <x v="0"/>
    <s v="NTE - ZONA NORTE"/>
    <s v="DIST - DISTRIBUIDORES"/>
    <n v="1"/>
    <x v="28"/>
    <n v="1"/>
    <x v="66"/>
    <x v="2"/>
    <x v="1"/>
    <m/>
    <x v="49"/>
    <x v="28"/>
    <n v="5789916"/>
    <m/>
    <n v="1290813"/>
    <n v="0"/>
    <x v="1"/>
    <x v="26"/>
    <x v="2"/>
    <x v="0"/>
    <n v="0"/>
    <x v="0"/>
    <x v="0"/>
    <s v="*XR 150L                                          NEGRO    "/>
    <e v="#N/A"/>
    <s v=""/>
  </r>
  <r>
    <x v="68"/>
    <d v="2017-08-01T00:00:00"/>
    <x v="0"/>
    <s v="NTE - ZONA NORTE"/>
    <s v="DIST - DISTRIBUIDORES"/>
    <n v="1"/>
    <x v="28"/>
    <n v="1"/>
    <x v="66"/>
    <x v="9"/>
    <x v="1"/>
    <m/>
    <x v="49"/>
    <x v="28"/>
    <n v="3696639"/>
    <m/>
    <n v="1290813"/>
    <n v="0"/>
    <x v="1"/>
    <x v="26"/>
    <x v="2"/>
    <x v="0"/>
    <n v="0"/>
    <x v="0"/>
    <x v="0"/>
    <s v="CB 110 DLX                                        NEGRO    "/>
    <e v="#N/A"/>
    <s v=""/>
  </r>
  <r>
    <x v="69"/>
    <d v="2017-08-01T00:00:00"/>
    <x v="0"/>
    <s v="NTE - ZONA NORTE"/>
    <s v="DIST - DISTRIBUIDORES"/>
    <n v="1"/>
    <x v="28"/>
    <n v="1"/>
    <x v="67"/>
    <x v="2"/>
    <x v="13"/>
    <m/>
    <x v="50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9"/>
    <d v="2017-08-01T00:00:00"/>
    <x v="0"/>
    <s v="NTE - ZONA NORTE"/>
    <s v="DIST - DISTRIBUIDORES"/>
    <n v="1"/>
    <x v="28"/>
    <n v="1"/>
    <x v="67"/>
    <x v="2"/>
    <x v="1"/>
    <m/>
    <x v="50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7"/>
    <m/>
    <x v="51"/>
    <x v="28"/>
    <n v="3360504"/>
    <m/>
    <n v="1290813"/>
    <n v="0"/>
    <x v="1"/>
    <x v="22"/>
    <x v="9"/>
    <x v="0"/>
    <n v="0"/>
    <x v="0"/>
    <x v="0"/>
    <s v="*CB-110                                           ROJO SPOR"/>
    <e v="#N/A"/>
    <s v=""/>
  </r>
  <r>
    <x v="70"/>
    <d v="2017-08-01T00:00:00"/>
    <x v="0"/>
    <s v="NTE - ZONA NORTE"/>
    <s v="DIST - DISTRIBUIDORES"/>
    <n v="1"/>
    <x v="28"/>
    <n v="1"/>
    <x v="68"/>
    <x v="1"/>
    <x v="1"/>
    <m/>
    <x v="51"/>
    <x v="28"/>
    <n v="3360504"/>
    <m/>
    <n v="1290813"/>
    <n v="0"/>
    <x v="1"/>
    <x v="22"/>
    <x v="1"/>
    <x v="0"/>
    <n v="0"/>
    <x v="0"/>
    <x v="0"/>
    <s v="*CB-110 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14"/>
    <m/>
    <x v="51"/>
    <x v="28"/>
    <n v="3360504"/>
    <m/>
    <n v="1290813"/>
    <n v="0"/>
    <x v="1"/>
    <x v="22"/>
    <x v="10"/>
    <x v="0"/>
    <n v="0"/>
    <x v="0"/>
    <x v="0"/>
    <s v="*CB-110                                           AZUL FIJI"/>
    <e v="#N/A"/>
    <s v=""/>
  </r>
  <r>
    <x v="70"/>
    <d v="2017-08-01T00:00:00"/>
    <x v="0"/>
    <s v="NTE - ZONA NORTE"/>
    <s v="DIST - DISTRIBUIDORES"/>
    <n v="2"/>
    <x v="28"/>
    <n v="2"/>
    <x v="68"/>
    <x v="2"/>
    <x v="15"/>
    <m/>
    <x v="51"/>
    <x v="28"/>
    <n v="5789916"/>
    <m/>
    <n v="1290813"/>
    <n v="0"/>
    <x v="1"/>
    <x v="22"/>
    <x v="11"/>
    <x v="0"/>
    <n v="0"/>
    <x v="0"/>
    <x v="0"/>
    <s v="*XR 150L                                          NEGRO ROJ"/>
    <e v="#N/A"/>
    <s v=""/>
  </r>
  <r>
    <x v="70"/>
    <d v="2017-08-01T00:00:00"/>
    <x v="0"/>
    <s v="NTE - ZONA NORTE"/>
    <s v="DIST - DISTRIBUIDORES"/>
    <n v="2"/>
    <x v="28"/>
    <n v="2"/>
    <x v="68"/>
    <x v="2"/>
    <x v="13"/>
    <m/>
    <x v="51"/>
    <x v="28"/>
    <n v="5789916"/>
    <m/>
    <n v="1290813"/>
    <n v="0"/>
    <x v="1"/>
    <x v="22"/>
    <x v="8"/>
    <x v="0"/>
    <n v="0"/>
    <x v="0"/>
    <x v="0"/>
    <s v="*XR 150L                                          NEGRO BLA"/>
    <e v="#N/A"/>
    <s v=""/>
  </r>
  <r>
    <x v="70"/>
    <d v="2017-08-01T00:00:00"/>
    <x v="0"/>
    <s v="NTE - ZONA NORTE"/>
    <s v="DIST - DISTRIBUIDORES"/>
    <n v="2"/>
    <x v="28"/>
    <n v="2"/>
    <x v="68"/>
    <x v="2"/>
    <x v="1"/>
    <m/>
    <x v="51"/>
    <x v="28"/>
    <n v="5789916"/>
    <m/>
    <n v="1290813"/>
    <n v="0"/>
    <x v="1"/>
    <x v="22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0"/>
    <x v="15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ROJ"/>
    <e v="#N/A"/>
    <s v=""/>
  </r>
  <r>
    <x v="70"/>
    <d v="2017-08-01T00:00:00"/>
    <x v="0"/>
    <s v="NTE - ZONA NORTE"/>
    <s v="DIST - DISTRIBUIDORES"/>
    <n v="1"/>
    <x v="28"/>
    <n v="1"/>
    <x v="68"/>
    <x v="10"/>
    <x v="20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5"/>
    <x v="29"/>
    <n v="5"/>
    <x v="69"/>
    <x v="2"/>
    <x v="13"/>
    <m/>
    <x v="27"/>
    <x v="29"/>
    <n v="5789916"/>
    <m/>
    <n v="47000000"/>
    <n v="325000000"/>
    <x v="0"/>
    <x v="13"/>
    <x v="8"/>
    <x v="0"/>
    <n v="0"/>
    <x v="0"/>
    <x v="0"/>
    <s v="*XR 150L                                          NEGRO BLA"/>
    <e v="#N/A"/>
    <s v=""/>
  </r>
  <r>
    <x v="71"/>
    <d v="2017-08-01T00:00:00"/>
    <x v="0"/>
    <s v="CTR - ZONA CENTRO"/>
    <s v="DIST - DISTRIBUIDORES"/>
    <n v="22"/>
    <x v="29"/>
    <n v="22"/>
    <x v="69"/>
    <x v="2"/>
    <x v="1"/>
    <m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71"/>
    <d v="2017-08-01T00:00:00"/>
    <x v="0"/>
    <s v="CTR - ZONA CENTRO"/>
    <s v="DIST - DISTRIBUIDORES"/>
    <n v="2"/>
    <x v="29"/>
    <n v="2"/>
    <x v="69"/>
    <x v="5"/>
    <x v="7"/>
    <m/>
    <x v="27"/>
    <x v="29"/>
    <n v="6133613"/>
    <m/>
    <n v="47000000"/>
    <n v="325000000"/>
    <x v="0"/>
    <x v="13"/>
    <x v="13"/>
    <x v="0"/>
    <n v="0"/>
    <x v="0"/>
    <x v="0"/>
    <s v="CB 160F DLX                                       ROJO SPOR"/>
    <e v="#N/A"/>
    <s v=""/>
  </r>
  <r>
    <x v="71"/>
    <d v="2017-08-01T00:00:00"/>
    <x v="0"/>
    <s v="CTR - ZONA CENTRO"/>
    <s v="DIST - DISTRIBUIDORES"/>
    <n v="1"/>
    <x v="29"/>
    <n v="1"/>
    <x v="69"/>
    <x v="5"/>
    <x v="8"/>
    <m/>
    <x v="27"/>
    <x v="29"/>
    <n v="6133613"/>
    <m/>
    <n v="47000000"/>
    <n v="325000000"/>
    <x v="0"/>
    <x v="13"/>
    <x v="0"/>
    <x v="0"/>
    <n v="0"/>
    <x v="0"/>
    <x v="0"/>
    <s v="CB 160F DLX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6"/>
    <x v="0"/>
    <m/>
    <x v="27"/>
    <x v="29"/>
    <n v="3521008"/>
    <m/>
    <n v="47000000"/>
    <n v="325000000"/>
    <x v="0"/>
    <x v="13"/>
    <x v="7"/>
    <x v="0"/>
    <n v="0"/>
    <x v="0"/>
    <x v="0"/>
    <s v="DIO  110                                          BLANCO NE"/>
    <e v="#N/A"/>
    <s v=""/>
  </r>
  <r>
    <x v="71"/>
    <d v="2017-08-01T00:00:00"/>
    <x v="0"/>
    <s v="CTR - ZONA CENTRO"/>
    <s v="DIST - DISTRIBUIDORES"/>
    <n v="3"/>
    <x v="29"/>
    <n v="3"/>
    <x v="69"/>
    <x v="6"/>
    <x v="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ROJO     "/>
    <e v="#N/A"/>
    <s v=""/>
  </r>
  <r>
    <x v="71"/>
    <d v="2017-08-01T00:00:00"/>
    <x v="0"/>
    <s v="CTR - ZONA CENTRO"/>
    <s v="DIST - DISTRIBUIDORES"/>
    <n v="5"/>
    <x v="29"/>
    <n v="5"/>
    <x v="69"/>
    <x v="6"/>
    <x v="1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AZUL     "/>
    <e v="#N/A"/>
    <s v=""/>
  </r>
  <r>
    <x v="71"/>
    <d v="2017-08-01T00:00:00"/>
    <x v="0"/>
    <s v="CTR - ZONA CENTRO"/>
    <s v="DIST - DISTRIBUIDORES"/>
    <n v="1"/>
    <x v="29"/>
    <n v="1"/>
    <x v="69"/>
    <x v="10"/>
    <x v="12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71"/>
    <d v="2017-08-01T00:00:00"/>
    <x v="0"/>
    <s v="CTR - ZONA CENTRO"/>
    <s v="DIST - DISTRIBUIDORES"/>
    <n v="8"/>
    <x v="29"/>
    <n v="8"/>
    <x v="69"/>
    <x v="10"/>
    <x v="20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8"/>
    <x v="29"/>
    <n v="8"/>
    <x v="69"/>
    <x v="7"/>
    <x v="1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NEGRO    "/>
    <e v="#N/A"/>
    <s v=""/>
  </r>
  <r>
    <x v="71"/>
    <d v="2017-08-01T00:00:00"/>
    <x v="0"/>
    <s v="CTR - ZONA CENTRO"/>
    <s v="DIST - DISTRIBUIDORES"/>
    <n v="6"/>
    <x v="29"/>
    <n v="6"/>
    <x v="69"/>
    <x v="7"/>
    <x v="6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ROJO     "/>
    <e v="#N/A"/>
    <s v=""/>
  </r>
  <r>
    <x v="71"/>
    <d v="2017-08-01T00:00:00"/>
    <x v="0"/>
    <s v="CTR - ZONA CENTRO"/>
    <s v="DIST - DISTRIBUIDORES"/>
    <n v="4"/>
    <x v="29"/>
    <n v="4"/>
    <x v="69"/>
    <x v="8"/>
    <x v="9"/>
    <m/>
    <x v="27"/>
    <x v="29"/>
    <n v="5453782"/>
    <m/>
    <n v="47000000"/>
    <n v="325000000"/>
    <x v="0"/>
    <x v="13"/>
    <x v="5"/>
    <x v="0"/>
    <n v="0"/>
    <x v="0"/>
    <x v="0"/>
    <s v="CB 160F STD                                       BLANCO PE"/>
    <e v="#N/A"/>
    <s v=""/>
  </r>
  <r>
    <x v="71"/>
    <d v="2017-08-01T00:00:00"/>
    <x v="0"/>
    <s v="CTR - ZONA CENTRO"/>
    <s v="DIST - DISTRIBUIDORES"/>
    <n v="4"/>
    <x v="29"/>
    <n v="4"/>
    <x v="69"/>
    <x v="8"/>
    <x v="8"/>
    <m/>
    <x v="27"/>
    <x v="29"/>
    <n v="5453782"/>
    <m/>
    <n v="47000000"/>
    <n v="325000000"/>
    <x v="0"/>
    <x v="13"/>
    <x v="0"/>
    <x v="0"/>
    <n v="0"/>
    <x v="0"/>
    <x v="0"/>
    <s v="CB 160F STD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9"/>
    <x v="16"/>
    <m/>
    <x v="27"/>
    <x v="29"/>
    <n v="3696639"/>
    <m/>
    <n v="47000000"/>
    <n v="325000000"/>
    <x v="0"/>
    <x v="13"/>
    <x v="14"/>
    <x v="0"/>
    <n v="0"/>
    <x v="0"/>
    <x v="0"/>
    <s v="CB 110 DLX                                        AZUL     "/>
    <e v="#N/A"/>
    <s v=""/>
  </r>
  <r>
    <x v="71"/>
    <d v="2017-08-01T00:00:00"/>
    <x v="0"/>
    <s v="CTR - ZONA CENTRO"/>
    <s v="DIST - DISTRIBUIDORES"/>
    <n v="10"/>
    <x v="29"/>
    <n v="10"/>
    <x v="69"/>
    <x v="9"/>
    <x v="17"/>
    <m/>
    <x v="27"/>
    <x v="29"/>
    <n v="3696639"/>
    <m/>
    <n v="47000000"/>
    <n v="325000000"/>
    <x v="0"/>
    <x v="13"/>
    <x v="15"/>
    <x v="0"/>
    <n v="0"/>
    <x v="0"/>
    <x v="0"/>
    <s v="CB 110 DLX                                        GRIS     "/>
    <e v="#N/A"/>
    <s v=""/>
  </r>
  <r>
    <x v="71"/>
    <d v="2017-08-01T00:00:00"/>
    <x v="0"/>
    <s v="CTR - ZONA CENTRO"/>
    <s v="DIST - DISTRIBUIDORES"/>
    <n v="55"/>
    <x v="29"/>
    <n v="55"/>
    <x v="69"/>
    <x v="9"/>
    <x v="1"/>
    <m/>
    <x v="27"/>
    <x v="29"/>
    <n v="3696639"/>
    <m/>
    <n v="47000000"/>
    <n v="325000000"/>
    <x v="0"/>
    <x v="13"/>
    <x v="2"/>
    <x v="0"/>
    <n v="0"/>
    <x v="0"/>
    <x v="0"/>
    <s v="CB 110 DLX                                        NEGRO    "/>
    <e v="#N/A"/>
    <s v=""/>
  </r>
  <r>
    <x v="72"/>
    <d v="2017-08-01T00:00:00"/>
    <x v="0"/>
    <s v="SURO - SUR OCCIDENTE"/>
    <s v="DIST - DISTRIBUIDORES"/>
    <n v="6"/>
    <x v="20"/>
    <n v="6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73"/>
    <d v="2017-08-01T00:00:00"/>
    <x v="0"/>
    <s v="CTR - ZONA CENTRO"/>
    <s v="DIST - DISTRIBUIDORES"/>
    <n v="1"/>
    <x v="30"/>
    <n v="1"/>
    <x v="70"/>
    <x v="2"/>
    <x v="15"/>
    <m/>
    <x v="52"/>
    <x v="30"/>
    <n v="5789916"/>
    <m/>
    <n v="20739828"/>
    <n v="200000000"/>
    <x v="0"/>
    <x v="27"/>
    <x v="11"/>
    <x v="0"/>
    <n v="0"/>
    <x v="0"/>
    <x v="0"/>
    <s v="*XR 150L                                          NEGRO ROJ"/>
    <e v="#N/A"/>
    <s v=""/>
  </r>
  <r>
    <x v="73"/>
    <d v="2017-08-01T00:00:00"/>
    <x v="0"/>
    <s v="CTR - ZONA CENTRO"/>
    <s v="DIST - DISTRIBUIDORES"/>
    <n v="1"/>
    <x v="30"/>
    <n v="1"/>
    <x v="70"/>
    <x v="3"/>
    <x v="3"/>
    <m/>
    <x v="52"/>
    <x v="30"/>
    <n v="7554622"/>
    <m/>
    <n v="20739828"/>
    <n v="200000000"/>
    <x v="0"/>
    <x v="27"/>
    <x v="0"/>
    <x v="0"/>
    <n v="0"/>
    <x v="0"/>
    <x v="0"/>
    <s v="CB 190R                                           NEGRO ONI"/>
    <e v="#N/A"/>
    <s v=""/>
  </r>
  <r>
    <x v="73"/>
    <d v="2017-08-01T00:00:00"/>
    <x v="0"/>
    <s v="CTR - ZONA CENTRO"/>
    <s v="DIST - DISTRIBUIDORES"/>
    <n v="1"/>
    <x v="30"/>
    <n v="1"/>
    <x v="70"/>
    <x v="5"/>
    <x v="8"/>
    <m/>
    <x v="52"/>
    <x v="30"/>
    <n v="6133613"/>
    <m/>
    <n v="20739828"/>
    <n v="200000000"/>
    <x v="0"/>
    <x v="27"/>
    <x v="0"/>
    <x v="0"/>
    <n v="0"/>
    <x v="0"/>
    <x v="0"/>
    <s v="CB 160F DLX                                       NEGRO PER"/>
    <e v="#N/A"/>
    <s v=""/>
  </r>
  <r>
    <x v="73"/>
    <d v="2017-08-01T00:00:00"/>
    <x v="0"/>
    <s v="CTR - ZONA CENTRO"/>
    <s v="DIST - DISTRIBUIDORES"/>
    <n v="1"/>
    <x v="30"/>
    <n v="1"/>
    <x v="70"/>
    <x v="5"/>
    <x v="7"/>
    <m/>
    <x v="52"/>
    <x v="30"/>
    <n v="6133613"/>
    <m/>
    <n v="20739828"/>
    <n v="200000000"/>
    <x v="0"/>
    <x v="27"/>
    <x v="13"/>
    <x v="0"/>
    <n v="0"/>
    <x v="0"/>
    <x v="0"/>
    <s v="CB 160F DLX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7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8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NEGRO PER"/>
    <e v="#N/A"/>
    <s v=""/>
  </r>
  <r>
    <x v="74"/>
    <d v="2017-08-01T00:00:00"/>
    <x v="0"/>
    <s v="CTR - ZONA CENTRO"/>
    <s v="DIST - DISTRIBUIDORES"/>
    <n v="1"/>
    <x v="30"/>
    <n v="1"/>
    <x v="71"/>
    <x v="2"/>
    <x v="1"/>
    <m/>
    <x v="53"/>
    <x v="30"/>
    <n v="5789916"/>
    <m/>
    <n v="20739828"/>
    <n v="200000000"/>
    <x v="0"/>
    <x v="28"/>
    <x v="2"/>
    <x v="0"/>
    <n v="0"/>
    <x v="0"/>
    <x v="0"/>
    <s v="*XR 150L                                          NEGRO    "/>
    <e v="#N/A"/>
    <s v=""/>
  </r>
  <r>
    <x v="74"/>
    <d v="2017-08-01T00:00:00"/>
    <x v="0"/>
    <s v="CTR - ZONA CENTRO"/>
    <s v="DIST - DISTRIBUIDORES"/>
    <n v="1"/>
    <x v="30"/>
    <n v="1"/>
    <x v="71"/>
    <x v="3"/>
    <x v="2"/>
    <m/>
    <x v="53"/>
    <x v="30"/>
    <n v="7554622"/>
    <m/>
    <n v="20739828"/>
    <n v="200000000"/>
    <x v="0"/>
    <x v="28"/>
    <x v="3"/>
    <x v="0"/>
    <n v="0"/>
    <x v="0"/>
    <x v="0"/>
    <s v="CB 190R                                           ROJO NEGR"/>
    <e v="#N/A"/>
    <s v=""/>
  </r>
  <r>
    <x v="74"/>
    <d v="2017-08-01T00:00:00"/>
    <x v="0"/>
    <s v="CTR - ZONA CENTRO"/>
    <s v="DIST - DISTRIBUIDORES"/>
    <n v="1"/>
    <x v="30"/>
    <n v="1"/>
    <x v="71"/>
    <x v="5"/>
    <x v="5"/>
    <m/>
    <x v="53"/>
    <x v="30"/>
    <n v="6133613"/>
    <m/>
    <n v="20739828"/>
    <n v="200000000"/>
    <x v="0"/>
    <x v="28"/>
    <x v="2"/>
    <x v="0"/>
    <n v="0"/>
    <x v="0"/>
    <x v="0"/>
    <s v="CB 160F DLX                                       NARANJA N"/>
    <e v="#N/A"/>
    <s v=""/>
  </r>
  <r>
    <x v="74"/>
    <d v="2017-08-01T00:00:00"/>
    <x v="0"/>
    <s v="CTR - ZONA CENTRO"/>
    <s v="DIST - DISTRIBUIDORES"/>
    <n v="1"/>
    <x v="30"/>
    <n v="1"/>
    <x v="71"/>
    <x v="6"/>
    <x v="6"/>
    <m/>
    <x v="53"/>
    <x v="30"/>
    <n v="3521008"/>
    <m/>
    <n v="20739828"/>
    <n v="200000000"/>
    <x v="0"/>
    <x v="28"/>
    <x v="0"/>
    <x v="0"/>
    <n v="0"/>
    <x v="0"/>
    <x v="0"/>
    <s v="DIO  110                                          ROJO     "/>
    <e v="#N/A"/>
    <s v=""/>
  </r>
  <r>
    <x v="74"/>
    <d v="2017-08-01T00:00:00"/>
    <x v="0"/>
    <s v="CTR - ZONA CENTRO"/>
    <s v="DIST - DISTRIBUIDORES"/>
    <n v="1"/>
    <x v="30"/>
    <n v="1"/>
    <x v="71"/>
    <x v="9"/>
    <x v="1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AZUL     "/>
    <e v="#N/A"/>
    <s v=""/>
  </r>
  <r>
    <x v="74"/>
    <d v="2017-08-01T00:00:00"/>
    <x v="0"/>
    <s v="CTR - ZONA CENTRO"/>
    <s v="DIST - DISTRIBUIDORES"/>
    <n v="1"/>
    <x v="30"/>
    <n v="1"/>
    <x v="71"/>
    <x v="9"/>
    <x v="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ROJO     "/>
    <e v="#N/A"/>
    <s v=""/>
  </r>
  <r>
    <x v="74"/>
    <d v="2017-08-01T00:00:00"/>
    <x v="0"/>
    <s v="CTR - ZONA CENTRO"/>
    <s v="DIST - DISTRIBUIDORES"/>
    <n v="3"/>
    <x v="30"/>
    <n v="3"/>
    <x v="71"/>
    <x v="9"/>
    <x v="1"/>
    <m/>
    <x v="53"/>
    <x v="30"/>
    <n v="3696639"/>
    <m/>
    <n v="20739828"/>
    <n v="200000000"/>
    <x v="0"/>
    <x v="28"/>
    <x v="2"/>
    <x v="0"/>
    <n v="0"/>
    <x v="0"/>
    <x v="0"/>
    <s v="CB 110 DLX                                        NEGRO    "/>
    <e v="#N/A"/>
    <s v=""/>
  </r>
  <r>
    <x v="75"/>
    <d v="2017-08-01T00:00:00"/>
    <x v="0"/>
    <s v="CTR - ZONA CENTRO"/>
    <s v="DIST - DISTRIBUIDORES"/>
    <n v="1"/>
    <x v="30"/>
    <n v="1"/>
    <x v="72"/>
    <x v="2"/>
    <x v="13"/>
    <m/>
    <x v="54"/>
    <x v="30"/>
    <n v="5789916"/>
    <m/>
    <n v="20739828"/>
    <n v="200000000"/>
    <x v="0"/>
    <x v="29"/>
    <x v="8"/>
    <x v="0"/>
    <n v="0"/>
    <x v="0"/>
    <x v="0"/>
    <s v="*XR 150L                                          NEGRO BLA"/>
    <e v="#N/A"/>
    <s v=""/>
  </r>
  <r>
    <x v="75"/>
    <d v="2017-08-01T00:00:00"/>
    <x v="0"/>
    <s v="CTR - ZONA CENTRO"/>
    <s v="DIST - DISTRIBUIDORES"/>
    <n v="1"/>
    <x v="30"/>
    <n v="1"/>
    <x v="72"/>
    <x v="2"/>
    <x v="1"/>
    <m/>
    <x v="54"/>
    <x v="30"/>
    <n v="5789916"/>
    <m/>
    <n v="20739828"/>
    <n v="200000000"/>
    <x v="0"/>
    <x v="29"/>
    <x v="2"/>
    <x v="0"/>
    <n v="0"/>
    <x v="0"/>
    <x v="0"/>
    <s v="*XR 150L                                          NEGRO    "/>
    <e v="#N/A"/>
    <s v=""/>
  </r>
  <r>
    <x v="75"/>
    <d v="2017-08-01T00:00:00"/>
    <x v="0"/>
    <s v="CTR - ZONA CENTRO"/>
    <s v="DIST - DISTRIBUIDORES"/>
    <n v="2"/>
    <x v="30"/>
    <n v="2"/>
    <x v="72"/>
    <x v="9"/>
    <x v="1"/>
    <m/>
    <x v="54"/>
    <x v="30"/>
    <n v="3696639"/>
    <m/>
    <n v="20739828"/>
    <n v="200000000"/>
    <x v="0"/>
    <x v="29"/>
    <x v="2"/>
    <x v="0"/>
    <n v="0"/>
    <x v="0"/>
    <x v="0"/>
    <s v="CB 110 DLX                                        NEGRO    "/>
    <e v="#N/A"/>
    <s v=""/>
  </r>
  <r>
    <x v="76"/>
    <d v="2017-08-01T00:00:00"/>
    <x v="0"/>
    <s v="SURO - SUR OCCIDENTE"/>
    <s v="DIST - DISTRIBUIDORES"/>
    <n v="1"/>
    <x v="31"/>
    <n v="1"/>
    <x v="73"/>
    <x v="8"/>
    <x v="8"/>
    <m/>
    <x v="55"/>
    <x v="31"/>
    <n v="5453782"/>
    <m/>
    <n v="164567161"/>
    <n v="80000000"/>
    <x v="0"/>
    <x v="4"/>
    <x v="0"/>
    <x v="0"/>
    <n v="0"/>
    <x v="0"/>
    <x v="0"/>
    <s v="CB 160F STD                                       NEGRO PER"/>
    <e v="#N/A"/>
    <s v=""/>
  </r>
  <r>
    <x v="77"/>
    <d v="2017-08-01T00:00:00"/>
    <x v="0"/>
    <s v="CTR - ZONA CENTRO"/>
    <s v="DIST - DISTRIBUIDORES"/>
    <n v="1"/>
    <x v="30"/>
    <n v="1"/>
    <x v="74"/>
    <x v="8"/>
    <x v="7"/>
    <m/>
    <x v="56"/>
    <x v="30"/>
    <n v="5453782"/>
    <m/>
    <n v="20739828"/>
    <n v="200000000"/>
    <x v="0"/>
    <x v="12"/>
    <x v="0"/>
    <x v="0"/>
    <n v="0"/>
    <x v="0"/>
    <x v="0"/>
    <s v="CB 160F STD                                       ROJO SPOR"/>
    <e v="#N/A"/>
    <s v=""/>
  </r>
  <r>
    <x v="77"/>
    <d v="2017-08-01T00:00:00"/>
    <x v="0"/>
    <s v="CTR - ZONA CENTRO"/>
    <s v="DIST - DISTRIBUIDORES"/>
    <n v="2"/>
    <x v="30"/>
    <n v="2"/>
    <x v="74"/>
    <x v="9"/>
    <x v="1"/>
    <m/>
    <x v="56"/>
    <x v="30"/>
    <n v="3696639"/>
    <m/>
    <n v="20739828"/>
    <n v="200000000"/>
    <x v="0"/>
    <x v="12"/>
    <x v="2"/>
    <x v="0"/>
    <n v="0"/>
    <x v="0"/>
    <x v="0"/>
    <s v="CB 110 DLX                                        NEGRO    "/>
    <e v="#N/A"/>
    <s v=""/>
  </r>
  <r>
    <x v="78"/>
    <d v="2017-08-01T00:00:00"/>
    <x v="1"/>
    <s v="CTR - ZONA CENTRO"/>
    <s v="DIST - DISTRIBUIDORES"/>
    <n v="1"/>
    <x v="32"/>
    <n v="1"/>
    <x v="75"/>
    <x v="2"/>
    <x v="13"/>
    <m/>
    <x v="57"/>
    <x v="32"/>
    <n v="5789916"/>
    <m/>
    <n v="34012723"/>
    <n v="0"/>
    <x v="0"/>
    <x v="30"/>
    <x v="8"/>
    <x v="0"/>
    <n v="0"/>
    <x v="0"/>
    <x v="0"/>
    <s v="*XR 150L                                          NEGRO BLA"/>
    <e v="#N/A"/>
    <s v=""/>
  </r>
  <r>
    <x v="78"/>
    <d v="2017-08-01T00:00:00"/>
    <x v="1"/>
    <s v="CTR - ZONA CENTRO"/>
    <s v="DIST - DISTRIBUIDORES"/>
    <n v="3"/>
    <x v="32"/>
    <n v="3"/>
    <x v="75"/>
    <x v="2"/>
    <x v="1"/>
    <m/>
    <x v="57"/>
    <x v="32"/>
    <n v="5789916"/>
    <m/>
    <n v="34012723"/>
    <n v="0"/>
    <x v="0"/>
    <x v="30"/>
    <x v="2"/>
    <x v="3"/>
    <n v="5789916"/>
    <x v="1"/>
    <x v="1"/>
    <s v="*XR 150L                                          NEGRO    "/>
    <s v="ENTREGAS"/>
    <s v="E"/>
  </r>
  <r>
    <x v="78"/>
    <d v="2017-08-01T00:00:00"/>
    <x v="1"/>
    <s v="CTR - ZONA CENTRO"/>
    <s v="DIST - DISTRIBUIDORES"/>
    <n v="2"/>
    <x v="32"/>
    <n v="2"/>
    <x v="75"/>
    <x v="2"/>
    <x v="15"/>
    <m/>
    <x v="57"/>
    <x v="32"/>
    <n v="5789916"/>
    <m/>
    <n v="34012723"/>
    <n v="0"/>
    <x v="0"/>
    <x v="30"/>
    <x v="11"/>
    <x v="3"/>
    <n v="5789916"/>
    <x v="1"/>
    <x v="1"/>
    <s v="*XR 150L                                          NEGRO ROJ"/>
    <s v="ENTREGAS"/>
    <s v="E"/>
  </r>
  <r>
    <x v="78"/>
    <d v="2017-08-01T00:00:00"/>
    <x v="1"/>
    <s v="CTR - ZONA CENTRO"/>
    <s v="DIST - DISTRIBUIDORES"/>
    <n v="1"/>
    <x v="32"/>
    <n v="1"/>
    <x v="75"/>
    <x v="5"/>
    <x v="5"/>
    <m/>
    <x v="57"/>
    <x v="32"/>
    <n v="6133613"/>
    <m/>
    <n v="34012723"/>
    <n v="0"/>
    <x v="0"/>
    <x v="30"/>
    <x v="2"/>
    <x v="3"/>
    <n v="6133613"/>
    <x v="1"/>
    <x v="1"/>
    <s v="CB 160F DLX                                       NARANJA N"/>
    <s v="ENTREGAS"/>
    <s v="E"/>
  </r>
  <r>
    <x v="78"/>
    <d v="2017-08-01T00:00:00"/>
    <x v="1"/>
    <s v="CTR - ZONA CENTRO"/>
    <s v="DIST - DISTRIBUIDORES"/>
    <n v="2"/>
    <x v="32"/>
    <n v="2"/>
    <x v="75"/>
    <x v="5"/>
    <x v="8"/>
    <m/>
    <x v="57"/>
    <x v="32"/>
    <n v="6133613"/>
    <m/>
    <n v="34012723"/>
    <n v="0"/>
    <x v="0"/>
    <x v="30"/>
    <x v="0"/>
    <x v="0"/>
    <n v="0"/>
    <x v="0"/>
    <x v="0"/>
    <s v="CB 160F DLX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14"/>
    <x v="3"/>
    <m/>
    <x v="57"/>
    <x v="32"/>
    <n v="7730252"/>
    <m/>
    <n v="34012723"/>
    <n v="0"/>
    <x v="0"/>
    <x v="30"/>
    <x v="0"/>
    <x v="0"/>
    <n v="0"/>
    <x v="0"/>
    <x v="0"/>
    <s v="CB 190R INSTINTO R                                NEGRO ONI"/>
    <e v="#N/A"/>
    <s v=""/>
  </r>
  <r>
    <x v="78"/>
    <d v="2017-08-01T00:00:00"/>
    <x v="1"/>
    <s v="CTR - ZONA CENTRO"/>
    <s v="DIST - DISTRIBUIDORES"/>
    <n v="1"/>
    <x v="32"/>
    <n v="1"/>
    <x v="75"/>
    <x v="10"/>
    <x v="12"/>
    <m/>
    <x v="57"/>
    <x v="32"/>
    <n v="3067227"/>
    <m/>
    <n v="34012723"/>
    <n v="0"/>
    <x v="0"/>
    <x v="30"/>
    <x v="0"/>
    <x v="0"/>
    <n v="0"/>
    <x v="0"/>
    <x v="0"/>
    <s v="DREAM  NEO                                        ROJO ALFA"/>
    <e v="#N/A"/>
    <s v=""/>
  </r>
  <r>
    <x v="78"/>
    <d v="2017-08-01T00:00:00"/>
    <x v="1"/>
    <s v="CTR - ZONA CENTRO"/>
    <s v="DIST - DISTRIBUIDORES"/>
    <n v="2"/>
    <x v="32"/>
    <n v="2"/>
    <x v="75"/>
    <x v="8"/>
    <x v="8"/>
    <m/>
    <x v="57"/>
    <x v="32"/>
    <n v="5453782"/>
    <m/>
    <n v="34012723"/>
    <n v="0"/>
    <x v="0"/>
    <x v="30"/>
    <x v="0"/>
    <x v="0"/>
    <n v="0"/>
    <x v="0"/>
    <x v="0"/>
    <s v="CB 160F STD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9"/>
    <x v="16"/>
    <m/>
    <x v="57"/>
    <x v="32"/>
    <n v="3696639"/>
    <m/>
    <n v="34012723"/>
    <n v="0"/>
    <x v="0"/>
    <x v="30"/>
    <x v="14"/>
    <x v="3"/>
    <n v="3696639"/>
    <x v="1"/>
    <x v="1"/>
    <s v="CB 110 DLX                                        AZUL     "/>
    <s v="ENTREGAS"/>
    <s v="E"/>
  </r>
  <r>
    <x v="78"/>
    <d v="2017-08-01T00:00:00"/>
    <x v="1"/>
    <s v="CTR - ZONA CENTRO"/>
    <s v="DIST - DISTRIBUIDORES"/>
    <n v="3"/>
    <x v="32"/>
    <n v="3"/>
    <x v="75"/>
    <x v="9"/>
    <x v="1"/>
    <m/>
    <x v="57"/>
    <x v="32"/>
    <n v="3696639"/>
    <m/>
    <n v="34012723"/>
    <n v="0"/>
    <x v="0"/>
    <x v="30"/>
    <x v="2"/>
    <x v="5"/>
    <n v="11089917"/>
    <x v="1"/>
    <x v="1"/>
    <s v="CB 110 DLX                                        NEGRO    "/>
    <s v="ENTREGAS"/>
    <s v="E"/>
  </r>
  <r>
    <x v="79"/>
    <d v="2017-08-01T00:00:00"/>
    <x v="0"/>
    <s v="CTR - ZONA CENTRO"/>
    <s v="DIST - DISTRIBUIDORES"/>
    <n v="2"/>
    <x v="33"/>
    <n v="2"/>
    <x v="76"/>
    <x v="1"/>
    <x v="18"/>
    <m/>
    <x v="58"/>
    <x v="33"/>
    <n v="3360504"/>
    <m/>
    <n v="30478704"/>
    <n v="0"/>
    <x v="0"/>
    <x v="31"/>
    <x v="15"/>
    <x v="0"/>
    <n v="0"/>
    <x v="0"/>
    <x v="0"/>
    <s v="*CB-110                                           GRIS MET "/>
    <e v="#N/A"/>
    <s v=""/>
  </r>
  <r>
    <x v="79"/>
    <d v="2017-08-01T00:00:00"/>
    <x v="0"/>
    <s v="CTR - ZONA CENTRO"/>
    <s v="DIST - DISTRIBUIDORES"/>
    <n v="3"/>
    <x v="33"/>
    <n v="3"/>
    <x v="76"/>
    <x v="1"/>
    <x v="1"/>
    <m/>
    <x v="58"/>
    <x v="33"/>
    <n v="3360504"/>
    <m/>
    <n v="30478704"/>
    <n v="0"/>
    <x v="0"/>
    <x v="31"/>
    <x v="1"/>
    <x v="0"/>
    <n v="0"/>
    <x v="0"/>
    <x v="0"/>
    <s v="*CB-110                                           NEGRO    "/>
    <e v="#N/A"/>
    <s v=""/>
  </r>
  <r>
    <x v="79"/>
    <d v="2017-08-01T00:00:00"/>
    <x v="0"/>
    <s v="CTR - ZONA CENTRO"/>
    <s v="DIST - DISTRIBUIDORES"/>
    <n v="1"/>
    <x v="33"/>
    <n v="1"/>
    <x v="76"/>
    <x v="1"/>
    <x v="23"/>
    <m/>
    <x v="58"/>
    <x v="33"/>
    <n v="3360504"/>
    <m/>
    <n v="30478704"/>
    <n v="0"/>
    <x v="0"/>
    <x v="31"/>
    <x v="0"/>
    <x v="0"/>
    <n v="0"/>
    <x v="0"/>
    <x v="0"/>
    <s v="*CB-110                                           VERDE CAN"/>
    <e v="#N/A"/>
    <s v=""/>
  </r>
  <r>
    <x v="79"/>
    <d v="2017-08-01T00:00:00"/>
    <x v="0"/>
    <s v="CTR - ZONA CENTRO"/>
    <s v="DIST - DISTRIBUIDORES"/>
    <n v="2"/>
    <x v="33"/>
    <n v="2"/>
    <x v="76"/>
    <x v="1"/>
    <x v="14"/>
    <m/>
    <x v="58"/>
    <x v="33"/>
    <n v="3360504"/>
    <m/>
    <n v="30478704"/>
    <n v="0"/>
    <x v="0"/>
    <x v="31"/>
    <x v="10"/>
    <x v="0"/>
    <n v="0"/>
    <x v="0"/>
    <x v="0"/>
    <s v="*CB-110                                           AZUL FIJI"/>
    <e v="#N/A"/>
    <s v=""/>
  </r>
  <r>
    <x v="79"/>
    <d v="2017-08-01T00:00:00"/>
    <x v="0"/>
    <s v="CTR - ZONA CENTRO"/>
    <s v="DIST - DISTRIBUIDORES"/>
    <n v="2"/>
    <x v="33"/>
    <n v="2"/>
    <x v="76"/>
    <x v="2"/>
    <x v="15"/>
    <m/>
    <x v="58"/>
    <x v="33"/>
    <n v="5789916"/>
    <m/>
    <n v="30478704"/>
    <n v="0"/>
    <x v="0"/>
    <x v="31"/>
    <x v="11"/>
    <x v="0"/>
    <n v="0"/>
    <x v="0"/>
    <x v="0"/>
    <s v="*XR 150L                                          NEGRO ROJ"/>
    <e v="#N/A"/>
    <s v=""/>
  </r>
  <r>
    <x v="79"/>
    <d v="2017-08-01T00:00:00"/>
    <x v="0"/>
    <s v="CTR - ZONA CENTRO"/>
    <s v="DIST - DISTRIBUIDORES"/>
    <n v="2"/>
    <x v="33"/>
    <n v="2"/>
    <x v="76"/>
    <x v="2"/>
    <x v="1"/>
    <m/>
    <x v="58"/>
    <x v="33"/>
    <n v="5789916"/>
    <m/>
    <n v="30478704"/>
    <n v="0"/>
    <x v="0"/>
    <x v="31"/>
    <x v="2"/>
    <x v="0"/>
    <n v="0"/>
    <x v="0"/>
    <x v="0"/>
    <s v="*XR 150L                                          NEGRO    "/>
    <e v="#N/A"/>
    <s v=""/>
  </r>
  <r>
    <x v="79"/>
    <d v="2017-08-01T00:00:00"/>
    <x v="0"/>
    <s v="CTR - ZONA CENTRO"/>
    <s v="DIST - DISTRIBUIDORES"/>
    <n v="2"/>
    <x v="33"/>
    <n v="2"/>
    <x v="76"/>
    <x v="9"/>
    <x v="17"/>
    <m/>
    <x v="58"/>
    <x v="33"/>
    <n v="3696639"/>
    <m/>
    <n v="30478704"/>
    <n v="0"/>
    <x v="0"/>
    <x v="31"/>
    <x v="15"/>
    <x v="0"/>
    <n v="0"/>
    <x v="0"/>
    <x v="0"/>
    <s v="CB 110 DLX                                        GRIS     "/>
    <e v="#N/A"/>
    <s v=""/>
  </r>
  <r>
    <x v="79"/>
    <d v="2017-08-01T00:00:00"/>
    <x v="0"/>
    <s v="CTR - ZONA CENTRO"/>
    <s v="DIST - DISTRIBUIDORES"/>
    <n v="2"/>
    <x v="33"/>
    <n v="2"/>
    <x v="76"/>
    <x v="9"/>
    <x v="16"/>
    <m/>
    <x v="58"/>
    <x v="33"/>
    <n v="3696639"/>
    <m/>
    <n v="30478704"/>
    <n v="0"/>
    <x v="0"/>
    <x v="31"/>
    <x v="14"/>
    <x v="0"/>
    <n v="0"/>
    <x v="0"/>
    <x v="0"/>
    <s v="CB 110 DLX                                        AZUL     "/>
    <e v="#N/A"/>
    <s v=""/>
  </r>
  <r>
    <x v="79"/>
    <d v="2017-08-01T00:00:00"/>
    <x v="0"/>
    <s v="CTR - ZONA CENTRO"/>
    <s v="DIST - DISTRIBUIDORES"/>
    <n v="3"/>
    <x v="33"/>
    <n v="3"/>
    <x v="76"/>
    <x v="9"/>
    <x v="1"/>
    <m/>
    <x v="58"/>
    <x v="33"/>
    <n v="3696639"/>
    <m/>
    <n v="30478704"/>
    <n v="0"/>
    <x v="0"/>
    <x v="31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2"/>
    <x v="34"/>
    <n v="2"/>
    <x v="77"/>
    <x v="1"/>
    <x v="18"/>
    <m/>
    <x v="59"/>
    <x v="34"/>
    <n v="3360504"/>
    <m/>
    <n v="964828"/>
    <n v="0"/>
    <x v="1"/>
    <x v="5"/>
    <x v="15"/>
    <x v="0"/>
    <n v="0"/>
    <x v="0"/>
    <x v="0"/>
    <s v="*CB-110                                           GRIS MET "/>
    <e v="#N/A"/>
    <s v=""/>
  </r>
  <r>
    <x v="80"/>
    <d v="2017-08-01T00:00:00"/>
    <x v="0"/>
    <s v="SURO - SUR OCCIDENTE"/>
    <s v="DIST - DISTRIBUIDORES"/>
    <n v="1"/>
    <x v="34"/>
    <n v="1"/>
    <x v="77"/>
    <x v="1"/>
    <x v="7"/>
    <m/>
    <x v="59"/>
    <x v="34"/>
    <n v="3360504"/>
    <m/>
    <n v="964828"/>
    <n v="0"/>
    <x v="1"/>
    <x v="5"/>
    <x v="9"/>
    <x v="0"/>
    <n v="0"/>
    <x v="0"/>
    <x v="0"/>
    <s v="*CB-110                                           ROJO SPOR"/>
    <e v="#N/A"/>
    <s v=""/>
  </r>
  <r>
    <x v="80"/>
    <d v="2017-08-01T00:00:00"/>
    <x v="0"/>
    <s v="SURO - SUR OCCIDENTE"/>
    <s v="DIST - DISTRIBUIDORES"/>
    <n v="1"/>
    <x v="34"/>
    <n v="1"/>
    <x v="77"/>
    <x v="1"/>
    <x v="1"/>
    <m/>
    <x v="59"/>
    <x v="34"/>
    <n v="3360504"/>
    <m/>
    <n v="964828"/>
    <n v="0"/>
    <x v="1"/>
    <x v="5"/>
    <x v="1"/>
    <x v="0"/>
    <n v="0"/>
    <x v="0"/>
    <x v="0"/>
    <s v="*CB-110 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1"/>
    <x v="23"/>
    <m/>
    <x v="59"/>
    <x v="34"/>
    <n v="3360504"/>
    <m/>
    <n v="964828"/>
    <n v="0"/>
    <x v="1"/>
    <x v="5"/>
    <x v="0"/>
    <x v="0"/>
    <n v="0"/>
    <x v="0"/>
    <x v="0"/>
    <s v="*CB-110                                           VERDE CAN"/>
    <e v="#N/A"/>
    <s v=""/>
  </r>
  <r>
    <x v="80"/>
    <d v="2017-08-01T00:00:00"/>
    <x v="0"/>
    <s v="SURO - SUR OCCIDENTE"/>
    <s v="DIST - DISTRIBUIDORES"/>
    <n v="2"/>
    <x v="34"/>
    <n v="2"/>
    <x v="77"/>
    <x v="1"/>
    <x v="14"/>
    <m/>
    <x v="59"/>
    <x v="34"/>
    <n v="3360504"/>
    <m/>
    <n v="964828"/>
    <n v="0"/>
    <x v="1"/>
    <x v="5"/>
    <x v="10"/>
    <x v="0"/>
    <n v="0"/>
    <x v="0"/>
    <x v="0"/>
    <s v="*CB-110                                           AZUL FIJI"/>
    <e v="#N/A"/>
    <s v=""/>
  </r>
  <r>
    <x v="80"/>
    <d v="2017-08-01T00:00:00"/>
    <x v="0"/>
    <s v="SURO - SUR OCCIDENTE"/>
    <s v="DIST - DISTRIBUIDORES"/>
    <n v="5"/>
    <x v="34"/>
    <n v="5"/>
    <x v="77"/>
    <x v="2"/>
    <x v="15"/>
    <m/>
    <x v="59"/>
    <x v="34"/>
    <n v="5789916"/>
    <n v="28949580"/>
    <n v="964828"/>
    <n v="0"/>
    <x v="1"/>
    <x v="5"/>
    <x v="11"/>
    <x v="0"/>
    <n v="0"/>
    <x v="0"/>
    <x v="0"/>
    <s v="*XR 150L                                          NEGRO ROJ"/>
    <e v="#N/A"/>
    <s v=""/>
  </r>
  <r>
    <x v="80"/>
    <d v="2017-08-01T00:00:00"/>
    <x v="0"/>
    <s v="SURO - SUR OCCIDENTE"/>
    <s v="DIST - DISTRIBUIDORES"/>
    <n v="4"/>
    <x v="34"/>
    <n v="4"/>
    <x v="77"/>
    <x v="2"/>
    <x v="13"/>
    <m/>
    <x v="59"/>
    <x v="34"/>
    <n v="5789916"/>
    <n v="23159664"/>
    <n v="964828"/>
    <n v="0"/>
    <x v="1"/>
    <x v="5"/>
    <x v="8"/>
    <x v="0"/>
    <n v="0"/>
    <x v="0"/>
    <x v="0"/>
    <s v="*XR 150L                                          NEGRO BLA"/>
    <e v="#N/A"/>
    <s v=""/>
  </r>
  <r>
    <x v="80"/>
    <d v="2017-08-01T00:00:00"/>
    <x v="0"/>
    <s v="SURO - SUR OCCIDENTE"/>
    <s v="DIST - DISTRIBUIDORES"/>
    <n v="3"/>
    <x v="34"/>
    <n v="3"/>
    <x v="77"/>
    <x v="2"/>
    <x v="1"/>
    <m/>
    <x v="59"/>
    <x v="34"/>
    <n v="5789916"/>
    <m/>
    <n v="964828"/>
    <n v="0"/>
    <x v="1"/>
    <x v="5"/>
    <x v="2"/>
    <x v="0"/>
    <n v="0"/>
    <x v="0"/>
    <x v="0"/>
    <s v="*XR 150L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3"/>
    <x v="2"/>
    <m/>
    <x v="59"/>
    <x v="34"/>
    <n v="7554622"/>
    <m/>
    <n v="964828"/>
    <n v="0"/>
    <x v="1"/>
    <x v="5"/>
    <x v="3"/>
    <x v="0"/>
    <n v="0"/>
    <x v="0"/>
    <x v="0"/>
    <s v="CB 190R                                           ROJO NEGR"/>
    <e v="#N/A"/>
    <s v=""/>
  </r>
  <r>
    <x v="80"/>
    <d v="2017-08-01T00:00:00"/>
    <x v="0"/>
    <s v="SURO - SUR OCCIDENTE"/>
    <s v="DIST - DISTRIBUIDORES"/>
    <n v="1"/>
    <x v="34"/>
    <n v="1"/>
    <x v="77"/>
    <x v="5"/>
    <x v="5"/>
    <m/>
    <x v="59"/>
    <x v="34"/>
    <n v="6133613"/>
    <m/>
    <n v="964828"/>
    <n v="0"/>
    <x v="1"/>
    <x v="5"/>
    <x v="2"/>
    <x v="0"/>
    <n v="0"/>
    <x v="0"/>
    <x v="0"/>
    <s v="CB 160F DLX                                       NARANJA N"/>
    <e v="#N/A"/>
    <s v=""/>
  </r>
  <r>
    <x v="80"/>
    <d v="2017-08-01T00:00:00"/>
    <x v="0"/>
    <s v="SURO - SUR OCCIDENTE"/>
    <s v="DIST - DISTRIBUIDORES"/>
    <n v="1"/>
    <x v="34"/>
    <n v="1"/>
    <x v="77"/>
    <x v="7"/>
    <x v="6"/>
    <m/>
    <x v="59"/>
    <x v="34"/>
    <n v="3941176"/>
    <m/>
    <n v="964828"/>
    <n v="0"/>
    <x v="1"/>
    <x v="5"/>
    <x v="0"/>
    <x v="0"/>
    <n v="0"/>
    <x v="0"/>
    <x v="0"/>
    <s v="WAVE 110S                                         ROJO     "/>
    <e v="#N/A"/>
    <s v=""/>
  </r>
  <r>
    <x v="80"/>
    <d v="2017-08-01T00:00:00"/>
    <x v="0"/>
    <s v="SURO - SUR OCCIDENTE"/>
    <s v="DIST - DISTRIBUIDORES"/>
    <n v="1"/>
    <x v="34"/>
    <n v="1"/>
    <x v="77"/>
    <x v="7"/>
    <x v="1"/>
    <m/>
    <x v="59"/>
    <x v="34"/>
    <n v="3941176"/>
    <m/>
    <n v="964828"/>
    <n v="0"/>
    <x v="1"/>
    <x v="5"/>
    <x v="0"/>
    <x v="0"/>
    <n v="0"/>
    <x v="0"/>
    <x v="0"/>
    <s v="WAVE 110S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7"/>
    <x v="11"/>
    <m/>
    <x v="59"/>
    <x v="34"/>
    <n v="3941176"/>
    <m/>
    <n v="964828"/>
    <n v="0"/>
    <x v="1"/>
    <x v="5"/>
    <x v="7"/>
    <x v="0"/>
    <n v="0"/>
    <x v="0"/>
    <x v="0"/>
    <s v="WAVE 110S                                         BLANCO   "/>
    <e v="#N/A"/>
    <s v=""/>
  </r>
  <r>
    <x v="80"/>
    <d v="2017-08-01T00:00:00"/>
    <x v="0"/>
    <s v="SURO - SUR OCCIDENTE"/>
    <s v="DIST - DISTRIBUIDORES"/>
    <n v="1"/>
    <x v="34"/>
    <n v="1"/>
    <x v="77"/>
    <x v="8"/>
    <x v="8"/>
    <m/>
    <x v="59"/>
    <x v="34"/>
    <n v="5453782"/>
    <m/>
    <n v="964828"/>
    <n v="0"/>
    <x v="1"/>
    <x v="5"/>
    <x v="0"/>
    <x v="0"/>
    <n v="0"/>
    <x v="0"/>
    <x v="0"/>
    <s v="CB 160F STD                                       NEGRO PER"/>
    <e v="#N/A"/>
    <s v=""/>
  </r>
  <r>
    <x v="80"/>
    <d v="2017-08-01T00:00:00"/>
    <x v="0"/>
    <s v="SURO - SUR OCCIDENTE"/>
    <s v="DIST - DISTRIBUIDORES"/>
    <n v="7"/>
    <x v="34"/>
    <n v="7"/>
    <x v="77"/>
    <x v="9"/>
    <x v="1"/>
    <m/>
    <x v="59"/>
    <x v="34"/>
    <n v="3696639"/>
    <m/>
    <n v="964828"/>
    <n v="0"/>
    <x v="1"/>
    <x v="5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9"/>
    <x v="6"/>
    <m/>
    <x v="59"/>
    <x v="34"/>
    <n v="3696639"/>
    <m/>
    <n v="964828"/>
    <n v="0"/>
    <x v="1"/>
    <x v="5"/>
    <x v="14"/>
    <x v="0"/>
    <n v="0"/>
    <x v="0"/>
    <x v="0"/>
    <s v="CB 110 DLX                                        ROJO     "/>
    <e v="#N/A"/>
    <s v=""/>
  </r>
  <r>
    <x v="80"/>
    <d v="2017-08-01T00:00:00"/>
    <x v="0"/>
    <s v="SURO - SUR OCCIDENTE"/>
    <s v="DIST - DISTRIBUIDORES"/>
    <n v="5"/>
    <x v="34"/>
    <n v="5"/>
    <x v="77"/>
    <x v="9"/>
    <x v="16"/>
    <m/>
    <x v="59"/>
    <x v="34"/>
    <n v="3696639"/>
    <m/>
    <n v="964828"/>
    <n v="0"/>
    <x v="1"/>
    <x v="5"/>
    <x v="14"/>
    <x v="0"/>
    <n v="0"/>
    <x v="0"/>
    <x v="0"/>
    <s v="CB 110 DLX                                        AZUL     "/>
    <e v="#N/A"/>
    <s v=""/>
  </r>
  <r>
    <x v="80"/>
    <d v="2017-08-01T00:00:00"/>
    <x v="0"/>
    <s v="SURO - SUR OCCIDENTE"/>
    <s v="DIST - DISTRIBUIDORES"/>
    <n v="3"/>
    <x v="34"/>
    <n v="3"/>
    <x v="77"/>
    <x v="9"/>
    <x v="17"/>
    <m/>
    <x v="59"/>
    <x v="34"/>
    <n v="3696639"/>
    <m/>
    <n v="964828"/>
    <n v="0"/>
    <x v="1"/>
    <x v="5"/>
    <x v="15"/>
    <x v="0"/>
    <n v="0"/>
    <x v="0"/>
    <x v="0"/>
    <s v="CB 110 DLX                                        GRIS     "/>
    <e v="#N/A"/>
    <s v=""/>
  </r>
  <r>
    <x v="81"/>
    <d v="2017-08-01T00:00:00"/>
    <x v="1"/>
    <s v="SURO - SUR OCCIDENTE"/>
    <s v="DIST - DISTRIBUIDORES"/>
    <n v="2"/>
    <x v="35"/>
    <n v="2"/>
    <x v="78"/>
    <x v="2"/>
    <x v="1"/>
    <m/>
    <x v="60"/>
    <x v="35"/>
    <n v="5789916"/>
    <m/>
    <n v="12300000"/>
    <n v="28000000"/>
    <x v="0"/>
    <x v="32"/>
    <x v="2"/>
    <x v="0"/>
    <n v="0"/>
    <x v="0"/>
    <x v="0"/>
    <s v="*XR 150L                                          NEGRO    "/>
    <e v="#N/A"/>
    <s v=""/>
  </r>
  <r>
    <x v="81"/>
    <d v="2017-08-01T00:00:00"/>
    <x v="1"/>
    <s v="SURO - SUR OCCIDENTE"/>
    <s v="DIST - DISTRIBUIDORES"/>
    <n v="1"/>
    <x v="35"/>
    <n v="1"/>
    <x v="78"/>
    <x v="2"/>
    <x v="13"/>
    <m/>
    <x v="60"/>
    <x v="35"/>
    <n v="5789916"/>
    <m/>
    <n v="12300000"/>
    <n v="28000000"/>
    <x v="0"/>
    <x v="32"/>
    <x v="8"/>
    <x v="0"/>
    <n v="0"/>
    <x v="0"/>
    <x v="0"/>
    <s v="*XR 150L                                          NEGRO BLA"/>
    <e v="#N/A"/>
    <s v=""/>
  </r>
  <r>
    <x v="81"/>
    <d v="2017-08-01T00:00:00"/>
    <x v="1"/>
    <s v="SURO - SUR OCCIDENTE"/>
    <s v="DIST - DISTRIBUIDORES"/>
    <n v="2"/>
    <x v="35"/>
    <n v="2"/>
    <x v="78"/>
    <x v="14"/>
    <x v="3"/>
    <m/>
    <x v="60"/>
    <x v="35"/>
    <n v="7730252"/>
    <m/>
    <n v="12300000"/>
    <n v="28000000"/>
    <x v="0"/>
    <x v="32"/>
    <x v="0"/>
    <x v="0"/>
    <n v="0"/>
    <x v="0"/>
    <x v="0"/>
    <s v="CB 190R INSTINTO R                                NEGRO ONI"/>
    <e v="#N/A"/>
    <s v=""/>
  </r>
  <r>
    <x v="81"/>
    <d v="2017-08-01T00:00:00"/>
    <x v="1"/>
    <s v="SURO - SUR OCCIDENTE"/>
    <s v="DIST - DISTRIBUIDORES"/>
    <n v="1"/>
    <x v="35"/>
    <n v="1"/>
    <x v="78"/>
    <x v="8"/>
    <x v="8"/>
    <m/>
    <x v="60"/>
    <x v="35"/>
    <n v="5453782"/>
    <m/>
    <n v="12300000"/>
    <n v="28000000"/>
    <x v="0"/>
    <x v="32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4"/>
    <x v="36"/>
    <n v="4"/>
    <x v="79"/>
    <x v="2"/>
    <x v="15"/>
    <m/>
    <x v="61"/>
    <x v="36"/>
    <n v="5789916"/>
    <n v="23159664"/>
    <n v="0"/>
    <n v="5317757"/>
    <x v="0"/>
    <x v="21"/>
    <x v="11"/>
    <x v="0"/>
    <n v="0"/>
    <x v="0"/>
    <x v="0"/>
    <s v="*XR 150L                                          NEGRO ROJ"/>
    <e v="#N/A"/>
    <s v=""/>
  </r>
  <r>
    <x v="82"/>
    <d v="2017-08-01T00:00:00"/>
    <x v="0"/>
    <s v="SURO - SUR OCCIDENTE"/>
    <s v="DIST - DISTRIBUIDORES"/>
    <n v="1"/>
    <x v="36"/>
    <n v="1"/>
    <x v="79"/>
    <x v="2"/>
    <x v="13"/>
    <m/>
    <x v="61"/>
    <x v="36"/>
    <n v="5789916"/>
    <n v="5789916"/>
    <n v="0"/>
    <n v="5317757"/>
    <x v="0"/>
    <x v="21"/>
    <x v="8"/>
    <x v="0"/>
    <n v="0"/>
    <x v="0"/>
    <x v="0"/>
    <s v="*XR 150L                                          NEGRO BLA"/>
    <e v="#N/A"/>
    <s v=""/>
  </r>
  <r>
    <x v="82"/>
    <d v="2017-08-01T00:00:00"/>
    <x v="0"/>
    <s v="SURO - SUR OCCIDENTE"/>
    <s v="DIST - DISTRIBUIDORES"/>
    <n v="1"/>
    <x v="36"/>
    <n v="1"/>
    <x v="79"/>
    <x v="8"/>
    <x v="7"/>
    <m/>
    <x v="61"/>
    <x v="36"/>
    <n v="5453782"/>
    <n v="5453782"/>
    <n v="0"/>
    <n v="5317757"/>
    <x v="0"/>
    <x v="21"/>
    <x v="0"/>
    <x v="0"/>
    <n v="0"/>
    <x v="0"/>
    <x v="0"/>
    <s v="CB 160F STD                                       ROJO SPOR"/>
    <e v="#N/A"/>
    <s v=""/>
  </r>
  <r>
    <x v="82"/>
    <d v="2017-08-01T00:00:00"/>
    <x v="0"/>
    <s v="SURO - SUR OCCIDENTE"/>
    <s v="DIST - DISTRIBUIDORES"/>
    <n v="2"/>
    <x v="36"/>
    <n v="2"/>
    <x v="79"/>
    <x v="8"/>
    <x v="8"/>
    <m/>
    <x v="61"/>
    <x v="36"/>
    <n v="5453782"/>
    <n v="10907564"/>
    <n v="0"/>
    <n v="5317757"/>
    <x v="0"/>
    <x v="21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1"/>
    <x v="36"/>
    <n v="1"/>
    <x v="79"/>
    <x v="9"/>
    <x v="1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AZUL     "/>
    <e v="#N/A"/>
    <s v=""/>
  </r>
  <r>
    <x v="82"/>
    <d v="2017-08-01T00:00:00"/>
    <x v="0"/>
    <s v="SURO - SUR OCCIDENTE"/>
    <s v="DIST - DISTRIBUIDORES"/>
    <n v="1"/>
    <x v="36"/>
    <n v="1"/>
    <x v="79"/>
    <x v="9"/>
    <x v="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ROJO     "/>
    <e v="#N/A"/>
    <s v=""/>
  </r>
  <r>
    <x v="82"/>
    <d v="2017-08-01T00:00:00"/>
    <x v="0"/>
    <s v="SURO - SUR OCCIDENTE"/>
    <s v="DIST - DISTRIBUIDORES"/>
    <n v="1"/>
    <x v="36"/>
    <n v="1"/>
    <x v="79"/>
    <x v="9"/>
    <x v="1"/>
    <m/>
    <x v="61"/>
    <x v="36"/>
    <n v="3696639"/>
    <n v="3696639"/>
    <n v="0"/>
    <n v="5317757"/>
    <x v="0"/>
    <x v="21"/>
    <x v="2"/>
    <x v="0"/>
    <n v="0"/>
    <x v="0"/>
    <x v="0"/>
    <s v="CB 110 DLX                                        NEGRO    "/>
    <e v="#N/A"/>
    <s v=""/>
  </r>
  <r>
    <x v="82"/>
    <d v="2017-08-01T00:00:00"/>
    <x v="0"/>
    <s v="SURO - SUR OCCIDENTE"/>
    <s v="DIST - DISTRIBUIDORES"/>
    <n v="2"/>
    <x v="36"/>
    <n v="2"/>
    <x v="79"/>
    <x v="9"/>
    <x v="1"/>
    <m/>
    <x v="61"/>
    <x v="36"/>
    <n v="3696639"/>
    <n v="7393278"/>
    <n v="0"/>
    <n v="5317757"/>
    <x v="0"/>
    <x v="21"/>
    <x v="2"/>
    <x v="0"/>
    <n v="0"/>
    <x v="0"/>
    <x v="0"/>
    <s v="CB 110 DLX                                        NEGRO    "/>
    <e v="#N/A"/>
    <s v=""/>
  </r>
  <r>
    <x v="83"/>
    <d v="2017-08-01T00:00:00"/>
    <x v="0"/>
    <s v="CTR - ZONA CENTRO"/>
    <s v="CONC - CONCESIONARIOS"/>
    <n v="1"/>
    <x v="9"/>
    <n v="1"/>
    <x v="26"/>
    <x v="8"/>
    <x v="7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ROJO SPOR"/>
    <e v="#N/A"/>
    <s v=""/>
  </r>
  <r>
    <x v="83"/>
    <d v="2017-08-01T00:00:00"/>
    <x v="0"/>
    <s v="CTR - ZONA CENTRO"/>
    <s v="CONC - CONCESIONARIOS"/>
    <n v="1"/>
    <x v="9"/>
    <n v="1"/>
    <x v="26"/>
    <x v="8"/>
    <x v="8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NEGRO PER"/>
    <e v="#N/A"/>
    <s v=""/>
  </r>
  <r>
    <x v="84"/>
    <d v="2017-08-01T00:00:00"/>
    <x v="0"/>
    <s v="CTR - ZONA CENTRO"/>
    <s v="DIST - DISTRIBUIDORES"/>
    <n v="1"/>
    <x v="21"/>
    <n v="1"/>
    <x v="60"/>
    <x v="8"/>
    <x v="8"/>
    <m/>
    <x v="18"/>
    <x v="21"/>
    <n v="5453782"/>
    <n v="5453782"/>
    <n v="264217093"/>
    <n v="852000000"/>
    <x v="0"/>
    <x v="12"/>
    <x v="0"/>
    <x v="0"/>
    <n v="0"/>
    <x v="0"/>
    <x v="0"/>
    <s v="CB 160F STD                                       NEGRO PER"/>
    <e v="#N/A"/>
    <s v=""/>
  </r>
  <r>
    <x v="85"/>
    <d v="2017-08-01T00:00:00"/>
    <x v="0"/>
    <s v="CTR - ZONA CENTRO"/>
    <s v="CONC - CONCESIONARIOS"/>
    <n v="1"/>
    <x v="9"/>
    <n v="1"/>
    <x v="28"/>
    <x v="8"/>
    <x v="8"/>
    <m/>
    <x v="19"/>
    <x v="9"/>
    <n v="5453782"/>
    <n v="5453782"/>
    <n v="281000000"/>
    <n v="0"/>
    <x v="0"/>
    <x v="13"/>
    <x v="0"/>
    <x v="0"/>
    <n v="0"/>
    <x v="0"/>
    <x v="0"/>
    <s v="CB 160F STD                                       NEGRO PER"/>
    <e v="#N/A"/>
    <s v=""/>
  </r>
  <r>
    <x v="86"/>
    <d v="2017-08-01T00:00:00"/>
    <x v="0"/>
    <s v="CTR - ZONA CENTRO"/>
    <s v="DIST - DISTRIBUIDORES"/>
    <n v="2"/>
    <x v="17"/>
    <n v="2"/>
    <x v="47"/>
    <x v="2"/>
    <x v="15"/>
    <m/>
    <x v="36"/>
    <x v="17"/>
    <n v="5789916"/>
    <n v="11579832"/>
    <n v="45693960"/>
    <n v="0"/>
    <x v="0"/>
    <x v="11"/>
    <x v="11"/>
    <x v="0"/>
    <n v="0"/>
    <x v="0"/>
    <x v="0"/>
    <s v="*XR 150L                                          NEGRO ROJ"/>
    <e v="#N/A"/>
    <s v=""/>
  </r>
  <r>
    <x v="86"/>
    <d v="2017-08-01T00:00:00"/>
    <x v="0"/>
    <s v="CTR - ZONA CENTRO"/>
    <s v="DIST - DISTRIBUIDORES"/>
    <n v="3"/>
    <x v="17"/>
    <n v="3"/>
    <x v="47"/>
    <x v="2"/>
    <x v="1"/>
    <m/>
    <x v="36"/>
    <x v="17"/>
    <n v="5789916"/>
    <n v="17369748"/>
    <n v="45693960"/>
    <n v="0"/>
    <x v="0"/>
    <x v="11"/>
    <x v="2"/>
    <x v="0"/>
    <n v="0"/>
    <x v="0"/>
    <x v="0"/>
    <s v="*XR 150L                                          NEGRO    "/>
    <e v="#N/A"/>
    <s v=""/>
  </r>
  <r>
    <x v="86"/>
    <d v="2017-08-01T00:00:00"/>
    <x v="0"/>
    <s v="CTR - ZONA CENTRO"/>
    <s v="DIST - DISTRIBUIDORES"/>
    <n v="4"/>
    <x v="17"/>
    <n v="4"/>
    <x v="47"/>
    <x v="9"/>
    <x v="17"/>
    <m/>
    <x v="36"/>
    <x v="17"/>
    <n v="3696639"/>
    <n v="14786556"/>
    <n v="45693960"/>
    <n v="0"/>
    <x v="0"/>
    <x v="11"/>
    <x v="15"/>
    <x v="0"/>
    <n v="0"/>
    <x v="0"/>
    <x v="0"/>
    <s v="CB 110 DLX                                        GRIS     "/>
    <e v="#N/A"/>
    <s v=""/>
  </r>
  <r>
    <x v="86"/>
    <d v="2017-08-01T00:00:00"/>
    <x v="0"/>
    <s v="CTR - ZONA CENTRO"/>
    <s v="DIST - DISTRIBUIDORES"/>
    <n v="4"/>
    <x v="17"/>
    <n v="4"/>
    <x v="47"/>
    <x v="9"/>
    <x v="1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AZUL     "/>
    <e v="#N/A"/>
    <s v=""/>
  </r>
  <r>
    <x v="86"/>
    <d v="2017-08-01T00:00:00"/>
    <x v="0"/>
    <s v="CTR - ZONA CENTRO"/>
    <s v="DIST - DISTRIBUIDORES"/>
    <n v="4"/>
    <x v="17"/>
    <n v="4"/>
    <x v="47"/>
    <x v="9"/>
    <x v="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ROJO     "/>
    <e v="#N/A"/>
    <s v=""/>
  </r>
  <r>
    <x v="87"/>
    <d v="2017-08-01T00:00:00"/>
    <x v="0"/>
    <s v="CTR - ZONA CENTRO"/>
    <s v="DIST - DISTRIBUIDORES"/>
    <n v="1"/>
    <x v="21"/>
    <n v="1"/>
    <x v="50"/>
    <x v="8"/>
    <x v="7"/>
    <m/>
    <x v="38"/>
    <x v="21"/>
    <n v="5453782"/>
    <n v="5453782"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88"/>
    <d v="2017-08-01T00:00:00"/>
    <x v="0"/>
    <s v="CTR - ZONA CENTRO"/>
    <s v="CONC - CONCESIONARIOS"/>
    <n v="1"/>
    <x v="9"/>
    <n v="1"/>
    <x v="21"/>
    <x v="8"/>
    <x v="8"/>
    <m/>
    <x v="15"/>
    <x v="9"/>
    <n v="5453782"/>
    <n v="5453782"/>
    <n v="281000000"/>
    <n v="0"/>
    <x v="0"/>
    <x v="11"/>
    <x v="0"/>
    <x v="0"/>
    <n v="0"/>
    <x v="0"/>
    <x v="0"/>
    <s v="CB 160F STD                                       NEGRO PER"/>
    <e v="#N/A"/>
    <s v=""/>
  </r>
  <r>
    <x v="89"/>
    <d v="2017-08-01T00:00:00"/>
    <x v="1"/>
    <s v="NTE - ZONA NORTE"/>
    <s v="DIST - DISTRIBUIDORES"/>
    <n v="1"/>
    <x v="37"/>
    <n v="1"/>
    <x v="80"/>
    <x v="0"/>
    <x v="1"/>
    <m/>
    <x v="62"/>
    <x v="37"/>
    <n v="11496063"/>
    <n v="11496063"/>
    <n v="15854000"/>
    <n v="0"/>
    <x v="0"/>
    <x v="33"/>
    <x v="0"/>
    <x v="0"/>
    <n v="0"/>
    <x v="0"/>
    <x v="0"/>
    <s v="*XR-250 TORNADO pt MD34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2"/>
    <x v="15"/>
    <m/>
    <x v="62"/>
    <x v="37"/>
    <n v="5789916"/>
    <n v="5789916"/>
    <n v="15854000"/>
    <n v="0"/>
    <x v="0"/>
    <x v="33"/>
    <x v="11"/>
    <x v="0"/>
    <n v="0"/>
    <x v="0"/>
    <x v="0"/>
    <s v="*XR 150L                                          NEGRO ROJ"/>
    <e v="#N/A"/>
    <s v=""/>
  </r>
  <r>
    <x v="89"/>
    <d v="2017-08-01T00:00:00"/>
    <x v="1"/>
    <s v="NTE - ZONA NORTE"/>
    <s v="DIST - DISTRIBUIDORES"/>
    <n v="1"/>
    <x v="37"/>
    <n v="1"/>
    <x v="80"/>
    <x v="2"/>
    <x v="13"/>
    <m/>
    <x v="62"/>
    <x v="37"/>
    <n v="5789916"/>
    <n v="5789916"/>
    <n v="15854000"/>
    <n v="0"/>
    <x v="0"/>
    <x v="33"/>
    <x v="8"/>
    <x v="0"/>
    <n v="0"/>
    <x v="0"/>
    <x v="0"/>
    <s v="*XR 150L                                          NEGRO BLA"/>
    <e v="#N/A"/>
    <s v=""/>
  </r>
  <r>
    <x v="89"/>
    <d v="2017-08-01T00:00:00"/>
    <x v="1"/>
    <s v="NTE - ZONA NORTE"/>
    <s v="DIST - DISTRIBUIDORES"/>
    <n v="1"/>
    <x v="37"/>
    <n v="1"/>
    <x v="80"/>
    <x v="2"/>
    <x v="1"/>
    <m/>
    <x v="62"/>
    <x v="37"/>
    <n v="5789916"/>
    <n v="5789916"/>
    <n v="15854000"/>
    <n v="0"/>
    <x v="0"/>
    <x v="33"/>
    <x v="2"/>
    <x v="0"/>
    <n v="0"/>
    <x v="0"/>
    <x v="0"/>
    <s v="*XR 150L               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5"/>
    <x v="7"/>
    <m/>
    <x v="62"/>
    <x v="37"/>
    <n v="6133613"/>
    <n v="6133613"/>
    <n v="15854000"/>
    <n v="0"/>
    <x v="0"/>
    <x v="33"/>
    <x v="13"/>
    <x v="0"/>
    <n v="0"/>
    <x v="0"/>
    <x v="0"/>
    <s v="CB 160F DLX                                       ROJO SPOR"/>
    <e v="#N/A"/>
    <s v=""/>
  </r>
  <r>
    <x v="89"/>
    <d v="2017-08-01T00:00:00"/>
    <x v="1"/>
    <s v="NTE - ZONA NORTE"/>
    <s v="DIST - DISTRIBUIDORES"/>
    <n v="1"/>
    <x v="37"/>
    <n v="1"/>
    <x v="80"/>
    <x v="9"/>
    <x v="6"/>
    <m/>
    <x v="62"/>
    <x v="37"/>
    <n v="3696639"/>
    <n v="3696639"/>
    <n v="15854000"/>
    <n v="0"/>
    <x v="0"/>
    <x v="33"/>
    <x v="14"/>
    <x v="0"/>
    <n v="0"/>
    <x v="0"/>
    <x v="0"/>
    <s v="CB 110 DLX                                        ROJO     "/>
    <e v="#N/A"/>
    <s v=""/>
  </r>
  <r>
    <x v="90"/>
    <d v="2017-08-01T00:00:00"/>
    <x v="0"/>
    <s v="NTE - ZONA NORTE"/>
    <s v="DIST - DISTRIBUIDORES"/>
    <n v="2"/>
    <x v="38"/>
    <n v="2"/>
    <x v="81"/>
    <x v="2"/>
    <x v="15"/>
    <m/>
    <x v="63"/>
    <x v="38"/>
    <n v="5789916"/>
    <n v="11579832"/>
    <n v="183847"/>
    <n v="0"/>
    <x v="1"/>
    <x v="26"/>
    <x v="11"/>
    <x v="0"/>
    <n v="0"/>
    <x v="0"/>
    <x v="0"/>
    <s v="*XR 150L                                          NEGRO ROJ"/>
    <e v="#N/A"/>
    <s v=""/>
  </r>
  <r>
    <x v="90"/>
    <d v="2017-08-01T00:00:00"/>
    <x v="0"/>
    <s v="NTE - ZONA NORTE"/>
    <s v="DIST - DISTRIBUIDORES"/>
    <n v="2"/>
    <x v="38"/>
    <n v="2"/>
    <x v="81"/>
    <x v="2"/>
    <x v="13"/>
    <m/>
    <x v="63"/>
    <x v="38"/>
    <n v="5789916"/>
    <n v="11579832"/>
    <n v="183847"/>
    <n v="0"/>
    <x v="1"/>
    <x v="26"/>
    <x v="8"/>
    <x v="0"/>
    <n v="0"/>
    <x v="0"/>
    <x v="0"/>
    <s v="*XR 150L                                          NEGRO BLA"/>
    <e v="#N/A"/>
    <s v=""/>
  </r>
  <r>
    <x v="90"/>
    <d v="2017-08-01T00:00:00"/>
    <x v="0"/>
    <s v="NTE - ZONA NORTE"/>
    <s v="DIST - DISTRIBUIDORES"/>
    <n v="2"/>
    <x v="38"/>
    <n v="2"/>
    <x v="81"/>
    <x v="2"/>
    <x v="1"/>
    <m/>
    <x v="63"/>
    <x v="38"/>
    <n v="5789916"/>
    <n v="11579832"/>
    <n v="183847"/>
    <n v="0"/>
    <x v="1"/>
    <x v="26"/>
    <x v="2"/>
    <x v="0"/>
    <n v="0"/>
    <x v="0"/>
    <x v="0"/>
    <s v="*XR 150L                                          NEGRO    "/>
    <e v="#N/A"/>
    <s v=""/>
  </r>
  <r>
    <x v="90"/>
    <d v="2017-08-01T00:00:00"/>
    <x v="0"/>
    <s v="NTE - ZONA NORTE"/>
    <s v="DIST - DISTRIBUIDORES"/>
    <n v="1"/>
    <x v="38"/>
    <n v="1"/>
    <x v="81"/>
    <x v="3"/>
    <x v="2"/>
    <m/>
    <x v="63"/>
    <x v="38"/>
    <n v="7554622"/>
    <n v="7554622"/>
    <n v="183847"/>
    <n v="0"/>
    <x v="1"/>
    <x v="26"/>
    <x v="3"/>
    <x v="0"/>
    <n v="0"/>
    <x v="0"/>
    <x v="0"/>
    <s v="CB 190R                                           ROJO NEGR"/>
    <e v="#N/A"/>
    <s v=""/>
  </r>
  <r>
    <x v="91"/>
    <d v="2017-08-01T00:00:00"/>
    <x v="1"/>
    <s v="NTE - ZONA NORTE"/>
    <s v="DIST - DISTRIBUIDORES"/>
    <n v="1"/>
    <x v="39"/>
    <n v="1"/>
    <x v="82"/>
    <x v="3"/>
    <x v="3"/>
    <m/>
    <x v="64"/>
    <x v="39"/>
    <n v="7554622"/>
    <n v="7554622"/>
    <n v="5189000"/>
    <n v="159000000"/>
    <x v="0"/>
    <x v="16"/>
    <x v="0"/>
    <x v="0"/>
    <n v="0"/>
    <x v="0"/>
    <x v="0"/>
    <s v="CB 190R                                           NEGRO ONI"/>
    <e v="#N/A"/>
    <s v=""/>
  </r>
  <r>
    <x v="91"/>
    <d v="2017-08-01T00:00:00"/>
    <x v="1"/>
    <s v="NTE - ZONA NORTE"/>
    <s v="DIST - DISTRIBUIDORES"/>
    <n v="5"/>
    <x v="39"/>
    <n v="5"/>
    <x v="82"/>
    <x v="11"/>
    <x v="13"/>
    <m/>
    <x v="64"/>
    <x v="39"/>
    <n v="3521008"/>
    <n v="17605040"/>
    <n v="5189000"/>
    <n v="159000000"/>
    <x v="0"/>
    <x v="16"/>
    <x v="12"/>
    <x v="0"/>
    <n v="0"/>
    <x v="0"/>
    <x v="0"/>
    <s v="DIO 110                                           NEGRO BLA"/>
    <e v="#N/A"/>
    <s v=""/>
  </r>
  <r>
    <x v="91"/>
    <d v="2017-08-01T00:00:00"/>
    <x v="1"/>
    <s v="NTE - ZONA NORTE"/>
    <s v="DIST - DISTRIBUIDORES"/>
    <n v="4"/>
    <x v="39"/>
    <n v="4"/>
    <x v="82"/>
    <x v="6"/>
    <x v="0"/>
    <m/>
    <x v="64"/>
    <x v="39"/>
    <n v="3521008"/>
    <n v="14084032"/>
    <n v="5189000"/>
    <n v="159000000"/>
    <x v="0"/>
    <x v="16"/>
    <x v="7"/>
    <x v="0"/>
    <n v="0"/>
    <x v="0"/>
    <x v="0"/>
    <s v="DIO  110                                          BLANCO NE"/>
    <e v="#N/A"/>
    <s v=""/>
  </r>
  <r>
    <x v="91"/>
    <d v="2017-08-01T00:00:00"/>
    <x v="1"/>
    <s v="NTE - ZONA NORTE"/>
    <s v="DIST - DISTRIBUIDORES"/>
    <n v="6"/>
    <x v="39"/>
    <n v="6"/>
    <x v="82"/>
    <x v="6"/>
    <x v="6"/>
    <m/>
    <x v="64"/>
    <x v="39"/>
    <n v="3521008"/>
    <n v="21126048"/>
    <n v="5189000"/>
    <n v="159000000"/>
    <x v="0"/>
    <x v="16"/>
    <x v="0"/>
    <x v="0"/>
    <n v="0"/>
    <x v="0"/>
    <x v="0"/>
    <s v="DIO  110                                          ROJO     "/>
    <e v="#N/A"/>
    <s v=""/>
  </r>
  <r>
    <x v="91"/>
    <d v="2017-08-01T00:00:00"/>
    <x v="1"/>
    <s v="NTE - ZONA NORTE"/>
    <s v="DIST - DISTRIBUIDORES"/>
    <n v="5"/>
    <x v="39"/>
    <n v="5"/>
    <x v="82"/>
    <x v="6"/>
    <x v="16"/>
    <m/>
    <x v="64"/>
    <x v="39"/>
    <n v="3521008"/>
    <n v="17605040"/>
    <n v="5189000"/>
    <n v="159000000"/>
    <x v="0"/>
    <x v="16"/>
    <x v="0"/>
    <x v="0"/>
    <n v="0"/>
    <x v="0"/>
    <x v="0"/>
    <s v="DIO  110  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10"/>
    <x v="15"/>
    <m/>
    <x v="64"/>
    <x v="39"/>
    <n v="3067227"/>
    <n v="3067227"/>
    <n v="5189000"/>
    <n v="159000000"/>
    <x v="0"/>
    <x v="16"/>
    <x v="0"/>
    <x v="0"/>
    <n v="0"/>
    <x v="0"/>
    <x v="0"/>
    <s v="DREAM  NEO                                        NEGRO ROJ"/>
    <e v="#N/A"/>
    <s v=""/>
  </r>
  <r>
    <x v="91"/>
    <d v="2017-08-01T00:00:00"/>
    <x v="1"/>
    <s v="NTE - ZONA NORTE"/>
    <s v="DIST - DISTRIBUIDORES"/>
    <n v="1"/>
    <x v="39"/>
    <n v="1"/>
    <x v="82"/>
    <x v="9"/>
    <x v="16"/>
    <m/>
    <x v="64"/>
    <x v="39"/>
    <n v="3696639"/>
    <n v="3696639"/>
    <n v="5189000"/>
    <n v="159000000"/>
    <x v="0"/>
    <x v="16"/>
    <x v="14"/>
    <x v="0"/>
    <n v="0"/>
    <x v="0"/>
    <x v="0"/>
    <s v="CB 110 DLX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9"/>
    <x v="1"/>
    <m/>
    <x v="64"/>
    <x v="39"/>
    <n v="3696639"/>
    <n v="3696639"/>
    <n v="5189000"/>
    <n v="159000000"/>
    <x v="0"/>
    <x v="16"/>
    <x v="2"/>
    <x v="0"/>
    <n v="0"/>
    <x v="0"/>
    <x v="0"/>
    <s v="CB 110 DLX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2"/>
    <x v="15"/>
    <m/>
    <x v="60"/>
    <x v="40"/>
    <n v="5789916"/>
    <n v="5789916"/>
    <n v="20554809"/>
    <n v="0"/>
    <x v="0"/>
    <x v="34"/>
    <x v="11"/>
    <x v="0"/>
    <n v="0"/>
    <x v="0"/>
    <x v="0"/>
    <s v="*XR 150L                                          NEGRO ROJ"/>
    <e v="#N/A"/>
    <s v=""/>
  </r>
  <r>
    <x v="92"/>
    <d v="2017-08-01T00:00:00"/>
    <x v="0"/>
    <s v="NTE - ZONA NORTE"/>
    <s v="DIST - DISTRIBUIDORES"/>
    <n v="1"/>
    <x v="40"/>
    <n v="1"/>
    <x v="83"/>
    <x v="2"/>
    <x v="13"/>
    <m/>
    <x v="60"/>
    <x v="40"/>
    <n v="5789916"/>
    <n v="5789916"/>
    <n v="20554809"/>
    <n v="0"/>
    <x v="0"/>
    <x v="34"/>
    <x v="8"/>
    <x v="0"/>
    <n v="0"/>
    <x v="0"/>
    <x v="0"/>
    <s v="*XR 150L                                          NEGRO BLA"/>
    <e v="#N/A"/>
    <s v=""/>
  </r>
  <r>
    <x v="92"/>
    <d v="2017-08-01T00:00:00"/>
    <x v="0"/>
    <s v="NTE - ZONA NORTE"/>
    <s v="DIST - DISTRIBUIDORES"/>
    <n v="1"/>
    <x v="40"/>
    <n v="1"/>
    <x v="83"/>
    <x v="2"/>
    <x v="1"/>
    <m/>
    <x v="60"/>
    <x v="40"/>
    <n v="5789916"/>
    <n v="5789916"/>
    <n v="20554809"/>
    <n v="0"/>
    <x v="0"/>
    <x v="34"/>
    <x v="2"/>
    <x v="0"/>
    <n v="0"/>
    <x v="0"/>
    <x v="0"/>
    <s v="*XR 150L 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5"/>
    <x v="5"/>
    <m/>
    <x v="60"/>
    <x v="40"/>
    <n v="6133613"/>
    <n v="6133613"/>
    <n v="20554809"/>
    <n v="0"/>
    <x v="0"/>
    <x v="34"/>
    <x v="2"/>
    <x v="0"/>
    <n v="0"/>
    <x v="0"/>
    <x v="0"/>
    <s v="CB 160F DLX                                       NARANJA N"/>
    <e v="#N/A"/>
    <s v=""/>
  </r>
  <r>
    <x v="92"/>
    <d v="2017-08-01T00:00:00"/>
    <x v="0"/>
    <s v="NTE - ZONA NORTE"/>
    <s v="DIST - DISTRIBUIDORES"/>
    <n v="1"/>
    <x v="40"/>
    <n v="1"/>
    <x v="83"/>
    <x v="5"/>
    <x v="7"/>
    <m/>
    <x v="60"/>
    <x v="40"/>
    <n v="6133613"/>
    <n v="6133613"/>
    <n v="20554809"/>
    <n v="0"/>
    <x v="0"/>
    <x v="34"/>
    <x v="13"/>
    <x v="0"/>
    <n v="0"/>
    <x v="0"/>
    <x v="0"/>
    <s v="CB 160F DLX                                       ROJO SPOR"/>
    <e v="#N/A"/>
    <s v=""/>
  </r>
  <r>
    <x v="92"/>
    <d v="2017-08-01T00:00:00"/>
    <x v="0"/>
    <s v="NTE - ZONA NORTE"/>
    <s v="DIST - DISTRIBUIDORES"/>
    <n v="1"/>
    <x v="40"/>
    <n v="1"/>
    <x v="83"/>
    <x v="5"/>
    <x v="8"/>
    <m/>
    <x v="60"/>
    <x v="40"/>
    <n v="6133613"/>
    <n v="6133613"/>
    <n v="20554809"/>
    <n v="0"/>
    <x v="0"/>
    <x v="34"/>
    <x v="0"/>
    <x v="0"/>
    <n v="0"/>
    <x v="0"/>
    <x v="0"/>
    <s v="CB 160F DLX                                       NEGRO PER"/>
    <e v="#N/A"/>
    <s v=""/>
  </r>
  <r>
    <x v="92"/>
    <d v="2017-08-01T00:00:00"/>
    <x v="0"/>
    <s v="NTE - ZONA NORTE"/>
    <s v="DIST - DISTRIBUIDORES"/>
    <n v="1"/>
    <x v="40"/>
    <n v="1"/>
    <x v="83"/>
    <x v="7"/>
    <x v="1"/>
    <m/>
    <x v="60"/>
    <x v="40"/>
    <n v="3941176"/>
    <n v="3941176"/>
    <n v="20554809"/>
    <n v="0"/>
    <x v="0"/>
    <x v="34"/>
    <x v="0"/>
    <x v="0"/>
    <n v="0"/>
    <x v="0"/>
    <x v="0"/>
    <s v="WAVE 110S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9"/>
    <x v="1"/>
    <m/>
    <x v="60"/>
    <x v="40"/>
    <n v="3696639"/>
    <n v="3696639"/>
    <n v="20554809"/>
    <n v="0"/>
    <x v="0"/>
    <x v="34"/>
    <x v="2"/>
    <x v="0"/>
    <n v="0"/>
    <x v="0"/>
    <x v="0"/>
    <s v="CB 110 DLX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15"/>
    <x v="1"/>
    <m/>
    <x v="65"/>
    <x v="41"/>
    <n v="4109244"/>
    <m/>
    <n v="0"/>
    <n v="4493289"/>
    <x v="0"/>
    <x v="24"/>
    <x v="18"/>
    <x v="0"/>
    <n v="0"/>
    <x v="0"/>
    <x v="0"/>
    <s v="*WAVE 110                                         NEGRO    "/>
    <e v="#N/A"/>
    <s v=""/>
  </r>
  <r>
    <x v="93"/>
    <d v="2017-08-01T00:00:00"/>
    <x v="1"/>
    <s v="NTE - ZONA NORTE"/>
    <s v="DIST - DISTRIBUIDORES"/>
    <n v="3"/>
    <x v="41"/>
    <n v="3"/>
    <x v="84"/>
    <x v="2"/>
    <x v="15"/>
    <m/>
    <x v="65"/>
    <x v="41"/>
    <n v="5789916"/>
    <n v="17369748"/>
    <n v="0"/>
    <n v="4493289"/>
    <x v="0"/>
    <x v="24"/>
    <x v="11"/>
    <x v="0"/>
    <n v="0"/>
    <x v="0"/>
    <x v="0"/>
    <s v="*XR 150L                                          NEGRO ROJ"/>
    <e v="#N/A"/>
    <s v=""/>
  </r>
  <r>
    <x v="93"/>
    <d v="2017-08-01T00:00:00"/>
    <x v="1"/>
    <s v="NTE - ZONA NORTE"/>
    <s v="DIST - DISTRIBUIDORES"/>
    <n v="4"/>
    <x v="41"/>
    <n v="4"/>
    <x v="84"/>
    <x v="2"/>
    <x v="13"/>
    <m/>
    <x v="65"/>
    <x v="41"/>
    <n v="5789916"/>
    <n v="23159664"/>
    <n v="0"/>
    <n v="4493289"/>
    <x v="0"/>
    <x v="24"/>
    <x v="8"/>
    <x v="0"/>
    <n v="0"/>
    <x v="0"/>
    <x v="0"/>
    <s v="*XR 150L                                          NEGRO BLA"/>
    <e v="#N/A"/>
    <s v=""/>
  </r>
  <r>
    <x v="93"/>
    <d v="2017-08-01T00:00:00"/>
    <x v="1"/>
    <s v="NTE - ZONA NORTE"/>
    <s v="DIST - DISTRIBUIDORES"/>
    <n v="4"/>
    <x v="41"/>
    <n v="4"/>
    <x v="84"/>
    <x v="2"/>
    <x v="1"/>
    <m/>
    <x v="65"/>
    <x v="41"/>
    <n v="5789916"/>
    <n v="23159664"/>
    <n v="0"/>
    <n v="4493289"/>
    <x v="0"/>
    <x v="24"/>
    <x v="2"/>
    <x v="0"/>
    <n v="0"/>
    <x v="0"/>
    <x v="0"/>
    <s v="*XR 150L                                          NEGRO    "/>
    <e v="#N/A"/>
    <s v=""/>
  </r>
  <r>
    <x v="93"/>
    <d v="2017-08-01T00:00:00"/>
    <x v="1"/>
    <s v="NTE - ZONA NORTE"/>
    <s v="DIST - DISTRIBUIDORES"/>
    <n v="2"/>
    <x v="41"/>
    <n v="2"/>
    <x v="84"/>
    <x v="11"/>
    <x v="13"/>
    <m/>
    <x v="65"/>
    <x v="41"/>
    <n v="3521008"/>
    <n v="7042016"/>
    <n v="0"/>
    <n v="4493289"/>
    <x v="0"/>
    <x v="24"/>
    <x v="12"/>
    <x v="0"/>
    <n v="0"/>
    <x v="0"/>
    <x v="0"/>
    <s v="DIO 110                                           NEGRO BLA"/>
    <e v="#N/A"/>
    <s v=""/>
  </r>
  <r>
    <x v="93"/>
    <d v="2017-08-01T00:00:00"/>
    <x v="1"/>
    <s v="NTE - ZONA NORTE"/>
    <s v="DIST - DISTRIBUIDORES"/>
    <n v="1"/>
    <x v="41"/>
    <n v="1"/>
    <x v="84"/>
    <x v="6"/>
    <x v="6"/>
    <m/>
    <x v="65"/>
    <x v="41"/>
    <n v="3521008"/>
    <n v="3521008"/>
    <n v="0"/>
    <n v="4493289"/>
    <x v="0"/>
    <x v="24"/>
    <x v="0"/>
    <x v="0"/>
    <n v="0"/>
    <x v="0"/>
    <x v="0"/>
    <s v="DIO  110 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10"/>
    <x v="12"/>
    <m/>
    <x v="65"/>
    <x v="41"/>
    <n v="3067227"/>
    <n v="3067227"/>
    <n v="0"/>
    <n v="4493289"/>
    <x v="0"/>
    <x v="24"/>
    <x v="0"/>
    <x v="0"/>
    <n v="0"/>
    <x v="0"/>
    <x v="0"/>
    <s v="DREAM  NEO                                        ROJO ALFA"/>
    <e v="#N/A"/>
    <s v=""/>
  </r>
  <r>
    <x v="93"/>
    <d v="2017-08-01T00:00:00"/>
    <x v="1"/>
    <s v="NTE - ZONA NORTE"/>
    <s v="DIST - DISTRIBUIDORES"/>
    <n v="1"/>
    <x v="41"/>
    <n v="1"/>
    <x v="84"/>
    <x v="7"/>
    <x v="1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7"/>
    <x v="6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9"/>
    <x v="1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AZUL     "/>
    <e v="#N/A"/>
    <s v=""/>
  </r>
  <r>
    <x v="93"/>
    <d v="2017-08-01T00:00:00"/>
    <x v="1"/>
    <s v="NTE - ZONA NORTE"/>
    <s v="DIST - DISTRIBUIDORES"/>
    <n v="1"/>
    <x v="41"/>
    <n v="1"/>
    <x v="84"/>
    <x v="9"/>
    <x v="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ROJO     "/>
    <e v="#N/A"/>
    <s v=""/>
  </r>
  <r>
    <x v="93"/>
    <d v="2017-08-01T00:00:00"/>
    <x v="1"/>
    <s v="NTE - ZONA NORTE"/>
    <s v="DIST - DISTRIBUIDORES"/>
    <n v="3"/>
    <x v="41"/>
    <n v="3"/>
    <x v="84"/>
    <x v="9"/>
    <x v="1"/>
    <m/>
    <x v="65"/>
    <x v="41"/>
    <n v="3696639"/>
    <n v="11089917"/>
    <n v="0"/>
    <n v="4493289"/>
    <x v="0"/>
    <x v="24"/>
    <x v="2"/>
    <x v="0"/>
    <n v="0"/>
    <x v="0"/>
    <x v="0"/>
    <s v="CB 110 DLX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2"/>
    <x v="19"/>
    <m/>
    <x v="66"/>
    <x v="42"/>
    <n v="3588235"/>
    <m/>
    <n v="16000000"/>
    <n v="12000000"/>
    <x v="0"/>
    <x v="24"/>
    <x v="16"/>
    <x v="0"/>
    <n v="0"/>
    <x v="0"/>
    <x v="0"/>
    <s v="*CB1 PRO                                          PEARL PRO"/>
    <e v="#N/A"/>
    <s v=""/>
  </r>
  <r>
    <x v="94"/>
    <d v="2017-08-01T00:00:00"/>
    <x v="1"/>
    <s v="NTE - ZONA NORTE"/>
    <s v="DIST - DISTRIBUIDORES"/>
    <n v="3"/>
    <x v="42"/>
    <n v="3"/>
    <x v="85"/>
    <x v="2"/>
    <x v="15"/>
    <m/>
    <x v="66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4"/>
    <d v="2017-08-01T00:00:00"/>
    <x v="1"/>
    <s v="NTE - ZONA NORTE"/>
    <s v="DIST - DISTRIBUIDORES"/>
    <n v="3"/>
    <x v="42"/>
    <n v="3"/>
    <x v="85"/>
    <x v="2"/>
    <x v="13"/>
    <m/>
    <x v="66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4"/>
    <d v="2017-08-01T00:00:00"/>
    <x v="1"/>
    <s v="NTE - ZONA NORTE"/>
    <s v="DIST - DISTRIBUIDORES"/>
    <n v="4"/>
    <x v="42"/>
    <n v="4"/>
    <x v="85"/>
    <x v="2"/>
    <x v="1"/>
    <m/>
    <x v="66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1"/>
    <x v="13"/>
    <m/>
    <x v="66"/>
    <x v="42"/>
    <n v="3521008"/>
    <m/>
    <n v="16000000"/>
    <n v="12000000"/>
    <x v="0"/>
    <x v="24"/>
    <x v="12"/>
    <x v="0"/>
    <n v="0"/>
    <x v="0"/>
    <x v="0"/>
    <s v="DIO 110                                           NEGRO BLA"/>
    <e v="#N/A"/>
    <s v=""/>
  </r>
  <r>
    <x v="94"/>
    <d v="2017-08-01T00:00:00"/>
    <x v="1"/>
    <s v="NTE - ZONA NORTE"/>
    <s v="DIST - DISTRIBUIDORES"/>
    <n v="1"/>
    <x v="42"/>
    <n v="1"/>
    <x v="85"/>
    <x v="5"/>
    <x v="8"/>
    <m/>
    <x v="66"/>
    <x v="42"/>
    <n v="6133613"/>
    <m/>
    <n v="16000000"/>
    <n v="12000000"/>
    <x v="0"/>
    <x v="24"/>
    <x v="0"/>
    <x v="0"/>
    <n v="0"/>
    <x v="0"/>
    <x v="0"/>
    <s v="CB 160F DLX                                       NEGRO PER"/>
    <e v="#N/A"/>
    <s v=""/>
  </r>
  <r>
    <x v="94"/>
    <d v="2017-08-01T00:00:00"/>
    <x v="1"/>
    <s v="NTE - ZONA NORTE"/>
    <s v="DIST - DISTRIBUIDORES"/>
    <n v="1"/>
    <x v="42"/>
    <n v="1"/>
    <x v="85"/>
    <x v="7"/>
    <x v="11"/>
    <m/>
    <x v="66"/>
    <x v="42"/>
    <n v="3941176"/>
    <m/>
    <n v="16000000"/>
    <n v="12000000"/>
    <x v="0"/>
    <x v="24"/>
    <x v="7"/>
    <x v="0"/>
    <n v="0"/>
    <x v="0"/>
    <x v="0"/>
    <s v="WAVE 110S                                         BLANCO   "/>
    <e v="#N/A"/>
    <s v=""/>
  </r>
  <r>
    <x v="94"/>
    <d v="2017-08-01T00:00:00"/>
    <x v="1"/>
    <s v="NTE - ZONA NORTE"/>
    <s v="DIST - DISTRIBUIDORES"/>
    <n v="2"/>
    <x v="42"/>
    <n v="2"/>
    <x v="85"/>
    <x v="9"/>
    <x v="17"/>
    <m/>
    <x v="66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4"/>
    <d v="2017-08-01T00:00:00"/>
    <x v="1"/>
    <s v="NTE - ZONA NORTE"/>
    <s v="DIST - DISTRIBUIDORES"/>
    <n v="3"/>
    <x v="42"/>
    <n v="3"/>
    <x v="85"/>
    <x v="9"/>
    <x v="1"/>
    <m/>
    <x v="66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5"/>
    <d v="2017-08-01T00:00:00"/>
    <x v="1"/>
    <s v="NTE - ZONA NORTE"/>
    <s v="DIST - DISTRIBUIDORES"/>
    <n v="3"/>
    <x v="42"/>
    <n v="3"/>
    <x v="85"/>
    <x v="2"/>
    <x v="15"/>
    <m/>
    <x v="67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5"/>
    <d v="2017-08-01T00:00:00"/>
    <x v="1"/>
    <s v="NTE - ZONA NORTE"/>
    <s v="DIST - DISTRIBUIDORES"/>
    <n v="2"/>
    <x v="42"/>
    <n v="2"/>
    <x v="85"/>
    <x v="2"/>
    <x v="13"/>
    <m/>
    <x v="67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5"/>
    <d v="2017-08-01T00:00:00"/>
    <x v="1"/>
    <s v="NTE - ZONA NORTE"/>
    <s v="DIST - DISTRIBUIDORES"/>
    <n v="3"/>
    <x v="42"/>
    <n v="3"/>
    <x v="85"/>
    <x v="2"/>
    <x v="1"/>
    <m/>
    <x v="67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5"/>
    <d v="2017-08-01T00:00:00"/>
    <x v="1"/>
    <s v="NTE - ZONA NORTE"/>
    <s v="DIST - DISTRIBUIDORES"/>
    <n v="1"/>
    <x v="42"/>
    <n v="1"/>
    <x v="85"/>
    <x v="9"/>
    <x v="17"/>
    <m/>
    <x v="67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5"/>
    <d v="2017-08-01T00:00:00"/>
    <x v="1"/>
    <s v="NTE - ZONA NORTE"/>
    <s v="DIST - DISTRIBUIDORES"/>
    <n v="1"/>
    <x v="42"/>
    <n v="1"/>
    <x v="85"/>
    <x v="9"/>
    <x v="1"/>
    <m/>
    <x v="67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6"/>
    <d v="2017-08-01T00:00:00"/>
    <x v="0"/>
    <s v="CTR - ZONA CENTRO"/>
    <s v="CONC - CONCESIONARIOS"/>
    <n v="1"/>
    <x v="0"/>
    <n v="1"/>
    <x v="4"/>
    <x v="8"/>
    <x v="9"/>
    <m/>
    <x v="1"/>
    <x v="0"/>
    <n v="5453782"/>
    <m/>
    <s v="NO TIENE CUPO"/>
    <n v="0"/>
    <x v="0"/>
    <x v="1"/>
    <x v="5"/>
    <x v="0"/>
    <n v="0"/>
    <x v="0"/>
    <x v="0"/>
    <s v="CB 160F STD                                       BLANCO PE"/>
    <e v="#N/A"/>
    <s v=""/>
  </r>
  <r>
    <x v="97"/>
    <d v="2017-08-01T00:00:00"/>
    <x v="0"/>
    <s v="NTE - ZONA NORTE"/>
    <s v="DIST - DISTRIBUIDORES"/>
    <n v="2"/>
    <x v="43"/>
    <n v="2"/>
    <x v="86"/>
    <x v="1"/>
    <x v="23"/>
    <m/>
    <x v="11"/>
    <x v="43"/>
    <n v="3360504"/>
    <m/>
    <n v="0"/>
    <n v="126683387"/>
    <x v="0"/>
    <x v="6"/>
    <x v="0"/>
    <x v="0"/>
    <n v="0"/>
    <x v="0"/>
    <x v="0"/>
    <s v="*CB-110                                           VERDE CAN"/>
    <e v="#N/A"/>
    <s v=""/>
  </r>
  <r>
    <x v="98"/>
    <d v="2017-08-01T00:00:00"/>
    <x v="0"/>
    <s v="NTE - ZONA NORTE"/>
    <s v="DIST - DISTRIBUIDORES"/>
    <n v="2"/>
    <x v="43"/>
    <n v="2"/>
    <x v="87"/>
    <x v="9"/>
    <x v="17"/>
    <m/>
    <x v="43"/>
    <x v="43"/>
    <n v="3696639"/>
    <m/>
    <n v="0"/>
    <n v="126683387"/>
    <x v="0"/>
    <x v="22"/>
    <x v="15"/>
    <x v="0"/>
    <n v="0"/>
    <x v="0"/>
    <x v="0"/>
    <s v="CB 110 DLX                                        GRIS     "/>
    <e v="#N/A"/>
    <s v=""/>
  </r>
  <r>
    <x v="99"/>
    <d v="2017-08-01T00:00:00"/>
    <x v="0"/>
    <s v="NTE - ZONA NORTE"/>
    <s v="DIST - DISTRIBUIDORES"/>
    <n v="1"/>
    <x v="43"/>
    <n v="1"/>
    <x v="88"/>
    <x v="5"/>
    <x v="8"/>
    <m/>
    <x v="68"/>
    <x v="43"/>
    <n v="6133613"/>
    <m/>
    <n v="0"/>
    <n v="126683387"/>
    <x v="0"/>
    <x v="10"/>
    <x v="0"/>
    <x v="0"/>
    <n v="0"/>
    <x v="0"/>
    <x v="0"/>
    <s v="CB 160F DLX                                       NEGRO PER"/>
    <e v="#N/A"/>
    <s v=""/>
  </r>
  <r>
    <x v="100"/>
    <d v="2017-08-01T00:00:00"/>
    <x v="1"/>
    <s v="NTE - ZONA NORTE"/>
    <s v="DIST - DISTRIBUIDORES"/>
    <n v="1"/>
    <x v="44"/>
    <n v="1"/>
    <x v="89"/>
    <x v="10"/>
    <x v="15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ROJ"/>
    <e v="#N/A"/>
    <s v=""/>
  </r>
  <r>
    <x v="100"/>
    <d v="2017-08-01T00:00:00"/>
    <x v="1"/>
    <s v="NTE - ZONA NORTE"/>
    <s v="DIST - DISTRIBUIDORES"/>
    <n v="1"/>
    <x v="44"/>
    <n v="1"/>
    <x v="89"/>
    <x v="10"/>
    <x v="20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AZU"/>
    <e v="#N/A"/>
    <s v=""/>
  </r>
  <r>
    <x v="100"/>
    <d v="2017-08-01T00:00:00"/>
    <x v="1"/>
    <s v="NTE - ZONA NORTE"/>
    <s v="DIST - DISTRIBUIDORES"/>
    <n v="1"/>
    <x v="44"/>
    <n v="1"/>
    <x v="89"/>
    <x v="9"/>
    <x v="17"/>
    <m/>
    <x v="69"/>
    <x v="44"/>
    <n v="3696639"/>
    <m/>
    <s v="FACTURAS VENCIDAS"/>
    <n v="0"/>
    <x v="1"/>
    <x v="20"/>
    <x v="15"/>
    <x v="0"/>
    <n v="0"/>
    <x v="0"/>
    <x v="0"/>
    <s v="CB 110 DLX                                        GRIS     "/>
    <e v="#N/A"/>
    <s v=""/>
  </r>
  <r>
    <x v="100"/>
    <d v="2017-08-01T00:00:00"/>
    <x v="1"/>
    <s v="NTE - ZONA NORTE"/>
    <s v="DIST - DISTRIBUIDORES"/>
    <n v="1"/>
    <x v="44"/>
    <n v="1"/>
    <x v="89"/>
    <x v="9"/>
    <x v="1"/>
    <m/>
    <x v="69"/>
    <x v="44"/>
    <n v="3696639"/>
    <m/>
    <s v="FACTURAS VENCIDAS"/>
    <n v="0"/>
    <x v="1"/>
    <x v="20"/>
    <x v="2"/>
    <x v="0"/>
    <n v="0"/>
    <x v="0"/>
    <x v="0"/>
    <s v="CB 110 DLX                                        NEGRO    "/>
    <e v="#N/A"/>
    <s v=""/>
  </r>
  <r>
    <x v="101"/>
    <d v="2017-08-01T00:00:00"/>
    <x v="1"/>
    <s v="NTE - ZONA NORTE"/>
    <s v="DIST - DISTRIBUIDORES"/>
    <n v="1"/>
    <x v="44"/>
    <n v="1"/>
    <x v="90"/>
    <x v="10"/>
    <x v="15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ROJ"/>
    <e v="#N/A"/>
    <s v=""/>
  </r>
  <r>
    <x v="101"/>
    <d v="2017-08-01T00:00:00"/>
    <x v="1"/>
    <s v="NTE - ZONA NORTE"/>
    <s v="DIST - DISTRIBUIDORES"/>
    <n v="1"/>
    <x v="44"/>
    <n v="1"/>
    <x v="90"/>
    <x v="10"/>
    <x v="20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AZU"/>
    <e v="#N/A"/>
    <s v=""/>
  </r>
  <r>
    <x v="101"/>
    <d v="2017-08-01T00:00:00"/>
    <x v="1"/>
    <s v="NTE - ZONA NORTE"/>
    <s v="DIST - DISTRIBUIDORES"/>
    <n v="1"/>
    <x v="44"/>
    <n v="1"/>
    <x v="90"/>
    <x v="9"/>
    <x v="1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AZUL     "/>
    <e v="#N/A"/>
    <s v=""/>
  </r>
  <r>
    <x v="101"/>
    <d v="2017-08-01T00:00:00"/>
    <x v="1"/>
    <s v="NTE - ZONA NORTE"/>
    <s v="DIST - DISTRIBUIDORES"/>
    <n v="1"/>
    <x v="44"/>
    <n v="1"/>
    <x v="90"/>
    <x v="9"/>
    <x v="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ROJO     "/>
    <e v="#N/A"/>
    <s v=""/>
  </r>
  <r>
    <x v="101"/>
    <d v="2017-08-01T00:00:00"/>
    <x v="1"/>
    <s v="NTE - ZONA NORTE"/>
    <s v="DIST - DISTRIBUIDORES"/>
    <n v="1"/>
    <x v="44"/>
    <n v="1"/>
    <x v="90"/>
    <x v="9"/>
    <x v="1"/>
    <m/>
    <x v="70"/>
    <x v="44"/>
    <n v="3696639"/>
    <m/>
    <s v="FACTURAS VENCIDAS"/>
    <n v="0"/>
    <x v="1"/>
    <x v="10"/>
    <x v="2"/>
    <x v="0"/>
    <n v="0"/>
    <x v="0"/>
    <x v="0"/>
    <s v="CB 110 DLX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2"/>
    <x v="15"/>
    <m/>
    <x v="71"/>
    <x v="44"/>
    <n v="5789916"/>
    <m/>
    <s v="FACTURAS VENCIDAS"/>
    <n v="0"/>
    <x v="1"/>
    <x v="6"/>
    <x v="11"/>
    <x v="0"/>
    <n v="0"/>
    <x v="0"/>
    <x v="0"/>
    <s v="*XR 150L  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15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20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AZU"/>
    <e v="#N/A"/>
    <s v=""/>
  </r>
  <r>
    <x v="102"/>
    <d v="2017-08-01T00:00:00"/>
    <x v="1"/>
    <s v="NTE - ZONA NORTE"/>
    <s v="DIST - DISTRIBUIDORES"/>
    <n v="1"/>
    <x v="44"/>
    <n v="1"/>
    <x v="90"/>
    <x v="7"/>
    <x v="1"/>
    <m/>
    <x v="71"/>
    <x v="44"/>
    <n v="3941176"/>
    <m/>
    <s v="FACTURAS VENCIDAS"/>
    <n v="0"/>
    <x v="1"/>
    <x v="6"/>
    <x v="0"/>
    <x v="0"/>
    <n v="0"/>
    <x v="0"/>
    <x v="0"/>
    <s v="WAVE 110S 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9"/>
    <x v="17"/>
    <m/>
    <x v="71"/>
    <x v="44"/>
    <n v="3696639"/>
    <m/>
    <s v="FACTURAS VENCIDAS"/>
    <n v="0"/>
    <x v="1"/>
    <x v="6"/>
    <x v="15"/>
    <x v="0"/>
    <n v="0"/>
    <x v="0"/>
    <x v="0"/>
    <s v="CB 110 DLX                                        GRIS     "/>
    <e v="#N/A"/>
    <s v=""/>
  </r>
  <r>
    <x v="102"/>
    <d v="2017-08-01T00:00:00"/>
    <x v="1"/>
    <s v="NTE - ZONA NORTE"/>
    <s v="DIST - DISTRIBUIDORES"/>
    <n v="1"/>
    <x v="44"/>
    <n v="1"/>
    <x v="90"/>
    <x v="9"/>
    <x v="6"/>
    <m/>
    <x v="71"/>
    <x v="44"/>
    <n v="3696639"/>
    <m/>
    <s v="FACTURAS VENCIDAS"/>
    <n v="0"/>
    <x v="1"/>
    <x v="6"/>
    <x v="14"/>
    <x v="0"/>
    <n v="0"/>
    <x v="0"/>
    <x v="0"/>
    <s v="CB 110 DLX                                        ROJO     "/>
    <e v="#N/A"/>
    <s v=""/>
  </r>
  <r>
    <x v="102"/>
    <d v="2017-08-01T00:00:00"/>
    <x v="1"/>
    <s v="NTE - ZONA NORTE"/>
    <s v="DIST - DISTRIBUIDORES"/>
    <n v="1"/>
    <x v="44"/>
    <n v="1"/>
    <x v="90"/>
    <x v="9"/>
    <x v="1"/>
    <m/>
    <x v="71"/>
    <x v="44"/>
    <n v="3696639"/>
    <m/>
    <s v="FACTURAS VENCIDAS"/>
    <n v="0"/>
    <x v="1"/>
    <x v="6"/>
    <x v="2"/>
    <x v="0"/>
    <n v="0"/>
    <x v="0"/>
    <x v="0"/>
    <s v="CB 110 DLX                                        NEGRO    "/>
    <e v="#N/A"/>
    <s v=""/>
  </r>
  <r>
    <x v="103"/>
    <d v="2017-08-01T00:00:00"/>
    <x v="1"/>
    <s v="NTE - ZONA NORTE"/>
    <s v="DIST - DISTRIBUIDORES"/>
    <n v="1"/>
    <x v="45"/>
    <n v="1"/>
    <x v="91"/>
    <x v="9"/>
    <x v="1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3"/>
    <d v="2017-08-01T00:00:00"/>
    <x v="1"/>
    <s v="NTE - ZONA NORTE"/>
    <s v="DIST - DISTRIBUIDORES"/>
    <n v="1"/>
    <x v="45"/>
    <n v="1"/>
    <x v="91"/>
    <x v="9"/>
    <x v="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ROJO     "/>
    <e v="#N/A"/>
    <s v=""/>
  </r>
  <r>
    <x v="103"/>
    <d v="2017-08-01T00:00:00"/>
    <x v="1"/>
    <s v="NTE - ZONA NORTE"/>
    <s v="DIST - DISTRIBUIDORES"/>
    <n v="2"/>
    <x v="45"/>
    <n v="2"/>
    <x v="91"/>
    <x v="9"/>
    <x v="1"/>
    <m/>
    <x v="72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4"/>
    <d v="2017-08-01T00:00:00"/>
    <x v="0"/>
    <s v="NTE - ZONA NORTE"/>
    <s v="DIST - DISTRIBUIDORES"/>
    <n v="1"/>
    <x v="45"/>
    <n v="1"/>
    <x v="92"/>
    <x v="2"/>
    <x v="15"/>
    <m/>
    <x v="73"/>
    <x v="45"/>
    <n v="5789916"/>
    <m/>
    <n v="0"/>
    <n v="69613164"/>
    <x v="0"/>
    <x v="30"/>
    <x v="11"/>
    <x v="3"/>
    <n v="5789916"/>
    <x v="1"/>
    <x v="2"/>
    <s v="*XR 150L                                          NEGRO ROJ"/>
    <s v="ENTREGAS"/>
    <s v="E"/>
  </r>
  <r>
    <x v="104"/>
    <d v="2017-08-01T00:00:00"/>
    <x v="0"/>
    <s v="NTE - ZONA NORTE"/>
    <s v="DIST - DISTRIBUIDORES"/>
    <n v="1"/>
    <x v="45"/>
    <n v="1"/>
    <x v="92"/>
    <x v="5"/>
    <x v="7"/>
    <m/>
    <x v="73"/>
    <x v="45"/>
    <n v="6133613"/>
    <m/>
    <n v="0"/>
    <n v="69613164"/>
    <x v="0"/>
    <x v="30"/>
    <x v="13"/>
    <x v="3"/>
    <n v="6133613"/>
    <x v="1"/>
    <x v="2"/>
    <s v="CB 160F DLX                                       ROJO SPOR"/>
    <s v="ENTREGAS"/>
    <s v="E"/>
  </r>
  <r>
    <x v="104"/>
    <d v="2017-08-01T00:00:00"/>
    <x v="0"/>
    <s v="NTE - ZONA NORTE"/>
    <s v="DIST - DISTRIBUIDORES"/>
    <n v="1"/>
    <x v="45"/>
    <n v="1"/>
    <x v="92"/>
    <x v="5"/>
    <x v="8"/>
    <m/>
    <x v="73"/>
    <x v="45"/>
    <n v="6133613"/>
    <m/>
    <n v="0"/>
    <n v="69613164"/>
    <x v="0"/>
    <x v="30"/>
    <x v="0"/>
    <x v="0"/>
    <n v="0"/>
    <x v="0"/>
    <x v="0"/>
    <s v="CB 160F DLX                                       NEGRO PER"/>
    <e v="#N/A"/>
    <s v=""/>
  </r>
  <r>
    <x v="104"/>
    <d v="2017-08-01T00:00:00"/>
    <x v="0"/>
    <s v="NTE - ZONA NORTE"/>
    <s v="DIST - DISTRIBUIDORES"/>
    <n v="1"/>
    <x v="45"/>
    <n v="1"/>
    <x v="92"/>
    <x v="6"/>
    <x v="6"/>
    <m/>
    <x v="73"/>
    <x v="45"/>
    <n v="3521008"/>
    <m/>
    <n v="0"/>
    <n v="69613164"/>
    <x v="0"/>
    <x v="30"/>
    <x v="0"/>
    <x v="0"/>
    <n v="0"/>
    <x v="0"/>
    <x v="0"/>
    <s v="DIO  110                                          ROJO     "/>
    <e v="#N/A"/>
    <s v=""/>
  </r>
  <r>
    <x v="104"/>
    <d v="2017-08-01T00:00:00"/>
    <x v="0"/>
    <s v="NTE - ZONA NORTE"/>
    <s v="DIST - DISTRIBUIDORES"/>
    <n v="1"/>
    <x v="45"/>
    <n v="1"/>
    <x v="92"/>
    <x v="9"/>
    <x v="16"/>
    <m/>
    <x v="73"/>
    <x v="45"/>
    <n v="3696639"/>
    <m/>
    <n v="0"/>
    <n v="69613164"/>
    <x v="0"/>
    <x v="30"/>
    <x v="14"/>
    <x v="3"/>
    <n v="3696639"/>
    <x v="1"/>
    <x v="2"/>
    <s v="CB 110 DLX                                        AZUL     "/>
    <s v="ENTREGAS"/>
    <s v="E"/>
  </r>
  <r>
    <x v="105"/>
    <d v="2017-08-01T00:00:00"/>
    <x v="0"/>
    <s v="NTE - ZONA NORTE"/>
    <s v="DIST - DISTRIBUIDORES"/>
    <n v="4"/>
    <x v="45"/>
    <n v="4"/>
    <x v="93"/>
    <x v="2"/>
    <x v="15"/>
    <m/>
    <x v="74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5"/>
    <d v="2017-08-01T00:00:00"/>
    <x v="0"/>
    <s v="NTE - ZONA NORTE"/>
    <s v="DIST - DISTRIBUIDORES"/>
    <n v="3"/>
    <x v="45"/>
    <n v="3"/>
    <x v="93"/>
    <x v="2"/>
    <x v="13"/>
    <m/>
    <x v="74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5"/>
    <d v="2017-08-01T00:00:00"/>
    <x v="0"/>
    <s v="NTE - ZONA NORTE"/>
    <s v="DIST - DISTRIBUIDORES"/>
    <n v="4"/>
    <x v="45"/>
    <n v="4"/>
    <x v="93"/>
    <x v="2"/>
    <x v="1"/>
    <m/>
    <x v="74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5"/>
    <x v="8"/>
    <m/>
    <x v="74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5"/>
    <d v="2017-08-01T00:00:00"/>
    <x v="0"/>
    <s v="NTE - ZONA NORTE"/>
    <s v="DIST - DISTRIBUIDORES"/>
    <n v="2"/>
    <x v="45"/>
    <n v="2"/>
    <x v="93"/>
    <x v="6"/>
    <x v="0"/>
    <m/>
    <x v="74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5"/>
    <d v="2017-08-01T00:00:00"/>
    <x v="0"/>
    <s v="NTE - ZONA NORTE"/>
    <s v="DIST - DISTRIBUIDORES"/>
    <n v="1"/>
    <x v="45"/>
    <n v="1"/>
    <x v="93"/>
    <x v="6"/>
    <x v="6"/>
    <m/>
    <x v="74"/>
    <x v="45"/>
    <n v="3521008"/>
    <m/>
    <n v="0"/>
    <n v="69613164"/>
    <x v="0"/>
    <x v="35"/>
    <x v="0"/>
    <x v="0"/>
    <n v="0"/>
    <x v="0"/>
    <x v="0"/>
    <s v="DIO  110                                          ROJO     "/>
    <e v="#N/A"/>
    <s v=""/>
  </r>
  <r>
    <x v="105"/>
    <d v="2017-08-01T00:00:00"/>
    <x v="0"/>
    <s v="NTE - ZONA NORTE"/>
    <s v="DIST - DISTRIBUIDORES"/>
    <n v="1"/>
    <x v="45"/>
    <n v="1"/>
    <x v="93"/>
    <x v="6"/>
    <x v="16"/>
    <m/>
    <x v="74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5"/>
    <d v="2017-08-01T00:00:00"/>
    <x v="0"/>
    <s v="NTE - ZONA NORTE"/>
    <s v="DIST - DISTRIBUIDORES"/>
    <n v="5"/>
    <x v="45"/>
    <n v="5"/>
    <x v="93"/>
    <x v="10"/>
    <x v="15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5"/>
    <d v="2017-08-01T00:00:00"/>
    <x v="0"/>
    <s v="NTE - ZONA NORTE"/>
    <s v="DIST - DISTRIBUIDORES"/>
    <n v="7"/>
    <x v="45"/>
    <n v="7"/>
    <x v="93"/>
    <x v="10"/>
    <x v="20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5"/>
    <d v="2017-08-01T00:00:00"/>
    <x v="0"/>
    <s v="NTE - ZONA NORTE"/>
    <s v="DIST - DISTRIBUIDORES"/>
    <n v="1"/>
    <x v="45"/>
    <n v="1"/>
    <x v="93"/>
    <x v="7"/>
    <x v="6"/>
    <m/>
    <x v="74"/>
    <x v="45"/>
    <n v="3941176"/>
    <m/>
    <n v="0"/>
    <n v="69613164"/>
    <x v="0"/>
    <x v="35"/>
    <x v="0"/>
    <x v="0"/>
    <n v="0"/>
    <x v="0"/>
    <x v="0"/>
    <s v="WAVE 110S                                         ROJO     "/>
    <e v="#N/A"/>
    <s v=""/>
  </r>
  <r>
    <x v="105"/>
    <d v="2017-08-01T00:00:00"/>
    <x v="0"/>
    <s v="NTE - ZONA NORTE"/>
    <s v="DIST - DISTRIBUIDORES"/>
    <n v="2"/>
    <x v="45"/>
    <n v="2"/>
    <x v="93"/>
    <x v="7"/>
    <x v="1"/>
    <m/>
    <x v="74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9"/>
    <x v="16"/>
    <m/>
    <x v="74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5"/>
    <d v="2017-08-01T00:00:00"/>
    <x v="0"/>
    <s v="NTE - ZONA NORTE"/>
    <s v="DIST - DISTRIBUIDORES"/>
    <n v="7"/>
    <x v="45"/>
    <n v="7"/>
    <x v="93"/>
    <x v="9"/>
    <x v="1"/>
    <m/>
    <x v="74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6"/>
    <d v="2017-08-01T00:00:00"/>
    <x v="1"/>
    <s v="NTE - ZONA NORTE"/>
    <s v="DIST - DISTRIBUIDORES"/>
    <n v="1"/>
    <x v="45"/>
    <n v="1"/>
    <x v="94"/>
    <x v="2"/>
    <x v="13"/>
    <m/>
    <x v="75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6"/>
    <d v="2017-08-01T00:00:00"/>
    <x v="1"/>
    <s v="NTE - ZONA NORTE"/>
    <s v="DIST - DISTRIBUIDORES"/>
    <n v="2"/>
    <x v="45"/>
    <n v="2"/>
    <x v="94"/>
    <x v="2"/>
    <x v="1"/>
    <m/>
    <x v="75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6"/>
    <d v="2017-08-01T00:00:00"/>
    <x v="1"/>
    <s v="NTE - ZONA NORTE"/>
    <s v="DIST - DISTRIBUIDORES"/>
    <n v="2"/>
    <x v="45"/>
    <n v="2"/>
    <x v="94"/>
    <x v="2"/>
    <x v="15"/>
    <m/>
    <x v="75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5"/>
    <x v="8"/>
    <m/>
    <x v="75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6"/>
    <d v="2017-08-01T00:00:00"/>
    <x v="1"/>
    <s v="NTE - ZONA NORTE"/>
    <s v="DIST - DISTRIBUIDORES"/>
    <n v="1"/>
    <x v="45"/>
    <n v="1"/>
    <x v="94"/>
    <x v="6"/>
    <x v="0"/>
    <m/>
    <x v="75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6"/>
    <d v="2017-08-01T00:00:00"/>
    <x v="1"/>
    <s v="NTE - ZONA NORTE"/>
    <s v="DIST - DISTRIBUIDORES"/>
    <n v="1"/>
    <x v="45"/>
    <n v="1"/>
    <x v="94"/>
    <x v="6"/>
    <x v="16"/>
    <m/>
    <x v="75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6"/>
    <d v="2017-08-01T00:00:00"/>
    <x v="1"/>
    <s v="NTE - ZONA NORTE"/>
    <s v="DIST - DISTRIBUIDORES"/>
    <n v="2"/>
    <x v="45"/>
    <n v="2"/>
    <x v="94"/>
    <x v="10"/>
    <x v="15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10"/>
    <x v="20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6"/>
    <d v="2017-08-01T00:00:00"/>
    <x v="1"/>
    <s v="NTE - ZONA NORTE"/>
    <s v="DIST - DISTRIBUIDORES"/>
    <n v="1"/>
    <x v="45"/>
    <n v="1"/>
    <x v="94"/>
    <x v="7"/>
    <x v="1"/>
    <m/>
    <x v="75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3"/>
    <x v="45"/>
    <n v="3"/>
    <x v="95"/>
    <x v="2"/>
    <x v="15"/>
    <m/>
    <x v="76"/>
    <x v="45"/>
    <n v="5789916"/>
    <m/>
    <n v="0"/>
    <n v="69613164"/>
    <x v="0"/>
    <x v="24"/>
    <x v="11"/>
    <x v="0"/>
    <n v="0"/>
    <x v="0"/>
    <x v="0"/>
    <s v="*XR 150L                                          NEGRO ROJ"/>
    <e v="#N/A"/>
    <s v=""/>
  </r>
  <r>
    <x v="107"/>
    <d v="2017-08-01T00:00:00"/>
    <x v="1"/>
    <s v="NTE - ZONA NORTE"/>
    <s v="DIST - DISTRIBUIDORES"/>
    <n v="2"/>
    <x v="45"/>
    <n v="2"/>
    <x v="95"/>
    <x v="2"/>
    <x v="13"/>
    <m/>
    <x v="76"/>
    <x v="45"/>
    <n v="5789916"/>
    <m/>
    <n v="0"/>
    <n v="69613164"/>
    <x v="0"/>
    <x v="24"/>
    <x v="8"/>
    <x v="0"/>
    <n v="0"/>
    <x v="0"/>
    <x v="0"/>
    <s v="*XR 150L                                          NEGRO BLA"/>
    <e v="#N/A"/>
    <s v=""/>
  </r>
  <r>
    <x v="107"/>
    <d v="2017-08-01T00:00:00"/>
    <x v="1"/>
    <s v="NTE - ZONA NORTE"/>
    <s v="DIST - DISTRIBUIDORES"/>
    <n v="3"/>
    <x v="45"/>
    <n v="3"/>
    <x v="95"/>
    <x v="2"/>
    <x v="1"/>
    <m/>
    <x v="76"/>
    <x v="45"/>
    <n v="5789916"/>
    <m/>
    <n v="0"/>
    <n v="69613164"/>
    <x v="0"/>
    <x v="24"/>
    <x v="2"/>
    <x v="0"/>
    <n v="0"/>
    <x v="0"/>
    <x v="0"/>
    <s v="*XR 150L                                          NEGRO    "/>
    <e v="#N/A"/>
    <s v=""/>
  </r>
  <r>
    <x v="107"/>
    <d v="2017-08-01T00:00:00"/>
    <x v="1"/>
    <s v="NTE - ZONA NORTE"/>
    <s v="DIST - DISTRIBUIDORES"/>
    <n v="1"/>
    <x v="45"/>
    <n v="1"/>
    <x v="95"/>
    <x v="10"/>
    <x v="15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ROJ"/>
    <e v="#N/A"/>
    <s v=""/>
  </r>
  <r>
    <x v="107"/>
    <d v="2017-08-01T00:00:00"/>
    <x v="1"/>
    <s v="NTE - ZONA NORTE"/>
    <s v="DIST - DISTRIBUIDORES"/>
    <n v="1"/>
    <x v="45"/>
    <n v="1"/>
    <x v="95"/>
    <x v="10"/>
    <x v="20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AZU"/>
    <e v="#N/A"/>
    <s v=""/>
  </r>
  <r>
    <x v="107"/>
    <d v="2017-08-01T00:00:00"/>
    <x v="1"/>
    <s v="NTE - ZONA NORTE"/>
    <s v="DIST - DISTRIBUIDORES"/>
    <n v="1"/>
    <x v="45"/>
    <n v="1"/>
    <x v="95"/>
    <x v="7"/>
    <x v="6"/>
    <m/>
    <x v="76"/>
    <x v="45"/>
    <n v="3941176"/>
    <m/>
    <n v="0"/>
    <n v="69613164"/>
    <x v="0"/>
    <x v="24"/>
    <x v="0"/>
    <x v="0"/>
    <n v="0"/>
    <x v="0"/>
    <x v="0"/>
    <s v="WAVE 110S                                         ROJO     "/>
    <e v="#N/A"/>
    <s v=""/>
  </r>
  <r>
    <x v="107"/>
    <d v="2017-08-01T00:00:00"/>
    <x v="1"/>
    <s v="NTE - ZONA NORTE"/>
    <s v="DIST - DISTRIBUIDORES"/>
    <n v="1"/>
    <x v="45"/>
    <n v="1"/>
    <x v="95"/>
    <x v="7"/>
    <x v="1"/>
    <m/>
    <x v="76"/>
    <x v="45"/>
    <n v="3941176"/>
    <m/>
    <n v="0"/>
    <n v="69613164"/>
    <x v="0"/>
    <x v="24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2"/>
    <x v="45"/>
    <n v="2"/>
    <x v="95"/>
    <x v="9"/>
    <x v="1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AZUL     "/>
    <e v="#N/A"/>
    <s v=""/>
  </r>
  <r>
    <x v="107"/>
    <d v="2017-08-01T00:00:00"/>
    <x v="1"/>
    <s v="NTE - ZONA NORTE"/>
    <s v="DIST - DISTRIBUIDORES"/>
    <n v="2"/>
    <x v="45"/>
    <n v="2"/>
    <x v="95"/>
    <x v="9"/>
    <x v="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ROJO     "/>
    <e v="#N/A"/>
    <s v=""/>
  </r>
  <r>
    <x v="107"/>
    <d v="2017-08-01T00:00:00"/>
    <x v="1"/>
    <s v="NTE - ZONA NORTE"/>
    <s v="DIST - DISTRIBUIDORES"/>
    <n v="4"/>
    <x v="45"/>
    <n v="4"/>
    <x v="95"/>
    <x v="9"/>
    <x v="1"/>
    <m/>
    <x v="76"/>
    <x v="45"/>
    <n v="3696639"/>
    <m/>
    <n v="0"/>
    <n v="69613164"/>
    <x v="0"/>
    <x v="24"/>
    <x v="2"/>
    <x v="0"/>
    <n v="0"/>
    <x v="0"/>
    <x v="0"/>
    <s v="CB 110 DLX                                        NEGRO    "/>
    <e v="#N/A"/>
    <s v=""/>
  </r>
  <r>
    <x v="108"/>
    <d v="2017-08-01T00:00:00"/>
    <x v="1"/>
    <s v="NTE - ZONA NORTE"/>
    <s v="DIST - DISTRIBUIDORES"/>
    <n v="4"/>
    <x v="46"/>
    <n v="4"/>
    <x v="96"/>
    <x v="2"/>
    <x v="13"/>
    <m/>
    <x v="47"/>
    <x v="46"/>
    <n v="5789916"/>
    <m/>
    <s v="FACTURAS VENCIDAS"/>
    <n v="0"/>
    <x v="1"/>
    <x v="24"/>
    <x v="8"/>
    <x v="0"/>
    <n v="0"/>
    <x v="0"/>
    <x v="0"/>
    <s v="*XR 150L                                          NEGRO BLA"/>
    <e v="#N/A"/>
    <s v=""/>
  </r>
  <r>
    <x v="108"/>
    <d v="2017-08-01T00:00:00"/>
    <x v="1"/>
    <s v="NTE - ZONA NORTE"/>
    <s v="DIST - DISTRIBUIDORES"/>
    <n v="4"/>
    <x v="46"/>
    <n v="4"/>
    <x v="96"/>
    <x v="2"/>
    <x v="15"/>
    <m/>
    <x v="47"/>
    <x v="46"/>
    <n v="5789916"/>
    <m/>
    <s v="FACTURAS VENCIDAS"/>
    <n v="0"/>
    <x v="1"/>
    <x v="24"/>
    <x v="11"/>
    <x v="0"/>
    <n v="0"/>
    <x v="0"/>
    <x v="0"/>
    <s v="*XR 150L                                          NEGRO ROJ"/>
    <e v="#N/A"/>
    <s v=""/>
  </r>
  <r>
    <x v="108"/>
    <d v="2017-08-01T00:00:00"/>
    <x v="1"/>
    <s v="NTE - ZONA NORTE"/>
    <s v="DIST - DISTRIBUIDORES"/>
    <n v="4"/>
    <x v="46"/>
    <n v="4"/>
    <x v="96"/>
    <x v="2"/>
    <x v="1"/>
    <m/>
    <x v="47"/>
    <x v="46"/>
    <n v="5789916"/>
    <m/>
    <s v="FACTURAS VENCIDAS"/>
    <n v="0"/>
    <x v="1"/>
    <x v="24"/>
    <x v="2"/>
    <x v="0"/>
    <n v="0"/>
    <x v="0"/>
    <x v="0"/>
    <s v="*XR 150L                                          NEGRO    "/>
    <e v="#N/A"/>
    <s v=""/>
  </r>
  <r>
    <x v="108"/>
    <d v="2017-08-01T00:00:00"/>
    <x v="1"/>
    <s v="NTE - ZONA NORTE"/>
    <s v="DIST - DISTRIBUIDORES"/>
    <n v="1"/>
    <x v="46"/>
    <n v="1"/>
    <x v="96"/>
    <x v="5"/>
    <x v="8"/>
    <m/>
    <x v="47"/>
    <x v="46"/>
    <n v="6133613"/>
    <m/>
    <s v="FACTURAS VENCIDAS"/>
    <n v="0"/>
    <x v="1"/>
    <x v="24"/>
    <x v="0"/>
    <x v="0"/>
    <n v="0"/>
    <x v="0"/>
    <x v="0"/>
    <s v="CB 160F DLX                                       NEGRO PER"/>
    <e v="#N/A"/>
    <s v=""/>
  </r>
  <r>
    <x v="108"/>
    <d v="2017-08-01T00:00:00"/>
    <x v="1"/>
    <s v="NTE - ZONA NORTE"/>
    <s v="DIST - DISTRIBUIDORES"/>
    <n v="3"/>
    <x v="46"/>
    <n v="3"/>
    <x v="96"/>
    <x v="10"/>
    <x v="15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ROJ"/>
    <e v="#N/A"/>
    <s v=""/>
  </r>
  <r>
    <x v="108"/>
    <d v="2017-08-01T00:00:00"/>
    <x v="1"/>
    <s v="NTE - ZONA NORTE"/>
    <s v="DIST - DISTRIBUIDORES"/>
    <n v="5"/>
    <x v="46"/>
    <n v="5"/>
    <x v="96"/>
    <x v="10"/>
    <x v="20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AZU"/>
    <e v="#N/A"/>
    <s v=""/>
  </r>
  <r>
    <x v="108"/>
    <d v="2017-08-01T00:00:00"/>
    <x v="1"/>
    <s v="NTE - ZONA NORTE"/>
    <s v="DIST - DISTRIBUIDORES"/>
    <n v="1"/>
    <x v="46"/>
    <n v="1"/>
    <x v="96"/>
    <x v="7"/>
    <x v="6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ROJO     "/>
    <e v="#N/A"/>
    <s v=""/>
  </r>
  <r>
    <x v="108"/>
    <d v="2017-08-01T00:00:00"/>
    <x v="1"/>
    <s v="NTE - ZONA NORTE"/>
    <s v="DIST - DISTRIBUIDORES"/>
    <n v="1"/>
    <x v="46"/>
    <n v="1"/>
    <x v="96"/>
    <x v="7"/>
    <x v="1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NEGRO    "/>
    <e v="#N/A"/>
    <s v=""/>
  </r>
  <r>
    <x v="108"/>
    <d v="2017-08-01T00:00:00"/>
    <x v="1"/>
    <s v="NTE - ZONA NORTE"/>
    <s v="DIST - DISTRIBUIDORES"/>
    <n v="2"/>
    <x v="46"/>
    <n v="2"/>
    <x v="96"/>
    <x v="9"/>
    <x v="1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AZUL     "/>
    <e v="#N/A"/>
    <s v=""/>
  </r>
  <r>
    <x v="108"/>
    <d v="2017-08-01T00:00:00"/>
    <x v="1"/>
    <s v="NTE - ZONA NORTE"/>
    <s v="DIST - DISTRIBUIDORES"/>
    <n v="2"/>
    <x v="46"/>
    <n v="2"/>
    <x v="96"/>
    <x v="9"/>
    <x v="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ROJO     "/>
    <e v="#N/A"/>
    <s v=""/>
  </r>
  <r>
    <x v="108"/>
    <d v="2017-08-01T00:00:00"/>
    <x v="1"/>
    <s v="NTE - ZONA NORTE"/>
    <s v="DIST - DISTRIBUIDORES"/>
    <n v="2"/>
    <x v="46"/>
    <n v="2"/>
    <x v="96"/>
    <x v="9"/>
    <x v="1"/>
    <m/>
    <x v="47"/>
    <x v="46"/>
    <n v="3696639"/>
    <m/>
    <s v="FACTURAS VENCIDAS"/>
    <n v="0"/>
    <x v="1"/>
    <x v="24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1"/>
    <x v="47"/>
    <n v="1"/>
    <x v="97"/>
    <x v="0"/>
    <x v="1"/>
    <m/>
    <x v="49"/>
    <x v="47"/>
    <n v="11496063"/>
    <m/>
    <n v="0"/>
    <n v="17808541"/>
    <x v="0"/>
    <x v="26"/>
    <x v="0"/>
    <x v="0"/>
    <n v="0"/>
    <x v="0"/>
    <x v="0"/>
    <s v="*XR-250 TORNADO pt MD34                           NEGRO    "/>
    <e v="#N/A"/>
    <s v=""/>
  </r>
  <r>
    <x v="109"/>
    <d v="2017-08-01T00:00:00"/>
    <x v="0"/>
    <s v="NTE - ZONA NORTE"/>
    <s v="DIST - DISTRIBUIDORES"/>
    <n v="4"/>
    <x v="47"/>
    <n v="4"/>
    <x v="97"/>
    <x v="2"/>
    <x v="15"/>
    <m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09"/>
    <d v="2017-08-01T00:00:00"/>
    <x v="0"/>
    <s v="NTE - ZONA NORTE"/>
    <s v="DIST - DISTRIBUIDORES"/>
    <n v="10"/>
    <x v="47"/>
    <n v="10"/>
    <x v="97"/>
    <x v="2"/>
    <x v="13"/>
    <m/>
    <x v="49"/>
    <x v="47"/>
    <n v="5789916"/>
    <m/>
    <n v="0"/>
    <n v="17808541"/>
    <x v="0"/>
    <x v="26"/>
    <x v="8"/>
    <x v="0"/>
    <n v="0"/>
    <x v="0"/>
    <x v="0"/>
    <s v="*XR 150L                                          NEGRO BLA"/>
    <e v="#N/A"/>
    <s v=""/>
  </r>
  <r>
    <x v="109"/>
    <d v="2017-08-01T00:00:00"/>
    <x v="0"/>
    <s v="NTE - ZONA NORTE"/>
    <s v="DIST - DISTRIBUIDORES"/>
    <n v="5"/>
    <x v="47"/>
    <n v="5"/>
    <x v="97"/>
    <x v="2"/>
    <x v="1"/>
    <m/>
    <x v="49"/>
    <x v="47"/>
    <n v="5789916"/>
    <m/>
    <n v="0"/>
    <n v="17808541"/>
    <x v="0"/>
    <x v="26"/>
    <x v="2"/>
    <x v="0"/>
    <n v="0"/>
    <x v="0"/>
    <x v="0"/>
    <s v="*XR 150L  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"/>
    <m/>
    <x v="49"/>
    <x v="47"/>
    <n v="3696639"/>
    <m/>
    <n v="0"/>
    <n v="17808541"/>
    <x v="0"/>
    <x v="26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7"/>
    <m/>
    <x v="49"/>
    <x v="47"/>
    <n v="3696639"/>
    <m/>
    <n v="0"/>
    <n v="17808541"/>
    <x v="0"/>
    <x v="26"/>
    <x v="15"/>
    <x v="0"/>
    <n v="0"/>
    <x v="0"/>
    <x v="0"/>
    <s v="CB 110 DLX                                        GRIS     "/>
    <e v="#N/A"/>
    <s v=""/>
  </r>
  <r>
    <x v="110"/>
    <d v="2017-08-01T00:00:00"/>
    <x v="1"/>
    <s v="NTE - ZONA NORTE"/>
    <s v="DIST - DISTRIBUIDORES"/>
    <n v="1"/>
    <x v="48"/>
    <n v="1"/>
    <x v="98"/>
    <x v="2"/>
    <x v="1"/>
    <m/>
    <x v="77"/>
    <x v="48"/>
    <n v="5789916"/>
    <m/>
    <n v="260065"/>
    <n v="0"/>
    <x v="1"/>
    <x v="36"/>
    <x v="2"/>
    <x v="0"/>
    <n v="0"/>
    <x v="0"/>
    <x v="0"/>
    <s v="*XR 150L                                          NEGRO    "/>
    <e v="#N/A"/>
    <s v=""/>
  </r>
  <r>
    <x v="110"/>
    <d v="2017-08-01T00:00:00"/>
    <x v="1"/>
    <s v="NTE - ZONA NORTE"/>
    <s v="DIST - DISTRIBUIDORES"/>
    <n v="1"/>
    <x v="48"/>
    <n v="1"/>
    <x v="98"/>
    <x v="6"/>
    <x v="6"/>
    <m/>
    <x v="77"/>
    <x v="48"/>
    <n v="3521008"/>
    <m/>
    <n v="260065"/>
    <n v="0"/>
    <x v="1"/>
    <x v="36"/>
    <x v="0"/>
    <x v="0"/>
    <n v="0"/>
    <x v="0"/>
    <x v="0"/>
    <s v="DIO  110 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7"/>
    <x v="6"/>
    <m/>
    <x v="77"/>
    <x v="48"/>
    <n v="3941176"/>
    <m/>
    <n v="260065"/>
    <n v="0"/>
    <x v="1"/>
    <x v="36"/>
    <x v="0"/>
    <x v="0"/>
    <n v="0"/>
    <x v="0"/>
    <x v="0"/>
    <s v="WAVE 110S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6"/>
    <m/>
    <x v="77"/>
    <x v="48"/>
    <n v="3696639"/>
    <m/>
    <n v="260065"/>
    <n v="0"/>
    <x v="1"/>
    <x v="36"/>
    <x v="14"/>
    <x v="0"/>
    <n v="0"/>
    <x v="0"/>
    <x v="0"/>
    <s v="CB 110 DLX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1"/>
    <m/>
    <x v="77"/>
    <x v="48"/>
    <n v="3696639"/>
    <m/>
    <n v="260065"/>
    <n v="0"/>
    <x v="1"/>
    <x v="36"/>
    <x v="2"/>
    <x v="0"/>
    <n v="0"/>
    <x v="0"/>
    <x v="0"/>
    <s v="CB 110 DLX                                        NEGRO    "/>
    <e v="#N/A"/>
    <s v=""/>
  </r>
  <r>
    <x v="111"/>
    <d v="2017-08-01T00:00:00"/>
    <x v="0"/>
    <s v="NTE - ZONA NORTE"/>
    <s v="DIST - DISTRIBUIDORES"/>
    <n v="1"/>
    <x v="48"/>
    <n v="1"/>
    <x v="99"/>
    <x v="2"/>
    <x v="13"/>
    <m/>
    <x v="78"/>
    <x v="48"/>
    <n v="5789916"/>
    <m/>
    <n v="260065"/>
    <n v="0"/>
    <x v="1"/>
    <x v="6"/>
    <x v="8"/>
    <x v="0"/>
    <n v="0"/>
    <x v="0"/>
    <x v="0"/>
    <s v="*XR 150L                                          NEGRO BLA"/>
    <e v="#N/A"/>
    <s v=""/>
  </r>
  <r>
    <x v="111"/>
    <d v="2017-08-01T00:00:00"/>
    <x v="0"/>
    <s v="NTE - ZONA NORTE"/>
    <s v="DIST - DISTRIBUIDORES"/>
    <n v="1"/>
    <x v="48"/>
    <n v="1"/>
    <x v="99"/>
    <x v="10"/>
    <x v="12"/>
    <m/>
    <x v="78"/>
    <x v="48"/>
    <n v="3067227"/>
    <m/>
    <n v="260065"/>
    <n v="0"/>
    <x v="1"/>
    <x v="6"/>
    <x v="0"/>
    <x v="0"/>
    <n v="0"/>
    <x v="0"/>
    <x v="0"/>
    <s v="DREAM  NEO                                        ROJO ALFA"/>
    <e v="#N/A"/>
    <s v=""/>
  </r>
  <r>
    <x v="111"/>
    <d v="2017-08-01T00:00:00"/>
    <x v="0"/>
    <s v="NTE - ZONA NORTE"/>
    <s v="DIST - DISTRIBUIDORES"/>
    <n v="1"/>
    <x v="48"/>
    <n v="1"/>
    <x v="99"/>
    <x v="9"/>
    <x v="16"/>
    <m/>
    <x v="78"/>
    <x v="48"/>
    <n v="3696639"/>
    <m/>
    <n v="260065"/>
    <n v="0"/>
    <x v="1"/>
    <x v="6"/>
    <x v="14"/>
    <x v="0"/>
    <n v="0"/>
    <x v="0"/>
    <x v="0"/>
    <s v="CB 110 DLX                                        AZUL     "/>
    <e v="#N/A"/>
    <s v=""/>
  </r>
  <r>
    <x v="111"/>
    <d v="2017-08-01T00:00:00"/>
    <x v="0"/>
    <s v="NTE - ZONA NORTE"/>
    <s v="DIST - DISTRIBUIDORES"/>
    <n v="1"/>
    <x v="48"/>
    <n v="1"/>
    <x v="99"/>
    <x v="9"/>
    <x v="1"/>
    <m/>
    <x v="78"/>
    <x v="48"/>
    <n v="3696639"/>
    <m/>
    <n v="260065"/>
    <n v="0"/>
    <x v="1"/>
    <x v="6"/>
    <x v="2"/>
    <x v="0"/>
    <n v="0"/>
    <x v="0"/>
    <x v="0"/>
    <s v="CB 110 DLX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2"/>
    <x v="15"/>
    <m/>
    <x v="79"/>
    <x v="49"/>
    <n v="5789916"/>
    <m/>
    <n v="0"/>
    <n v="292067392"/>
    <x v="0"/>
    <x v="6"/>
    <x v="11"/>
    <x v="0"/>
    <n v="0"/>
    <x v="0"/>
    <x v="0"/>
    <s v="*XR 150L                                          NEGRO ROJ"/>
    <e v="#N/A"/>
    <s v=""/>
  </r>
  <r>
    <x v="112"/>
    <d v="2017-08-01T00:00:00"/>
    <x v="0"/>
    <s v="NTE - ZONA NORTE"/>
    <s v="DIST - DISTRIBUIDORES"/>
    <n v="1"/>
    <x v="49"/>
    <n v="1"/>
    <x v="100"/>
    <x v="2"/>
    <x v="1"/>
    <m/>
    <x v="79"/>
    <x v="49"/>
    <n v="5789916"/>
    <m/>
    <n v="0"/>
    <n v="292067392"/>
    <x v="0"/>
    <x v="6"/>
    <x v="2"/>
    <x v="0"/>
    <n v="0"/>
    <x v="0"/>
    <x v="0"/>
    <s v="*XR 150L 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11"/>
    <x v="13"/>
    <m/>
    <x v="79"/>
    <x v="49"/>
    <n v="3521008"/>
    <m/>
    <n v="0"/>
    <n v="292067392"/>
    <x v="0"/>
    <x v="6"/>
    <x v="12"/>
    <x v="0"/>
    <n v="0"/>
    <x v="0"/>
    <x v="0"/>
    <s v="DIO 110                                           NEGRO BLA"/>
    <e v="#N/A"/>
    <s v=""/>
  </r>
  <r>
    <x v="112"/>
    <d v="2017-08-01T00:00:00"/>
    <x v="0"/>
    <s v="NTE - ZONA NORTE"/>
    <s v="DIST - DISTRIBUIDORES"/>
    <n v="1"/>
    <x v="49"/>
    <n v="1"/>
    <x v="100"/>
    <x v="5"/>
    <x v="8"/>
    <m/>
    <x v="79"/>
    <x v="49"/>
    <n v="6133613"/>
    <m/>
    <n v="0"/>
    <n v="292067392"/>
    <x v="0"/>
    <x v="6"/>
    <x v="0"/>
    <x v="0"/>
    <n v="0"/>
    <x v="0"/>
    <x v="0"/>
    <s v="CB 160F DLX                                       NEGRO PER"/>
    <e v="#N/A"/>
    <s v=""/>
  </r>
  <r>
    <x v="112"/>
    <d v="2017-08-01T00:00:00"/>
    <x v="0"/>
    <s v="NTE - ZONA NORTE"/>
    <s v="DIST - DISTRIBUIDORES"/>
    <n v="3"/>
    <x v="49"/>
    <n v="3"/>
    <x v="100"/>
    <x v="10"/>
    <x v="15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ROJ"/>
    <e v="#N/A"/>
    <s v=""/>
  </r>
  <r>
    <x v="112"/>
    <d v="2017-08-01T00:00:00"/>
    <x v="0"/>
    <s v="NTE - ZONA NORTE"/>
    <s v="DIST - DISTRIBUIDORES"/>
    <n v="3"/>
    <x v="49"/>
    <n v="3"/>
    <x v="100"/>
    <x v="10"/>
    <x v="20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AZU"/>
    <e v="#N/A"/>
    <s v=""/>
  </r>
  <r>
    <x v="112"/>
    <d v="2017-08-01T00:00:00"/>
    <x v="0"/>
    <s v="NTE - ZONA NORTE"/>
    <s v="DIST - DISTRIBUIDORES"/>
    <n v="1"/>
    <x v="49"/>
    <n v="1"/>
    <x v="100"/>
    <x v="7"/>
    <x v="6"/>
    <m/>
    <x v="79"/>
    <x v="49"/>
    <n v="3941176"/>
    <m/>
    <n v="0"/>
    <n v="292067392"/>
    <x v="0"/>
    <x v="6"/>
    <x v="0"/>
    <x v="0"/>
    <n v="0"/>
    <x v="0"/>
    <x v="0"/>
    <s v="WAVE 110S                                         ROJO     "/>
    <e v="#N/A"/>
    <s v=""/>
  </r>
  <r>
    <x v="112"/>
    <d v="2017-08-01T00:00:00"/>
    <x v="0"/>
    <s v="NTE - ZONA NORTE"/>
    <s v="DIST - DISTRIBUIDORES"/>
    <n v="1"/>
    <x v="49"/>
    <n v="1"/>
    <x v="100"/>
    <x v="7"/>
    <x v="1"/>
    <m/>
    <x v="79"/>
    <x v="49"/>
    <n v="3941176"/>
    <m/>
    <n v="0"/>
    <n v="292067392"/>
    <x v="0"/>
    <x v="6"/>
    <x v="0"/>
    <x v="0"/>
    <n v="0"/>
    <x v="0"/>
    <x v="0"/>
    <s v="WAVE 110S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7"/>
    <x v="11"/>
    <m/>
    <x v="79"/>
    <x v="49"/>
    <n v="3941176"/>
    <m/>
    <n v="0"/>
    <n v="292067392"/>
    <x v="0"/>
    <x v="6"/>
    <x v="7"/>
    <x v="0"/>
    <n v="0"/>
    <x v="0"/>
    <x v="0"/>
    <s v="WAVE 110S                                         BLANCO   "/>
    <e v="#N/A"/>
    <s v=""/>
  </r>
  <r>
    <x v="112"/>
    <d v="2017-08-01T00:00:00"/>
    <x v="0"/>
    <s v="NTE - ZONA NORTE"/>
    <s v="DIST - DISTRIBUIDORES"/>
    <n v="2"/>
    <x v="49"/>
    <n v="2"/>
    <x v="100"/>
    <x v="9"/>
    <x v="1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AZUL     "/>
    <e v="#N/A"/>
    <s v=""/>
  </r>
  <r>
    <x v="112"/>
    <d v="2017-08-01T00:00:00"/>
    <x v="0"/>
    <s v="NTE - ZONA NORTE"/>
    <s v="DIST - DISTRIBUIDORES"/>
    <n v="1"/>
    <x v="49"/>
    <n v="1"/>
    <x v="100"/>
    <x v="9"/>
    <x v="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ROJO     "/>
    <e v="#N/A"/>
    <s v=""/>
  </r>
  <r>
    <x v="112"/>
    <d v="2017-08-01T00:00:00"/>
    <x v="0"/>
    <s v="NTE - ZONA NORTE"/>
    <s v="DIST - DISTRIBUIDORES"/>
    <n v="4"/>
    <x v="49"/>
    <n v="4"/>
    <x v="100"/>
    <x v="9"/>
    <x v="1"/>
    <m/>
    <x v="79"/>
    <x v="49"/>
    <n v="3696639"/>
    <m/>
    <n v="0"/>
    <n v="292067392"/>
    <x v="0"/>
    <x v="6"/>
    <x v="2"/>
    <x v="0"/>
    <n v="0"/>
    <x v="0"/>
    <x v="0"/>
    <s v="CB 110 DLX                                        NEGRO    "/>
    <e v="#N/A"/>
    <s v=""/>
  </r>
  <r>
    <x v="113"/>
    <d v="2017-08-01T00:00:00"/>
    <x v="0"/>
    <s v="NTE - ZONA NORTE"/>
    <s v="DIST - DISTRIBUIDORES"/>
    <n v="1"/>
    <x v="50"/>
    <n v="1"/>
    <x v="101"/>
    <x v="9"/>
    <x v="1"/>
    <m/>
    <x v="80"/>
    <x v="50"/>
    <n v="3696639"/>
    <m/>
    <n v="0"/>
    <n v="55258797"/>
    <x v="0"/>
    <x v="6"/>
    <x v="2"/>
    <x v="0"/>
    <n v="0"/>
    <x v="0"/>
    <x v="0"/>
    <s v="CB 110 DLX                                        NEGRO    "/>
    <e v="#N/A"/>
    <s v=""/>
  </r>
  <r>
    <x v="114"/>
    <d v="2017-08-01T00:00:00"/>
    <x v="0"/>
    <s v="NTE - ZONA NORTE"/>
    <s v="DIST - DISTRIBUIDORES"/>
    <n v="4"/>
    <x v="51"/>
    <n v="4"/>
    <x v="102"/>
    <x v="10"/>
    <x v="20"/>
    <m/>
    <x v="81"/>
    <x v="51"/>
    <n v="3067227"/>
    <m/>
    <n v="0"/>
    <n v="4658169"/>
    <x v="0"/>
    <x v="36"/>
    <x v="0"/>
    <x v="0"/>
    <n v="0"/>
    <x v="0"/>
    <x v="0"/>
    <s v="DREAM  NEO                                        NEGRO AZU"/>
    <e v="#N/A"/>
    <s v=""/>
  </r>
  <r>
    <x v="114"/>
    <d v="2017-08-01T00:00:00"/>
    <x v="0"/>
    <s v="NTE - ZONA NORTE"/>
    <s v="DIST - DISTRIBUIDORES"/>
    <n v="1"/>
    <x v="51"/>
    <n v="1"/>
    <x v="102"/>
    <x v="9"/>
    <x v="16"/>
    <m/>
    <x v="81"/>
    <x v="51"/>
    <n v="3696639"/>
    <m/>
    <n v="0"/>
    <n v="4658169"/>
    <x v="0"/>
    <x v="36"/>
    <x v="14"/>
    <x v="0"/>
    <n v="0"/>
    <x v="0"/>
    <x v="0"/>
    <s v="CB 110 DLX                                        AZUL     "/>
    <e v="#N/A"/>
    <s v=""/>
  </r>
  <r>
    <x v="114"/>
    <d v="2017-08-01T00:00:00"/>
    <x v="0"/>
    <s v="NTE - ZONA NORTE"/>
    <s v="DIST - DISTRIBUIDORES"/>
    <n v="1"/>
    <x v="51"/>
    <n v="1"/>
    <x v="102"/>
    <x v="9"/>
    <x v="1"/>
    <m/>
    <x v="81"/>
    <x v="51"/>
    <n v="3696639"/>
    <m/>
    <n v="0"/>
    <n v="4658169"/>
    <x v="0"/>
    <x v="36"/>
    <x v="2"/>
    <x v="0"/>
    <n v="0"/>
    <x v="0"/>
    <x v="0"/>
    <s v="CB 110 DLX                                        NEGRO    "/>
    <e v="#N/A"/>
    <s v=""/>
  </r>
  <r>
    <x v="115"/>
    <d v="2017-08-01T00:00:00"/>
    <x v="1"/>
    <s v="SURO - SUR OCCIDENTE"/>
    <s v="DIST - DISTRIBUIDORES"/>
    <n v="1"/>
    <x v="52"/>
    <n v="1"/>
    <x v="103"/>
    <x v="5"/>
    <x v="7"/>
    <m/>
    <x v="82"/>
    <x v="52"/>
    <n v="6133613"/>
    <m/>
    <n v="4515043"/>
    <n v="0"/>
    <x v="0"/>
    <x v="37"/>
    <x v="13"/>
    <x v="0"/>
    <n v="0"/>
    <x v="0"/>
    <x v="0"/>
    <s v="CB 160F DLX                                       ROJO SPOR"/>
    <e v="#N/A"/>
    <s v=""/>
  </r>
  <r>
    <x v="115"/>
    <d v="2017-08-01T00:00:00"/>
    <x v="1"/>
    <s v="SURO - SUR OCCIDENTE"/>
    <s v="DIST - DISTRIBUIDORES"/>
    <n v="1"/>
    <x v="52"/>
    <n v="1"/>
    <x v="103"/>
    <x v="10"/>
    <x v="15"/>
    <m/>
    <x v="82"/>
    <x v="52"/>
    <n v="3067227"/>
    <m/>
    <n v="4515043"/>
    <n v="0"/>
    <x v="0"/>
    <x v="37"/>
    <x v="0"/>
    <x v="0"/>
    <n v="0"/>
    <x v="0"/>
    <x v="0"/>
    <s v="DREAM  NEO                                        NEGRO ROJ"/>
    <e v="#N/A"/>
    <s v=""/>
  </r>
  <r>
    <x v="115"/>
    <d v="2017-08-01T00:00:00"/>
    <x v="1"/>
    <s v="SURO - SUR OCCIDENTE"/>
    <s v="DIST - DISTRIBUIDORES"/>
    <n v="1"/>
    <x v="52"/>
    <n v="1"/>
    <x v="103"/>
    <x v="8"/>
    <x v="9"/>
    <m/>
    <x v="82"/>
    <x v="52"/>
    <n v="5453782"/>
    <m/>
    <n v="4515043"/>
    <n v="0"/>
    <x v="0"/>
    <x v="37"/>
    <x v="5"/>
    <x v="0"/>
    <n v="0"/>
    <x v="0"/>
    <x v="0"/>
    <s v="CB 160F STD                                       BLANCO PE"/>
    <e v="#N/A"/>
    <s v=""/>
  </r>
  <r>
    <x v="116"/>
    <d v="2017-08-01T00:00:00"/>
    <x v="1"/>
    <s v="SURO - SUR OCCIDENTE"/>
    <s v="DIST - DISTRIBUIDORES"/>
    <n v="4"/>
    <x v="53"/>
    <n v="4"/>
    <x v="104"/>
    <x v="2"/>
    <x v="15"/>
    <m/>
    <x v="83"/>
    <x v="53"/>
    <n v="5789916"/>
    <m/>
    <n v="3160772"/>
    <n v="0"/>
    <x v="0"/>
    <x v="37"/>
    <x v="11"/>
    <x v="0"/>
    <n v="0"/>
    <x v="0"/>
    <x v="0"/>
    <s v="*XR 150L                                          NEGRO ROJ"/>
    <e v="#N/A"/>
    <s v=""/>
  </r>
  <r>
    <x v="116"/>
    <d v="2017-08-01T00:00:00"/>
    <x v="1"/>
    <s v="SURO - SUR OCCIDENTE"/>
    <s v="DIST - DISTRIBUIDORES"/>
    <n v="4"/>
    <x v="53"/>
    <n v="4"/>
    <x v="104"/>
    <x v="2"/>
    <x v="13"/>
    <m/>
    <x v="83"/>
    <x v="53"/>
    <n v="5789916"/>
    <m/>
    <n v="3160772"/>
    <n v="0"/>
    <x v="0"/>
    <x v="37"/>
    <x v="8"/>
    <x v="0"/>
    <n v="0"/>
    <x v="0"/>
    <x v="0"/>
    <s v="*XR 150L                                          NEGRO BLA"/>
    <e v="#N/A"/>
    <s v=""/>
  </r>
  <r>
    <x v="116"/>
    <d v="2017-08-01T00:00:00"/>
    <x v="1"/>
    <s v="SURO - SUR OCCIDENTE"/>
    <s v="DIST - DISTRIBUIDORES"/>
    <n v="4"/>
    <x v="53"/>
    <n v="4"/>
    <x v="104"/>
    <x v="2"/>
    <x v="1"/>
    <m/>
    <x v="83"/>
    <x v="53"/>
    <n v="5789916"/>
    <m/>
    <n v="3160772"/>
    <n v="0"/>
    <x v="0"/>
    <x v="37"/>
    <x v="2"/>
    <x v="0"/>
    <n v="0"/>
    <x v="0"/>
    <x v="0"/>
    <s v="*XR 150L                                          NEGRO    "/>
    <e v="#N/A"/>
    <s v=""/>
  </r>
  <r>
    <x v="116"/>
    <d v="2017-08-01T00:00:00"/>
    <x v="1"/>
    <s v="SURO - SUR OCCIDENTE"/>
    <s v="DIST - DISTRIBUIDORES"/>
    <n v="1"/>
    <x v="53"/>
    <n v="1"/>
    <x v="104"/>
    <x v="3"/>
    <x v="3"/>
    <m/>
    <x v="83"/>
    <x v="53"/>
    <n v="7554622"/>
    <m/>
    <n v="3160772"/>
    <n v="0"/>
    <x v="0"/>
    <x v="37"/>
    <x v="0"/>
    <x v="0"/>
    <n v="0"/>
    <x v="0"/>
    <x v="0"/>
    <s v="CB 190R                                           NEGRO ONI"/>
    <e v="#N/A"/>
    <s v=""/>
  </r>
  <r>
    <x v="116"/>
    <d v="2017-08-01T00:00:00"/>
    <x v="1"/>
    <s v="SURO - SUR OCCIDENTE"/>
    <s v="DIST - DISTRIBUIDORES"/>
    <n v="1"/>
    <x v="53"/>
    <n v="1"/>
    <x v="104"/>
    <x v="3"/>
    <x v="2"/>
    <m/>
    <x v="83"/>
    <x v="53"/>
    <n v="7554622"/>
    <m/>
    <n v="3160772"/>
    <n v="0"/>
    <x v="0"/>
    <x v="37"/>
    <x v="3"/>
    <x v="0"/>
    <n v="0"/>
    <x v="0"/>
    <x v="0"/>
    <s v="CB 190R                                           ROJO NEGR"/>
    <e v="#N/A"/>
    <s v=""/>
  </r>
  <r>
    <x v="116"/>
    <d v="2017-08-01T00:00:00"/>
    <x v="1"/>
    <s v="SURO - SUR OCCIDENTE"/>
    <s v="DIST - DISTRIBUIDORES"/>
    <n v="3"/>
    <x v="53"/>
    <n v="3"/>
    <x v="104"/>
    <x v="5"/>
    <x v="7"/>
    <m/>
    <x v="83"/>
    <x v="53"/>
    <n v="6133613"/>
    <m/>
    <n v="3160772"/>
    <n v="0"/>
    <x v="0"/>
    <x v="37"/>
    <x v="13"/>
    <x v="0"/>
    <n v="0"/>
    <x v="0"/>
    <x v="0"/>
    <s v="CB 160F DLX                                       ROJO SPOR"/>
    <e v="#N/A"/>
    <s v=""/>
  </r>
  <r>
    <x v="116"/>
    <d v="2017-08-01T00:00:00"/>
    <x v="1"/>
    <s v="SURO - SUR OCCIDENTE"/>
    <s v="DIST - DISTRIBUIDORES"/>
    <n v="3"/>
    <x v="53"/>
    <n v="3"/>
    <x v="104"/>
    <x v="5"/>
    <x v="8"/>
    <m/>
    <x v="83"/>
    <x v="53"/>
    <n v="6133613"/>
    <m/>
    <n v="3160772"/>
    <n v="0"/>
    <x v="0"/>
    <x v="37"/>
    <x v="0"/>
    <x v="0"/>
    <n v="0"/>
    <x v="0"/>
    <x v="0"/>
    <s v="CB 160F DLX                                       NEGRO PER"/>
    <e v="#N/A"/>
    <s v=""/>
  </r>
  <r>
    <x v="116"/>
    <d v="2017-08-01T00:00:00"/>
    <x v="1"/>
    <s v="SURO - SUR OCCIDENTE"/>
    <s v="DIST - DISTRIBUIDORES"/>
    <n v="1"/>
    <x v="53"/>
    <n v="1"/>
    <x v="104"/>
    <x v="10"/>
    <x v="15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ROJ"/>
    <e v="#N/A"/>
    <s v=""/>
  </r>
  <r>
    <x v="116"/>
    <d v="2017-08-01T00:00:00"/>
    <x v="1"/>
    <s v="SURO - SUR OCCIDENTE"/>
    <s v="DIST - DISTRIBUIDORES"/>
    <n v="1"/>
    <x v="53"/>
    <n v="1"/>
    <x v="104"/>
    <x v="10"/>
    <x v="20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AZU"/>
    <e v="#N/A"/>
    <s v=""/>
  </r>
  <r>
    <x v="116"/>
    <d v="2017-08-01T00:00:00"/>
    <x v="1"/>
    <s v="SURO - SUR OCCIDENTE"/>
    <s v="DIST - DISTRIBUIDORES"/>
    <n v="1"/>
    <x v="53"/>
    <n v="1"/>
    <x v="104"/>
    <x v="7"/>
    <x v="6"/>
    <m/>
    <x v="83"/>
    <x v="53"/>
    <n v="3941176"/>
    <m/>
    <n v="3160772"/>
    <n v="0"/>
    <x v="0"/>
    <x v="37"/>
    <x v="0"/>
    <x v="0"/>
    <n v="0"/>
    <x v="0"/>
    <x v="0"/>
    <s v="WAVE 110S                                         ROJO     "/>
    <e v="#N/A"/>
    <s v=""/>
  </r>
  <r>
    <x v="116"/>
    <d v="2017-08-01T00:00:00"/>
    <x v="1"/>
    <s v="SURO - SUR OCCIDENTE"/>
    <s v="DIST - DISTRIBUIDORES"/>
    <n v="1"/>
    <x v="53"/>
    <n v="1"/>
    <x v="104"/>
    <x v="7"/>
    <x v="11"/>
    <m/>
    <x v="83"/>
    <x v="53"/>
    <n v="3941176"/>
    <m/>
    <n v="3160772"/>
    <n v="0"/>
    <x v="0"/>
    <x v="37"/>
    <x v="7"/>
    <x v="0"/>
    <n v="0"/>
    <x v="0"/>
    <x v="0"/>
    <s v="WAVE 110S                                         BLANCO   "/>
    <e v="#N/A"/>
    <s v=""/>
  </r>
  <r>
    <x v="116"/>
    <d v="2017-08-01T00:00:00"/>
    <x v="1"/>
    <s v="SURO - SUR OCCIDENTE"/>
    <s v="DIST - DISTRIBUIDORES"/>
    <n v="2"/>
    <x v="53"/>
    <n v="2"/>
    <x v="104"/>
    <x v="7"/>
    <x v="1"/>
    <m/>
    <x v="83"/>
    <x v="53"/>
    <n v="3941176"/>
    <m/>
    <n v="3160772"/>
    <n v="0"/>
    <x v="0"/>
    <x v="37"/>
    <x v="0"/>
    <x v="0"/>
    <n v="0"/>
    <x v="0"/>
    <x v="0"/>
    <s v="WAVE 110S                                         NEGRO    "/>
    <e v="#N/A"/>
    <s v=""/>
  </r>
  <r>
    <x v="116"/>
    <d v="2017-08-01T00:00:00"/>
    <x v="1"/>
    <s v="SURO - SUR OCCIDENTE"/>
    <s v="DIST - DISTRIBUIDORES"/>
    <n v="2"/>
    <x v="53"/>
    <n v="2"/>
    <x v="104"/>
    <x v="8"/>
    <x v="7"/>
    <m/>
    <x v="83"/>
    <x v="53"/>
    <n v="5453782"/>
    <m/>
    <n v="3160772"/>
    <n v="0"/>
    <x v="0"/>
    <x v="37"/>
    <x v="0"/>
    <x v="0"/>
    <n v="0"/>
    <x v="0"/>
    <x v="0"/>
    <s v="CB 160F STD                                       ROJO SPOR"/>
    <e v="#N/A"/>
    <s v=""/>
  </r>
  <r>
    <x v="116"/>
    <d v="2017-08-01T00:00:00"/>
    <x v="1"/>
    <s v="SURO - SUR OCCIDENTE"/>
    <s v="DIST - DISTRIBUIDORES"/>
    <n v="2"/>
    <x v="53"/>
    <n v="2"/>
    <x v="104"/>
    <x v="8"/>
    <x v="8"/>
    <m/>
    <x v="83"/>
    <x v="53"/>
    <n v="5453782"/>
    <m/>
    <n v="3160772"/>
    <n v="0"/>
    <x v="0"/>
    <x v="37"/>
    <x v="0"/>
    <x v="0"/>
    <n v="0"/>
    <x v="0"/>
    <x v="0"/>
    <s v="CB 160F STD                                       NEGRO PER"/>
    <e v="#N/A"/>
    <s v=""/>
  </r>
  <r>
    <x v="117"/>
    <d v="2017-08-01T00:00:00"/>
    <x v="0"/>
    <s v="SURO - SUR OCCIDENTE"/>
    <s v="DIST - DISTRIBUIDORES"/>
    <n v="4"/>
    <x v="54"/>
    <n v="4"/>
    <x v="105"/>
    <x v="2"/>
    <x v="13"/>
    <m/>
    <x v="84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7"/>
    <d v="2017-08-01T00:00:00"/>
    <x v="0"/>
    <s v="SURO - SUR OCCIDENTE"/>
    <s v="DIST - DISTRIBUIDORES"/>
    <n v="1"/>
    <x v="54"/>
    <n v="1"/>
    <x v="105"/>
    <x v="5"/>
    <x v="7"/>
    <m/>
    <x v="84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7"/>
    <d v="2017-08-01T00:00:00"/>
    <x v="0"/>
    <s v="SURO - SUR OCCIDENTE"/>
    <s v="DIST - DISTRIBUIDORES"/>
    <n v="2"/>
    <x v="54"/>
    <n v="2"/>
    <x v="105"/>
    <x v="5"/>
    <x v="8"/>
    <m/>
    <x v="84"/>
    <x v="54"/>
    <n v="6133613"/>
    <m/>
    <n v="0"/>
    <n v="143290932"/>
    <x v="0"/>
    <x v="38"/>
    <x v="0"/>
    <x v="0"/>
    <n v="0"/>
    <x v="0"/>
    <x v="0"/>
    <s v="CB 160F DLX                                       NEGRO PER"/>
    <e v="#N/A"/>
    <s v=""/>
  </r>
  <r>
    <x v="117"/>
    <d v="2017-08-01T00:00:00"/>
    <x v="0"/>
    <s v="SURO - SUR OCCIDENTE"/>
    <s v="DIST - DISTRIBUIDORES"/>
    <n v="2"/>
    <x v="54"/>
    <n v="2"/>
    <x v="105"/>
    <x v="6"/>
    <x v="6"/>
    <m/>
    <x v="84"/>
    <x v="54"/>
    <n v="3521008"/>
    <m/>
    <n v="0"/>
    <n v="143290932"/>
    <x v="0"/>
    <x v="38"/>
    <x v="0"/>
    <x v="0"/>
    <n v="0"/>
    <x v="0"/>
    <x v="0"/>
    <s v="DIO  110                                          ROJO     "/>
    <e v="#N/A"/>
    <s v=""/>
  </r>
  <r>
    <x v="118"/>
    <d v="2017-08-01T00:00:00"/>
    <x v="0"/>
    <s v="SURO - SUR OCCIDENTE"/>
    <s v="DIST - DISTRIBUIDORES"/>
    <n v="4"/>
    <x v="54"/>
    <n v="4"/>
    <x v="106"/>
    <x v="2"/>
    <x v="13"/>
    <m/>
    <x v="85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8"/>
    <d v="2017-08-01T00:00:00"/>
    <x v="0"/>
    <s v="SURO - SUR OCCIDENTE"/>
    <s v="DIST - DISTRIBUIDORES"/>
    <n v="1"/>
    <x v="54"/>
    <n v="1"/>
    <x v="106"/>
    <x v="5"/>
    <x v="7"/>
    <m/>
    <x v="85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3"/>
    <x v="3"/>
    <m/>
    <x v="86"/>
    <x v="55"/>
    <n v="7554622"/>
    <m/>
    <n v="0"/>
    <n v="232000000"/>
    <x v="0"/>
    <x v="37"/>
    <x v="0"/>
    <x v="0"/>
    <n v="0"/>
    <x v="0"/>
    <x v="0"/>
    <s v="CB 190R                                           NEGRO ONI"/>
    <e v="#N/A"/>
    <s v=""/>
  </r>
  <r>
    <x v="119"/>
    <d v="2017-08-02T00:00:00"/>
    <x v="0"/>
    <s v="SURO - SUR OCCIDENTE"/>
    <s v="DIST - DISTRIBUIDORES"/>
    <n v="1"/>
    <x v="55"/>
    <n v="1"/>
    <x v="107"/>
    <x v="6"/>
    <x v="16"/>
    <m/>
    <x v="86"/>
    <x v="55"/>
    <n v="3521008"/>
    <m/>
    <n v="0"/>
    <n v="232000000"/>
    <x v="0"/>
    <x v="37"/>
    <x v="0"/>
    <x v="0"/>
    <n v="0"/>
    <x v="0"/>
    <x v="0"/>
    <s v="DIO  110                                          AZUL     "/>
    <e v="#N/A"/>
    <s v=""/>
  </r>
  <r>
    <x v="119"/>
    <d v="2017-08-02T00:00:00"/>
    <x v="0"/>
    <s v="SURO - SUR OCCIDENTE"/>
    <s v="DIST - DISTRIBUIDORES"/>
    <n v="1"/>
    <x v="55"/>
    <n v="1"/>
    <x v="107"/>
    <x v="10"/>
    <x v="20"/>
    <m/>
    <x v="86"/>
    <x v="55"/>
    <n v="3067227"/>
    <m/>
    <n v="0"/>
    <n v="232000000"/>
    <x v="0"/>
    <x v="37"/>
    <x v="0"/>
    <x v="0"/>
    <n v="0"/>
    <x v="0"/>
    <x v="0"/>
    <s v="DREAM  NEO                                        NEGRO AZU"/>
    <e v="#N/A"/>
    <s v=""/>
  </r>
  <r>
    <x v="119"/>
    <d v="2017-08-02T00:00:00"/>
    <x v="0"/>
    <s v="SURO - SUR OCCIDENTE"/>
    <s v="DIST - DISTRIBUIDORES"/>
    <n v="1"/>
    <x v="55"/>
    <n v="1"/>
    <x v="107"/>
    <x v="10"/>
    <x v="12"/>
    <m/>
    <x v="86"/>
    <x v="55"/>
    <n v="3067227"/>
    <m/>
    <n v="0"/>
    <n v="232000000"/>
    <x v="0"/>
    <x v="37"/>
    <x v="0"/>
    <x v="0"/>
    <n v="0"/>
    <x v="0"/>
    <x v="0"/>
    <s v="DREAM  NEO                                        ROJO ALFA"/>
    <e v="#N/A"/>
    <s v=""/>
  </r>
  <r>
    <x v="119"/>
    <d v="2017-08-02T00:00:00"/>
    <x v="0"/>
    <s v="SURO - SUR OCCIDENTE"/>
    <s v="DIST - DISTRIBUIDORES"/>
    <n v="1"/>
    <x v="55"/>
    <n v="1"/>
    <x v="107"/>
    <x v="8"/>
    <x v="7"/>
    <m/>
    <x v="86"/>
    <x v="55"/>
    <n v="5453782"/>
    <m/>
    <n v="0"/>
    <n v="232000000"/>
    <x v="0"/>
    <x v="37"/>
    <x v="0"/>
    <x v="0"/>
    <n v="0"/>
    <x v="0"/>
    <x v="0"/>
    <s v="CB 160F STD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8"/>
    <x v="8"/>
    <m/>
    <x v="86"/>
    <x v="55"/>
    <n v="5453782"/>
    <m/>
    <n v="0"/>
    <n v="232000000"/>
    <x v="0"/>
    <x v="37"/>
    <x v="0"/>
    <x v="0"/>
    <n v="0"/>
    <x v="0"/>
    <x v="0"/>
    <s v="CB 160F STD                                       NEGRO PER"/>
    <e v="#N/A"/>
    <s v=""/>
  </r>
  <r>
    <x v="119"/>
    <d v="2017-08-02T00:00:00"/>
    <x v="0"/>
    <s v="SURO - SUR OCCIDENTE"/>
    <s v="DIST - DISTRIBUIDORES"/>
    <n v="1"/>
    <x v="55"/>
    <n v="1"/>
    <x v="107"/>
    <x v="8"/>
    <x v="9"/>
    <m/>
    <x v="86"/>
    <x v="55"/>
    <n v="5453782"/>
    <m/>
    <n v="0"/>
    <n v="232000000"/>
    <x v="0"/>
    <x v="37"/>
    <x v="5"/>
    <x v="0"/>
    <n v="0"/>
    <x v="0"/>
    <x v="0"/>
    <s v="CB 160F STD                                       BLANCO PE"/>
    <e v="#N/A"/>
    <s v=""/>
  </r>
  <r>
    <x v="119"/>
    <d v="2017-08-02T00:00:00"/>
    <x v="0"/>
    <s v="SURO - SUR OCCIDENTE"/>
    <s v="DIST - DISTRIBUIDORES"/>
    <n v="1"/>
    <x v="55"/>
    <n v="1"/>
    <x v="107"/>
    <x v="9"/>
    <x v="17"/>
    <m/>
    <x v="86"/>
    <x v="55"/>
    <n v="3696639"/>
    <m/>
    <n v="0"/>
    <n v="232000000"/>
    <x v="0"/>
    <x v="37"/>
    <x v="15"/>
    <x v="0"/>
    <n v="0"/>
    <x v="0"/>
    <x v="0"/>
    <s v="CB 110 DLX                                        GRIS     "/>
    <e v="#N/A"/>
    <s v=""/>
  </r>
  <r>
    <x v="119"/>
    <d v="2017-08-02T00:00:00"/>
    <x v="0"/>
    <s v="SURO - SUR OCCIDENTE"/>
    <s v="DIST - DISTRIBUIDORES"/>
    <n v="1"/>
    <x v="55"/>
    <n v="1"/>
    <x v="107"/>
    <x v="9"/>
    <x v="16"/>
    <m/>
    <x v="86"/>
    <x v="55"/>
    <n v="3696639"/>
    <m/>
    <n v="0"/>
    <n v="232000000"/>
    <x v="0"/>
    <x v="37"/>
    <x v="14"/>
    <x v="0"/>
    <n v="0"/>
    <x v="0"/>
    <x v="0"/>
    <s v="CB 110 DLX                                        AZUL     "/>
    <e v="#N/A"/>
    <s v=""/>
  </r>
  <r>
    <x v="120"/>
    <d v="2017-08-02T00:00:00"/>
    <x v="0"/>
    <s v="SURO - SUR OCCIDENTE"/>
    <s v="DIST - DISTRIBUIDORES"/>
    <n v="1"/>
    <x v="56"/>
    <n v="1"/>
    <x v="108"/>
    <x v="2"/>
    <x v="15"/>
    <m/>
    <x v="87"/>
    <x v="56"/>
    <n v="5789916"/>
    <m/>
    <n v="15167199"/>
    <n v="0"/>
    <x v="0"/>
    <x v="32"/>
    <x v="11"/>
    <x v="0"/>
    <n v="0"/>
    <x v="0"/>
    <x v="0"/>
    <s v="*XR 150L                                          NEGRO ROJ"/>
    <e v="#N/A"/>
    <s v=""/>
  </r>
  <r>
    <x v="120"/>
    <d v="2017-08-02T00:00:00"/>
    <x v="0"/>
    <s v="SURO - SUR OCCIDENTE"/>
    <s v="DIST - DISTRIBUIDORES"/>
    <n v="1"/>
    <x v="56"/>
    <n v="1"/>
    <x v="108"/>
    <x v="2"/>
    <x v="13"/>
    <m/>
    <x v="87"/>
    <x v="56"/>
    <n v="5789916"/>
    <m/>
    <n v="15167199"/>
    <n v="0"/>
    <x v="0"/>
    <x v="32"/>
    <x v="8"/>
    <x v="0"/>
    <n v="0"/>
    <x v="0"/>
    <x v="0"/>
    <s v="*XR 150L                                          NEGRO BLA"/>
    <e v="#N/A"/>
    <s v=""/>
  </r>
  <r>
    <x v="120"/>
    <d v="2017-08-02T00:00:00"/>
    <x v="0"/>
    <s v="SURO - SUR OCCIDENTE"/>
    <s v="DIST - DISTRIBUIDORES"/>
    <n v="1"/>
    <x v="56"/>
    <n v="1"/>
    <x v="108"/>
    <x v="9"/>
    <x v="1"/>
    <m/>
    <x v="87"/>
    <x v="56"/>
    <n v="3696639"/>
    <m/>
    <n v="15167199"/>
    <n v="0"/>
    <x v="0"/>
    <x v="32"/>
    <x v="2"/>
    <x v="0"/>
    <n v="0"/>
    <x v="0"/>
    <x v="0"/>
    <s v="CB 110 DLX                                        NEGRO    "/>
    <e v="#N/A"/>
    <s v=""/>
  </r>
  <r>
    <x v="121"/>
    <d v="2017-08-02T00:00:00"/>
    <x v="0"/>
    <s v="SURO - SUR OCCIDENTE"/>
    <s v="DIST - DISTRIBUIDORES"/>
    <n v="4"/>
    <x v="57"/>
    <n v="4"/>
    <x v="109"/>
    <x v="2"/>
    <x v="15"/>
    <m/>
    <x v="88"/>
    <x v="57"/>
    <n v="5789916"/>
    <m/>
    <n v="2948162"/>
    <n v="0"/>
    <x v="1"/>
    <x v="38"/>
    <x v="11"/>
    <x v="0"/>
    <n v="0"/>
    <x v="0"/>
    <x v="0"/>
    <s v="*XR 150L                                          NEGRO ROJ"/>
    <e v="#N/A"/>
    <s v=""/>
  </r>
  <r>
    <x v="121"/>
    <d v="2017-08-02T00:00:00"/>
    <x v="0"/>
    <s v="SURO - SUR OCCIDENTE"/>
    <s v="DIST - DISTRIBUIDORES"/>
    <n v="2"/>
    <x v="57"/>
    <n v="2"/>
    <x v="109"/>
    <x v="2"/>
    <x v="1"/>
    <m/>
    <x v="88"/>
    <x v="57"/>
    <n v="5789916"/>
    <m/>
    <n v="2948162"/>
    <n v="0"/>
    <x v="1"/>
    <x v="38"/>
    <x v="2"/>
    <x v="0"/>
    <n v="0"/>
    <x v="0"/>
    <x v="0"/>
    <s v="*XR 150L                                          NEGRO    "/>
    <e v="#N/A"/>
    <s v=""/>
  </r>
  <r>
    <x v="121"/>
    <d v="2017-08-02T00:00:00"/>
    <x v="0"/>
    <s v="SURO - SUR OCCIDENTE"/>
    <s v="DIST - DISTRIBUIDORES"/>
    <n v="1"/>
    <x v="57"/>
    <n v="1"/>
    <x v="109"/>
    <x v="7"/>
    <x v="6"/>
    <m/>
    <x v="88"/>
    <x v="57"/>
    <n v="3941176"/>
    <m/>
    <n v="2948162"/>
    <n v="0"/>
    <x v="1"/>
    <x v="38"/>
    <x v="0"/>
    <x v="0"/>
    <n v="0"/>
    <x v="0"/>
    <x v="0"/>
    <s v="WAVE 110S                                         ROJO     "/>
    <e v="#N/A"/>
    <s v=""/>
  </r>
  <r>
    <x v="121"/>
    <d v="2017-08-02T00:00:00"/>
    <x v="0"/>
    <s v="SURO - SUR OCCIDENTE"/>
    <s v="DIST - DISTRIBUIDORES"/>
    <n v="2"/>
    <x v="57"/>
    <n v="2"/>
    <x v="109"/>
    <x v="8"/>
    <x v="8"/>
    <m/>
    <x v="88"/>
    <x v="57"/>
    <n v="5453782"/>
    <m/>
    <n v="2948162"/>
    <n v="0"/>
    <x v="1"/>
    <x v="38"/>
    <x v="0"/>
    <x v="0"/>
    <n v="0"/>
    <x v="0"/>
    <x v="0"/>
    <s v="CB 160F STD                                       NEGRO PER"/>
    <e v="#N/A"/>
    <s v=""/>
  </r>
  <r>
    <x v="121"/>
    <d v="2017-08-02T00:00:00"/>
    <x v="0"/>
    <s v="SURO - SUR OCCIDENTE"/>
    <s v="DIST - DISTRIBUIDORES"/>
    <n v="1"/>
    <x v="57"/>
    <n v="1"/>
    <x v="109"/>
    <x v="9"/>
    <x v="17"/>
    <m/>
    <x v="88"/>
    <x v="57"/>
    <n v="3696639"/>
    <m/>
    <n v="2948162"/>
    <n v="0"/>
    <x v="1"/>
    <x v="38"/>
    <x v="15"/>
    <x v="0"/>
    <n v="0"/>
    <x v="0"/>
    <x v="0"/>
    <s v="CB 110 DLX                                        GRIS     "/>
    <e v="#N/A"/>
    <s v=""/>
  </r>
  <r>
    <x v="121"/>
    <d v="2017-08-02T00:00:00"/>
    <x v="0"/>
    <s v="SURO - SUR OCCIDENTE"/>
    <s v="DIST - DISTRIBUIDORES"/>
    <n v="1"/>
    <x v="57"/>
    <n v="1"/>
    <x v="109"/>
    <x v="9"/>
    <x v="6"/>
    <m/>
    <x v="88"/>
    <x v="57"/>
    <n v="3696639"/>
    <m/>
    <n v="2948162"/>
    <n v="0"/>
    <x v="1"/>
    <x v="38"/>
    <x v="14"/>
    <x v="0"/>
    <n v="0"/>
    <x v="0"/>
    <x v="0"/>
    <s v="CB 110 DLX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6"/>
    <x v="6"/>
    <m/>
    <x v="89"/>
    <x v="58"/>
    <n v="3521008"/>
    <m/>
    <n v="13300000"/>
    <n v="217000000"/>
    <x v="0"/>
    <x v="39"/>
    <x v="0"/>
    <x v="0"/>
    <n v="0"/>
    <x v="0"/>
    <x v="0"/>
    <s v="DIO  110  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9"/>
    <x v="16"/>
    <m/>
    <x v="89"/>
    <x v="58"/>
    <n v="3696639"/>
    <m/>
    <n v="13300000"/>
    <n v="217000000"/>
    <x v="0"/>
    <x v="39"/>
    <x v="14"/>
    <x v="0"/>
    <n v="0"/>
    <x v="0"/>
    <x v="0"/>
    <s v="CB 110 DLX                                        AZUL     "/>
    <e v="#N/A"/>
    <s v=""/>
  </r>
  <r>
    <x v="122"/>
    <d v="2017-08-02T00:00:00"/>
    <x v="0"/>
    <s v="CTR - ZONA CENTRO"/>
    <s v="DIST - DISTRIBUIDORES"/>
    <n v="2"/>
    <x v="58"/>
    <n v="2"/>
    <x v="110"/>
    <x v="9"/>
    <x v="1"/>
    <m/>
    <x v="89"/>
    <x v="58"/>
    <n v="3696639"/>
    <m/>
    <n v="13300000"/>
    <n v="217000000"/>
    <x v="0"/>
    <x v="39"/>
    <x v="2"/>
    <x v="0"/>
    <n v="0"/>
    <x v="0"/>
    <x v="0"/>
    <s v="CB 110 DLX                                        NEGRO    "/>
    <e v="#N/A"/>
    <s v=""/>
  </r>
  <r>
    <x v="123"/>
    <d v="2017-08-02T00:00:00"/>
    <x v="0"/>
    <s v="NTE - ZONA NORTE"/>
    <s v="DIST - DISTRIBUIDORES"/>
    <n v="1"/>
    <x v="59"/>
    <n v="1"/>
    <x v="111"/>
    <x v="2"/>
    <x v="13"/>
    <m/>
    <x v="90"/>
    <x v="59"/>
    <n v="5789916"/>
    <m/>
    <n v="15070697"/>
    <n v="0"/>
    <x v="0"/>
    <x v="14"/>
    <x v="8"/>
    <x v="0"/>
    <n v="0"/>
    <x v="0"/>
    <x v="0"/>
    <s v="*XR 150L                                          NEGRO BLA"/>
    <e v="#N/A"/>
    <s v=""/>
  </r>
  <r>
    <x v="123"/>
    <d v="2017-08-02T00:00:00"/>
    <x v="0"/>
    <s v="NTE - ZONA NORTE"/>
    <s v="DIST - DISTRIBUIDORES"/>
    <n v="1"/>
    <x v="59"/>
    <n v="1"/>
    <x v="111"/>
    <x v="4"/>
    <x v="4"/>
    <m/>
    <x v="90"/>
    <x v="59"/>
    <n v="7730252"/>
    <m/>
    <n v="15070697"/>
    <n v="0"/>
    <x v="0"/>
    <x v="14"/>
    <x v="4"/>
    <x v="0"/>
    <n v="0"/>
    <x v="0"/>
    <x v="0"/>
    <s v="CB 190 REPSOL                                     NARANJA B"/>
    <e v="#N/A"/>
    <s v=""/>
  </r>
  <r>
    <x v="123"/>
    <d v="2017-08-02T00:00:00"/>
    <x v="0"/>
    <s v="NTE - ZONA NORTE"/>
    <s v="DIST - DISTRIBUIDORES"/>
    <n v="1"/>
    <x v="59"/>
    <n v="1"/>
    <x v="111"/>
    <x v="14"/>
    <x v="3"/>
    <m/>
    <x v="90"/>
    <x v="59"/>
    <n v="7730252"/>
    <m/>
    <n v="15070697"/>
    <n v="0"/>
    <x v="0"/>
    <x v="14"/>
    <x v="0"/>
    <x v="0"/>
    <n v="0"/>
    <x v="0"/>
    <x v="0"/>
    <s v="CB 190R INSTINTO R                                NEGRO ONI"/>
    <e v="#N/A"/>
    <s v=""/>
  </r>
  <r>
    <x v="123"/>
    <d v="2017-08-02T00:00:00"/>
    <x v="0"/>
    <s v="NTE - ZONA NORTE"/>
    <s v="DIST - DISTRIBUIDORES"/>
    <n v="2"/>
    <x v="59"/>
    <n v="2"/>
    <x v="111"/>
    <x v="10"/>
    <x v="12"/>
    <m/>
    <x v="90"/>
    <x v="59"/>
    <n v="3067227"/>
    <m/>
    <n v="15070697"/>
    <n v="0"/>
    <x v="0"/>
    <x v="14"/>
    <x v="0"/>
    <x v="0"/>
    <n v="0"/>
    <x v="0"/>
    <x v="0"/>
    <s v="DREAM  NEO                                        ROJO ALFA"/>
    <e v="#N/A"/>
    <s v=""/>
  </r>
  <r>
    <x v="123"/>
    <d v="2017-08-02T00:00:00"/>
    <x v="0"/>
    <s v="NTE - ZONA NORTE"/>
    <s v="DIST - DISTRIBUIDORES"/>
    <n v="2"/>
    <x v="59"/>
    <n v="2"/>
    <x v="111"/>
    <x v="10"/>
    <x v="20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AZU"/>
    <e v="#N/A"/>
    <s v=""/>
  </r>
  <r>
    <x v="123"/>
    <d v="2017-08-02T00:00:00"/>
    <x v="0"/>
    <s v="NTE - ZONA NORTE"/>
    <s v="DIST - DISTRIBUIDORES"/>
    <n v="1"/>
    <x v="59"/>
    <n v="1"/>
    <x v="111"/>
    <x v="10"/>
    <x v="15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ROJ"/>
    <e v="#N/A"/>
    <s v=""/>
  </r>
  <r>
    <x v="123"/>
    <d v="2017-08-02T00:00:00"/>
    <x v="0"/>
    <s v="NTE - ZONA NORTE"/>
    <s v="DIST - DISTRIBUIDORES"/>
    <n v="1"/>
    <x v="59"/>
    <n v="1"/>
    <x v="111"/>
    <x v="7"/>
    <x v="6"/>
    <m/>
    <x v="90"/>
    <x v="59"/>
    <n v="3941176"/>
    <m/>
    <n v="15070697"/>
    <n v="0"/>
    <x v="0"/>
    <x v="14"/>
    <x v="0"/>
    <x v="0"/>
    <n v="0"/>
    <x v="0"/>
    <x v="0"/>
    <s v="WAVE 110S                                         ROJO     "/>
    <e v="#N/A"/>
    <s v=""/>
  </r>
  <r>
    <x v="123"/>
    <d v="2017-08-02T00:00:00"/>
    <x v="0"/>
    <s v="NTE - ZONA NORTE"/>
    <s v="DIST - DISTRIBUIDORES"/>
    <n v="2"/>
    <x v="59"/>
    <n v="2"/>
    <x v="111"/>
    <x v="9"/>
    <x v="1"/>
    <m/>
    <x v="90"/>
    <x v="59"/>
    <n v="3696639"/>
    <m/>
    <n v="15070697"/>
    <n v="0"/>
    <x v="0"/>
    <x v="14"/>
    <x v="2"/>
    <x v="0"/>
    <n v="0"/>
    <x v="0"/>
    <x v="0"/>
    <s v="CB 110 DLX                                        NEGRO    "/>
    <e v="#N/A"/>
    <s v=""/>
  </r>
  <r>
    <x v="124"/>
    <d v="2017-08-02T00:00:00"/>
    <x v="0"/>
    <s v="SURO - SUR OCCIDENTE"/>
    <s v="DIST - DISTRIBUIDORES"/>
    <n v="2"/>
    <x v="60"/>
    <n v="2"/>
    <x v="112"/>
    <x v="1"/>
    <x v="7"/>
    <m/>
    <x v="84"/>
    <x v="60"/>
    <n v="3360504"/>
    <m/>
    <n v="954027"/>
    <n v="0"/>
    <x v="1"/>
    <x v="38"/>
    <x v="9"/>
    <x v="0"/>
    <n v="0"/>
    <x v="0"/>
    <x v="0"/>
    <s v="*CB-110                                           ROJO SPOR"/>
    <e v="#N/A"/>
    <s v=""/>
  </r>
  <r>
    <x v="124"/>
    <d v="2017-08-02T00:00:00"/>
    <x v="0"/>
    <s v="SURO - SUR OCCIDENTE"/>
    <s v="DIST - DISTRIBUIDORES"/>
    <n v="2"/>
    <x v="60"/>
    <n v="2"/>
    <x v="112"/>
    <x v="1"/>
    <x v="1"/>
    <m/>
    <x v="84"/>
    <x v="60"/>
    <n v="3360504"/>
    <m/>
    <n v="954027"/>
    <n v="0"/>
    <x v="1"/>
    <x v="38"/>
    <x v="1"/>
    <x v="0"/>
    <n v="0"/>
    <x v="0"/>
    <x v="0"/>
    <s v="*CB-110 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1"/>
    <x v="23"/>
    <m/>
    <x v="84"/>
    <x v="60"/>
    <n v="3360504"/>
    <m/>
    <n v="954027"/>
    <n v="0"/>
    <x v="1"/>
    <x v="38"/>
    <x v="0"/>
    <x v="0"/>
    <n v="0"/>
    <x v="0"/>
    <x v="0"/>
    <s v="*CB-110                                           VERDE CAN"/>
    <e v="#N/A"/>
    <s v=""/>
  </r>
  <r>
    <x v="124"/>
    <d v="2017-08-02T00:00:00"/>
    <x v="0"/>
    <s v="SURO - SUR OCCIDENTE"/>
    <s v="DIST - DISTRIBUIDORES"/>
    <n v="2"/>
    <x v="60"/>
    <n v="2"/>
    <x v="112"/>
    <x v="1"/>
    <x v="14"/>
    <m/>
    <x v="84"/>
    <x v="60"/>
    <n v="3360504"/>
    <m/>
    <n v="954027"/>
    <n v="0"/>
    <x v="1"/>
    <x v="38"/>
    <x v="10"/>
    <x v="0"/>
    <n v="0"/>
    <x v="0"/>
    <x v="0"/>
    <s v="*CB-110                                           AZUL FIJI"/>
    <e v="#N/A"/>
    <s v=""/>
  </r>
  <r>
    <x v="124"/>
    <d v="2017-08-02T00:00:00"/>
    <x v="0"/>
    <s v="SURO - SUR OCCIDENTE"/>
    <s v="DIST - DISTRIBUIDORES"/>
    <n v="2"/>
    <x v="60"/>
    <n v="2"/>
    <x v="112"/>
    <x v="2"/>
    <x v="15"/>
    <m/>
    <x v="84"/>
    <x v="60"/>
    <n v="5789916"/>
    <m/>
    <n v="954027"/>
    <n v="0"/>
    <x v="1"/>
    <x v="38"/>
    <x v="11"/>
    <x v="0"/>
    <n v="0"/>
    <x v="0"/>
    <x v="0"/>
    <s v="*XR 150L                                          NEGRO ROJ"/>
    <e v="#N/A"/>
    <s v=""/>
  </r>
  <r>
    <x v="124"/>
    <d v="2017-08-02T00:00:00"/>
    <x v="0"/>
    <s v="SURO - SUR OCCIDENTE"/>
    <s v="DIST - DISTRIBUIDORES"/>
    <n v="2"/>
    <x v="60"/>
    <n v="2"/>
    <x v="112"/>
    <x v="2"/>
    <x v="13"/>
    <m/>
    <x v="84"/>
    <x v="60"/>
    <n v="5789916"/>
    <m/>
    <n v="954027"/>
    <n v="0"/>
    <x v="1"/>
    <x v="38"/>
    <x v="8"/>
    <x v="0"/>
    <n v="0"/>
    <x v="0"/>
    <x v="0"/>
    <s v="*XR 150L                                          NEGRO BLA"/>
    <e v="#N/A"/>
    <s v=""/>
  </r>
  <r>
    <x v="124"/>
    <d v="2017-08-02T00:00:00"/>
    <x v="0"/>
    <s v="SURO - SUR OCCIDENTE"/>
    <s v="DIST - DISTRIBUIDORES"/>
    <n v="2"/>
    <x v="60"/>
    <n v="2"/>
    <x v="112"/>
    <x v="2"/>
    <x v="1"/>
    <m/>
    <x v="84"/>
    <x v="60"/>
    <n v="5789916"/>
    <m/>
    <n v="954027"/>
    <n v="0"/>
    <x v="1"/>
    <x v="38"/>
    <x v="2"/>
    <x v="0"/>
    <n v="0"/>
    <x v="0"/>
    <x v="0"/>
    <s v="*XR 150L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3"/>
    <x v="3"/>
    <m/>
    <x v="84"/>
    <x v="60"/>
    <n v="7554622"/>
    <m/>
    <n v="954027"/>
    <n v="0"/>
    <x v="1"/>
    <x v="38"/>
    <x v="0"/>
    <x v="0"/>
    <n v="0"/>
    <x v="0"/>
    <x v="0"/>
    <s v="CB 190R                                           NEGRO ONI"/>
    <e v="#N/A"/>
    <s v=""/>
  </r>
  <r>
    <x v="124"/>
    <d v="2017-08-02T00:00:00"/>
    <x v="0"/>
    <s v="SURO - SUR OCCIDENTE"/>
    <s v="DIST - DISTRIBUIDORES"/>
    <n v="1"/>
    <x v="60"/>
    <n v="1"/>
    <x v="112"/>
    <x v="4"/>
    <x v="4"/>
    <m/>
    <x v="84"/>
    <x v="60"/>
    <n v="7730252"/>
    <m/>
    <n v="954027"/>
    <n v="0"/>
    <x v="1"/>
    <x v="38"/>
    <x v="4"/>
    <x v="0"/>
    <n v="0"/>
    <x v="0"/>
    <x v="0"/>
    <s v="CB 190 REPSOL                                     NARANJA B"/>
    <e v="#N/A"/>
    <s v=""/>
  </r>
  <r>
    <x v="124"/>
    <d v="2017-08-02T00:00:00"/>
    <x v="0"/>
    <s v="SURO - SUR OCCIDENTE"/>
    <s v="DIST - DISTRIBUIDORES"/>
    <n v="1"/>
    <x v="60"/>
    <n v="1"/>
    <x v="112"/>
    <x v="9"/>
    <x v="16"/>
    <m/>
    <x v="84"/>
    <x v="60"/>
    <n v="3696639"/>
    <m/>
    <n v="954027"/>
    <n v="0"/>
    <x v="1"/>
    <x v="38"/>
    <x v="14"/>
    <x v="0"/>
    <n v="0"/>
    <x v="0"/>
    <x v="0"/>
    <s v="CB 110 DLX                                        AZUL     "/>
    <e v="#N/A"/>
    <s v=""/>
  </r>
  <r>
    <x v="124"/>
    <d v="2017-08-02T00:00:00"/>
    <x v="0"/>
    <s v="SURO - SUR OCCIDENTE"/>
    <s v="DIST - DISTRIBUIDORES"/>
    <n v="1"/>
    <x v="60"/>
    <n v="1"/>
    <x v="112"/>
    <x v="9"/>
    <x v="6"/>
    <m/>
    <x v="84"/>
    <x v="60"/>
    <n v="3696639"/>
    <m/>
    <n v="954027"/>
    <n v="0"/>
    <x v="1"/>
    <x v="38"/>
    <x v="14"/>
    <x v="0"/>
    <n v="0"/>
    <x v="0"/>
    <x v="0"/>
    <s v="CB 110 DLX                                        ROJO     "/>
    <e v="#N/A"/>
    <s v=""/>
  </r>
  <r>
    <x v="124"/>
    <d v="2017-08-02T00:00:00"/>
    <x v="0"/>
    <s v="SURO - SUR OCCIDENTE"/>
    <s v="DIST - DISTRIBUIDORES"/>
    <n v="1"/>
    <x v="60"/>
    <n v="1"/>
    <x v="112"/>
    <x v="9"/>
    <x v="1"/>
    <m/>
    <x v="84"/>
    <x v="60"/>
    <n v="3696639"/>
    <m/>
    <n v="954027"/>
    <n v="0"/>
    <x v="1"/>
    <x v="38"/>
    <x v="2"/>
    <x v="0"/>
    <n v="0"/>
    <x v="0"/>
    <x v="0"/>
    <s v="CB 110 DLX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7"/>
    <m/>
    <x v="91"/>
    <x v="60"/>
    <n v="3360504"/>
    <m/>
    <n v="954027"/>
    <n v="0"/>
    <x v="1"/>
    <x v="32"/>
    <x v="9"/>
    <x v="0"/>
    <n v="0"/>
    <x v="0"/>
    <x v="0"/>
    <s v="*CB-110                                           ROJO SPOR"/>
    <e v="#N/A"/>
    <s v=""/>
  </r>
  <r>
    <x v="125"/>
    <d v="2017-08-02T00:00:00"/>
    <x v="0"/>
    <s v="SURO - SUR OCCIDENTE"/>
    <s v="DIST - DISTRIBUIDORES"/>
    <n v="2"/>
    <x v="60"/>
    <n v="2"/>
    <x v="113"/>
    <x v="1"/>
    <x v="1"/>
    <m/>
    <x v="91"/>
    <x v="60"/>
    <n v="3360504"/>
    <m/>
    <n v="954027"/>
    <n v="0"/>
    <x v="1"/>
    <x v="32"/>
    <x v="1"/>
    <x v="0"/>
    <n v="0"/>
    <x v="0"/>
    <x v="0"/>
    <s v="*CB-110   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23"/>
    <m/>
    <x v="91"/>
    <x v="60"/>
    <n v="3360504"/>
    <m/>
    <n v="954027"/>
    <n v="0"/>
    <x v="1"/>
    <x v="32"/>
    <x v="0"/>
    <x v="0"/>
    <n v="0"/>
    <x v="0"/>
    <x v="0"/>
    <s v="*CB-110                                           VERDE CAN"/>
    <e v="#N/A"/>
    <s v=""/>
  </r>
  <r>
    <x v="125"/>
    <d v="2017-08-02T00:00:00"/>
    <x v="0"/>
    <s v="SURO - SUR OCCIDENTE"/>
    <s v="DIST - DISTRIBUIDORES"/>
    <n v="1"/>
    <x v="60"/>
    <n v="1"/>
    <x v="113"/>
    <x v="1"/>
    <x v="14"/>
    <m/>
    <x v="91"/>
    <x v="60"/>
    <n v="3360504"/>
    <m/>
    <n v="954027"/>
    <n v="0"/>
    <x v="1"/>
    <x v="32"/>
    <x v="10"/>
    <x v="0"/>
    <n v="0"/>
    <x v="0"/>
    <x v="0"/>
    <s v="*CB-110                                           AZUL FIJI"/>
    <e v="#N/A"/>
    <s v=""/>
  </r>
  <r>
    <x v="125"/>
    <d v="2017-08-02T00:00:00"/>
    <x v="0"/>
    <s v="SURO - SUR OCCIDENTE"/>
    <s v="DIST - DISTRIBUIDORES"/>
    <n v="1"/>
    <x v="60"/>
    <n v="1"/>
    <x v="113"/>
    <x v="2"/>
    <x v="15"/>
    <m/>
    <x v="91"/>
    <x v="60"/>
    <n v="5789916"/>
    <m/>
    <n v="954027"/>
    <n v="0"/>
    <x v="1"/>
    <x v="32"/>
    <x v="11"/>
    <x v="0"/>
    <n v="0"/>
    <x v="0"/>
    <x v="0"/>
    <s v="*XR 150L                                          NEGRO ROJ"/>
    <e v="#N/A"/>
    <s v=""/>
  </r>
  <r>
    <x v="125"/>
    <d v="2017-08-02T00:00:00"/>
    <x v="0"/>
    <s v="SURO - SUR OCCIDENTE"/>
    <s v="DIST - DISTRIBUIDORES"/>
    <n v="1"/>
    <x v="60"/>
    <n v="1"/>
    <x v="113"/>
    <x v="4"/>
    <x v="4"/>
    <m/>
    <x v="91"/>
    <x v="60"/>
    <n v="7730252"/>
    <m/>
    <n v="954027"/>
    <n v="0"/>
    <x v="1"/>
    <x v="32"/>
    <x v="4"/>
    <x v="0"/>
    <n v="0"/>
    <x v="0"/>
    <x v="0"/>
    <s v="CB 190 REPSOL                                     NARANJA B"/>
    <e v="#N/A"/>
    <s v=""/>
  </r>
  <r>
    <x v="125"/>
    <d v="2017-08-02T00:00:00"/>
    <x v="0"/>
    <s v="SURO - SUR OCCIDENTE"/>
    <s v="DIST - DISTRIBUIDORES"/>
    <n v="1"/>
    <x v="60"/>
    <n v="1"/>
    <x v="113"/>
    <x v="9"/>
    <x v="16"/>
    <m/>
    <x v="91"/>
    <x v="60"/>
    <n v="3696639"/>
    <m/>
    <n v="954027"/>
    <n v="0"/>
    <x v="1"/>
    <x v="32"/>
    <x v="14"/>
    <x v="0"/>
    <n v="0"/>
    <x v="0"/>
    <x v="0"/>
    <s v="CB 110 DLX                                        AZUL     "/>
    <e v="#N/A"/>
    <s v=""/>
  </r>
  <r>
    <x v="125"/>
    <d v="2017-08-02T00:00:00"/>
    <x v="0"/>
    <s v="SURO - SUR OCCIDENTE"/>
    <s v="DIST - DISTRIBUIDORES"/>
    <n v="1"/>
    <x v="60"/>
    <n v="1"/>
    <x v="113"/>
    <x v="9"/>
    <x v="6"/>
    <m/>
    <x v="91"/>
    <x v="60"/>
    <n v="3696639"/>
    <m/>
    <n v="954027"/>
    <n v="0"/>
    <x v="1"/>
    <x v="32"/>
    <x v="14"/>
    <x v="0"/>
    <n v="0"/>
    <x v="0"/>
    <x v="0"/>
    <s v="CB 110 DLX                                        ROJO     "/>
    <e v="#N/A"/>
    <s v=""/>
  </r>
  <r>
    <x v="125"/>
    <d v="2017-08-02T00:00:00"/>
    <x v="0"/>
    <s v="SURO - SUR OCCIDENTE"/>
    <s v="DIST - DISTRIBUIDORES"/>
    <n v="1"/>
    <x v="60"/>
    <n v="1"/>
    <x v="113"/>
    <x v="9"/>
    <x v="1"/>
    <m/>
    <x v="91"/>
    <x v="60"/>
    <n v="3696639"/>
    <m/>
    <n v="954027"/>
    <n v="0"/>
    <x v="1"/>
    <x v="32"/>
    <x v="2"/>
    <x v="0"/>
    <n v="0"/>
    <x v="0"/>
    <x v="0"/>
    <s v="CB 110 DLX                                        NEGRO    "/>
    <e v="#N/A"/>
    <s v=""/>
  </r>
  <r>
    <x v="126"/>
    <d v="2017-08-02T00:00:00"/>
    <x v="0"/>
    <s v="NTE - ZONA NORTE"/>
    <s v="DIST - DISTRIBUIDORES"/>
    <n v="8"/>
    <x v="47"/>
    <n v="2"/>
    <x v="97"/>
    <x v="2"/>
    <x v="15"/>
    <n v="42950"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3"/>
    <x v="61"/>
    <n v="3"/>
    <x v="114"/>
    <x v="0"/>
    <x v="0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27"/>
    <d v="2017-08-02T00:00:00"/>
    <x v="0"/>
    <s v="NTE - ZONA NORTE"/>
    <s v="CONC - CONCESIONARIOS"/>
    <n v="3"/>
    <x v="61"/>
    <n v="3"/>
    <x v="114"/>
    <x v="0"/>
    <x v="1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27"/>
    <d v="2017-08-02T00:00:00"/>
    <x v="0"/>
    <s v="NTE - ZONA NORTE"/>
    <s v="CONC - CONCESIONARIOS"/>
    <n v="9"/>
    <x v="61"/>
    <n v="9"/>
    <x v="114"/>
    <x v="2"/>
    <x v="15"/>
    <m/>
    <x v="92"/>
    <x v="61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13"/>
    <x v="61"/>
    <n v="13"/>
    <x v="114"/>
    <x v="2"/>
    <x v="13"/>
    <m/>
    <x v="92"/>
    <x v="61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27"/>
    <d v="2017-08-02T00:00:00"/>
    <x v="0"/>
    <s v="NTE - ZONA NORTE"/>
    <s v="CONC - CONCESIONARIOS"/>
    <n v="13"/>
    <x v="61"/>
    <n v="13"/>
    <x v="114"/>
    <x v="2"/>
    <x v="1"/>
    <m/>
    <x v="92"/>
    <x v="61"/>
    <n v="5789916"/>
    <m/>
    <s v="NO TIENE CUPO"/>
    <n v="0"/>
    <x v="0"/>
    <x v="15"/>
    <x v="2"/>
    <x v="0"/>
    <n v="0"/>
    <x v="0"/>
    <x v="0"/>
    <s v="*XR 150L                                          NEGRO    "/>
    <e v="#N/A"/>
    <s v=""/>
  </r>
  <r>
    <x v="127"/>
    <d v="2017-08-02T00:00:00"/>
    <x v="0"/>
    <s v="NTE - ZONA NORTE"/>
    <s v="CONC - CONCESIONARIOS"/>
    <n v="10"/>
    <x v="61"/>
    <n v="10"/>
    <x v="114"/>
    <x v="3"/>
    <x v="2"/>
    <m/>
    <x v="92"/>
    <x v="61"/>
    <n v="7554622"/>
    <m/>
    <s v="NO TIENE CUPO"/>
    <n v="0"/>
    <x v="0"/>
    <x v="15"/>
    <x v="3"/>
    <x v="0"/>
    <n v="0"/>
    <x v="0"/>
    <x v="0"/>
    <s v="CB 190R                                           ROJO NEGR"/>
    <e v="#N/A"/>
    <s v=""/>
  </r>
  <r>
    <x v="127"/>
    <d v="2017-08-02T00:00:00"/>
    <x v="0"/>
    <s v="NTE - ZONA NORTE"/>
    <s v="CONC - CONCESIONARIOS"/>
    <n v="11"/>
    <x v="61"/>
    <n v="11"/>
    <x v="114"/>
    <x v="3"/>
    <x v="3"/>
    <m/>
    <x v="92"/>
    <x v="61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27"/>
    <d v="2017-08-02T00:00:00"/>
    <x v="0"/>
    <s v="NTE - ZONA NORTE"/>
    <s v="CONC - CONCESIONARIOS"/>
    <n v="10"/>
    <x v="61"/>
    <n v="10"/>
    <x v="114"/>
    <x v="4"/>
    <x v="4"/>
    <m/>
    <x v="92"/>
    <x v="61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27"/>
    <d v="2017-08-02T00:00:00"/>
    <x v="0"/>
    <s v="NTE - ZONA NORTE"/>
    <s v="CONC - CONCESIONARIOS"/>
    <n v="3"/>
    <x v="61"/>
    <n v="3"/>
    <x v="114"/>
    <x v="5"/>
    <x v="8"/>
    <m/>
    <x v="92"/>
    <x v="61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27"/>
    <d v="2017-08-02T00:00:00"/>
    <x v="0"/>
    <s v="NTE - ZONA NORTE"/>
    <s v="CONC - CONCESIONARIOS"/>
    <n v="5"/>
    <x v="61"/>
    <n v="5"/>
    <x v="114"/>
    <x v="5"/>
    <x v="7"/>
    <m/>
    <x v="92"/>
    <x v="61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27"/>
    <d v="2017-08-02T00:00:00"/>
    <x v="0"/>
    <s v="NTE - ZONA NORTE"/>
    <s v="CONC - CONCESIONARIOS"/>
    <n v="3"/>
    <x v="61"/>
    <n v="3"/>
    <x v="114"/>
    <x v="6"/>
    <x v="16"/>
    <m/>
    <x v="92"/>
    <x v="61"/>
    <n v="3521008"/>
    <m/>
    <s v="NO TIENE CUPO"/>
    <n v="0"/>
    <x v="0"/>
    <x v="15"/>
    <x v="0"/>
    <x v="0"/>
    <n v="0"/>
    <x v="0"/>
    <x v="0"/>
    <s v="DIO  110                                          AZUL     "/>
    <e v="#N/A"/>
    <s v=""/>
  </r>
  <r>
    <x v="127"/>
    <d v="2017-08-02T00:00:00"/>
    <x v="0"/>
    <s v="NTE - ZONA NORTE"/>
    <s v="CONC - CONCESIONARIOS"/>
    <n v="2"/>
    <x v="61"/>
    <n v="2"/>
    <x v="114"/>
    <x v="6"/>
    <x v="0"/>
    <m/>
    <x v="92"/>
    <x v="61"/>
    <n v="3521008"/>
    <m/>
    <s v="NO TIENE CUPO"/>
    <n v="0"/>
    <x v="0"/>
    <x v="15"/>
    <x v="7"/>
    <x v="0"/>
    <n v="0"/>
    <x v="0"/>
    <x v="0"/>
    <s v="DIO  110                                          BLANCO NE"/>
    <e v="#N/A"/>
    <s v=""/>
  </r>
  <r>
    <x v="127"/>
    <d v="2017-08-02T00:00:00"/>
    <x v="0"/>
    <s v="NTE - ZONA NORTE"/>
    <s v="CONC - CONCESIONARIOS"/>
    <n v="10"/>
    <x v="61"/>
    <n v="10"/>
    <x v="114"/>
    <x v="14"/>
    <x v="3"/>
    <m/>
    <x v="92"/>
    <x v="61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27"/>
    <d v="2017-08-02T00:00:00"/>
    <x v="0"/>
    <s v="NTE - ZONA NORTE"/>
    <s v="CONC - CONCESIONARIOS"/>
    <n v="3"/>
    <x v="61"/>
    <n v="3"/>
    <x v="114"/>
    <x v="10"/>
    <x v="12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ROJO ALFA"/>
    <e v="#N/A"/>
    <s v=""/>
  </r>
  <r>
    <x v="127"/>
    <d v="2017-08-02T00:00:00"/>
    <x v="0"/>
    <s v="NTE - ZONA NORTE"/>
    <s v="CONC - CONCESIONARIOS"/>
    <n v="18"/>
    <x v="61"/>
    <n v="18"/>
    <x v="114"/>
    <x v="10"/>
    <x v="20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27"/>
    <d v="2017-08-02T00:00:00"/>
    <x v="0"/>
    <s v="NTE - ZONA NORTE"/>
    <s v="CONC - CONCESIONARIOS"/>
    <n v="2"/>
    <x v="61"/>
    <n v="2"/>
    <x v="114"/>
    <x v="7"/>
    <x v="6"/>
    <m/>
    <x v="92"/>
    <x v="61"/>
    <n v="3941176"/>
    <m/>
    <s v="NO TIENE CUPO"/>
    <n v="0"/>
    <x v="0"/>
    <x v="15"/>
    <x v="0"/>
    <x v="0"/>
    <n v="0"/>
    <x v="0"/>
    <x v="0"/>
    <s v="WAVE 110S                                         ROJO     "/>
    <e v="#N/A"/>
    <s v=""/>
  </r>
  <r>
    <x v="127"/>
    <d v="2017-08-02T00:00:00"/>
    <x v="0"/>
    <s v="NTE - ZONA NORTE"/>
    <s v="CONC - CONCESIONARIOS"/>
    <n v="7"/>
    <x v="61"/>
    <n v="7"/>
    <x v="114"/>
    <x v="8"/>
    <x v="7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27"/>
    <d v="2017-08-02T00:00:00"/>
    <x v="0"/>
    <s v="NTE - ZONA NORTE"/>
    <s v="CONC - CONCESIONARIOS"/>
    <n v="7"/>
    <x v="61"/>
    <n v="7"/>
    <x v="114"/>
    <x v="8"/>
    <x v="9"/>
    <m/>
    <x v="92"/>
    <x v="61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27"/>
    <d v="2017-08-02T00:00:00"/>
    <x v="0"/>
    <s v="NTE - ZONA NORTE"/>
    <s v="CONC - CONCESIONARIOS"/>
    <n v="19"/>
    <x v="61"/>
    <n v="19"/>
    <x v="114"/>
    <x v="8"/>
    <x v="8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27"/>
    <d v="2017-08-02T00:00:00"/>
    <x v="0"/>
    <s v="NTE - ZONA NORTE"/>
    <s v="CONC - CONCESIONARIOS"/>
    <n v="4"/>
    <x v="61"/>
    <n v="4"/>
    <x v="114"/>
    <x v="9"/>
    <x v="17"/>
    <m/>
    <x v="92"/>
    <x v="61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27"/>
    <d v="2017-08-02T00:00:00"/>
    <x v="0"/>
    <s v="NTE - ZONA NORTE"/>
    <s v="CONC - CONCESIONARIOS"/>
    <n v="2"/>
    <x v="61"/>
    <n v="2"/>
    <x v="114"/>
    <x v="9"/>
    <x v="16"/>
    <m/>
    <x v="92"/>
    <x v="61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27"/>
    <d v="2017-08-02T00:00:00"/>
    <x v="0"/>
    <s v="NTE - ZONA NORTE"/>
    <s v="CONC - CONCESIONARIOS"/>
    <n v="3"/>
    <x v="61"/>
    <n v="3"/>
    <x v="114"/>
    <x v="9"/>
    <x v="1"/>
    <m/>
    <x v="92"/>
    <x v="61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2"/>
    <x v="62"/>
    <n v="2"/>
    <x v="115"/>
    <x v="1"/>
    <x v="18"/>
    <m/>
    <x v="3"/>
    <x v="62"/>
    <n v="3360504"/>
    <m/>
    <s v="NO TIENE CUPO"/>
    <n v="0"/>
    <x v="0"/>
    <x v="3"/>
    <x v="15"/>
    <x v="0"/>
    <n v="0"/>
    <x v="0"/>
    <x v="0"/>
    <s v="*CB-110                                           GRIS MET "/>
    <e v="#N/A"/>
    <s v=""/>
  </r>
  <r>
    <x v="128"/>
    <d v="2017-08-02T00:00:00"/>
    <x v="0"/>
    <s v="SURO - SUR OCCIDENTE"/>
    <s v="CONC - CONCESIONARIOS"/>
    <n v="8"/>
    <x v="62"/>
    <n v="8"/>
    <x v="115"/>
    <x v="1"/>
    <x v="1"/>
    <m/>
    <x v="3"/>
    <x v="62"/>
    <n v="3360504"/>
    <m/>
    <s v="NO TIENE CUPO"/>
    <n v="0"/>
    <x v="0"/>
    <x v="3"/>
    <x v="1"/>
    <x v="0"/>
    <n v="0"/>
    <x v="0"/>
    <x v="0"/>
    <s v="*CB-110                                           NEGRO    "/>
    <e v="#N/A"/>
    <s v=""/>
  </r>
  <r>
    <x v="128"/>
    <d v="2017-08-02T00:00:00"/>
    <x v="0"/>
    <s v="SURO - SUR OCCIDENTE"/>
    <s v="CONC - CONCESIONARIOS"/>
    <n v="5"/>
    <x v="62"/>
    <n v="5"/>
    <x v="115"/>
    <x v="1"/>
    <x v="14"/>
    <m/>
    <x v="3"/>
    <x v="62"/>
    <n v="3360504"/>
    <m/>
    <s v="NO TIENE CUPO"/>
    <n v="0"/>
    <x v="0"/>
    <x v="3"/>
    <x v="10"/>
    <x v="0"/>
    <n v="0"/>
    <x v="0"/>
    <x v="0"/>
    <s v="*CB-110                                           AZUL FIJI"/>
    <e v="#N/A"/>
    <s v=""/>
  </r>
  <r>
    <x v="128"/>
    <d v="2017-08-02T00:00:00"/>
    <x v="0"/>
    <s v="SURO - SUR OCCIDENTE"/>
    <s v="CONC - CONCESIONARIOS"/>
    <n v="2"/>
    <x v="62"/>
    <n v="2"/>
    <x v="115"/>
    <x v="1"/>
    <x v="7"/>
    <m/>
    <x v="3"/>
    <x v="62"/>
    <n v="3360504"/>
    <m/>
    <s v="NO TIENE CUPO"/>
    <n v="0"/>
    <x v="0"/>
    <x v="3"/>
    <x v="9"/>
    <x v="0"/>
    <n v="0"/>
    <x v="0"/>
    <x v="0"/>
    <s v="*CB-110                                           ROJO SPOR"/>
    <e v="#N/A"/>
    <s v=""/>
  </r>
  <r>
    <x v="128"/>
    <d v="2017-08-02T00:00:00"/>
    <x v="0"/>
    <s v="SURO - SUR OCCIDENTE"/>
    <s v="CONC - CONCESIONARIOS"/>
    <n v="5"/>
    <x v="62"/>
    <n v="5"/>
    <x v="115"/>
    <x v="2"/>
    <x v="15"/>
    <m/>
    <x v="3"/>
    <x v="62"/>
    <n v="5789916"/>
    <m/>
    <s v="NO TIENE CUPO"/>
    <n v="0"/>
    <x v="0"/>
    <x v="3"/>
    <x v="11"/>
    <x v="0"/>
    <n v="0"/>
    <x v="0"/>
    <x v="0"/>
    <s v="*XR 150L                                          NEGRO ROJ"/>
    <e v="#N/A"/>
    <s v=""/>
  </r>
  <r>
    <x v="128"/>
    <d v="2017-08-02T00:00:00"/>
    <x v="0"/>
    <s v="SURO - SUR OCCIDENTE"/>
    <s v="CONC - CONCESIONARIOS"/>
    <n v="5"/>
    <x v="62"/>
    <n v="5"/>
    <x v="115"/>
    <x v="2"/>
    <x v="13"/>
    <m/>
    <x v="3"/>
    <x v="62"/>
    <n v="5789916"/>
    <m/>
    <s v="NO TIENE CUPO"/>
    <n v="0"/>
    <x v="0"/>
    <x v="3"/>
    <x v="8"/>
    <x v="0"/>
    <n v="0"/>
    <x v="0"/>
    <x v="0"/>
    <s v="*XR 150L                                          NEGRO BLA"/>
    <e v="#N/A"/>
    <s v=""/>
  </r>
  <r>
    <x v="128"/>
    <d v="2017-08-02T00:00:00"/>
    <x v="0"/>
    <s v="SURO - SUR OCCIDENTE"/>
    <s v="CONC - CONCESIONARIOS"/>
    <n v="10"/>
    <x v="62"/>
    <n v="10"/>
    <x v="115"/>
    <x v="2"/>
    <x v="1"/>
    <m/>
    <x v="3"/>
    <x v="62"/>
    <n v="5789916"/>
    <m/>
    <s v="NO TIENE CUPO"/>
    <n v="0"/>
    <x v="0"/>
    <x v="3"/>
    <x v="2"/>
    <x v="0"/>
    <n v="0"/>
    <x v="0"/>
    <x v="0"/>
    <s v="*XR 150L                                          NEGRO    "/>
    <e v="#N/A"/>
    <s v=""/>
  </r>
  <r>
    <x v="128"/>
    <d v="2017-08-02T00:00:00"/>
    <x v="0"/>
    <s v="SURO - SUR OCCIDENTE"/>
    <s v="CONC - CONCESIONARIOS"/>
    <n v="1"/>
    <x v="62"/>
    <n v="1"/>
    <x v="115"/>
    <x v="5"/>
    <x v="5"/>
    <m/>
    <x v="3"/>
    <x v="62"/>
    <n v="6133613"/>
    <m/>
    <s v="NO TIENE CUPO"/>
    <n v="0"/>
    <x v="0"/>
    <x v="3"/>
    <x v="2"/>
    <x v="0"/>
    <n v="0"/>
    <x v="0"/>
    <x v="0"/>
    <s v="CB 160F DLX                                       NARANJA N"/>
    <e v="#N/A"/>
    <s v=""/>
  </r>
  <r>
    <x v="128"/>
    <d v="2017-08-02T00:00:00"/>
    <x v="0"/>
    <s v="SURO - SUR OCCIDENTE"/>
    <s v="CONC - CONCESIONARIOS"/>
    <n v="2"/>
    <x v="62"/>
    <n v="2"/>
    <x v="115"/>
    <x v="5"/>
    <x v="7"/>
    <m/>
    <x v="3"/>
    <x v="62"/>
    <n v="6133613"/>
    <m/>
    <s v="NO TIENE CUPO"/>
    <n v="0"/>
    <x v="0"/>
    <x v="3"/>
    <x v="13"/>
    <x v="0"/>
    <n v="0"/>
    <x v="0"/>
    <x v="0"/>
    <s v="CB 160F DLX                                       ROJO SPOR"/>
    <e v="#N/A"/>
    <s v=""/>
  </r>
  <r>
    <x v="128"/>
    <d v="2017-08-02T00:00:00"/>
    <x v="0"/>
    <s v="SURO - SUR OCCIDENTE"/>
    <s v="CONC - CONCESIONARIOS"/>
    <n v="10"/>
    <x v="62"/>
    <n v="10"/>
    <x v="115"/>
    <x v="5"/>
    <x v="8"/>
    <m/>
    <x v="3"/>
    <x v="62"/>
    <n v="6133613"/>
    <m/>
    <s v="NO TIENE CUPO"/>
    <n v="0"/>
    <x v="0"/>
    <x v="3"/>
    <x v="0"/>
    <x v="0"/>
    <n v="0"/>
    <x v="0"/>
    <x v="0"/>
    <s v="CB 160F DLX                                       NEGRO PER"/>
    <e v="#N/A"/>
    <s v=""/>
  </r>
  <r>
    <x v="128"/>
    <d v="2017-08-02T00:00:00"/>
    <x v="0"/>
    <s v="SURO - SUR OCCIDENTE"/>
    <s v="CONC - CONCESIONARIOS"/>
    <n v="6"/>
    <x v="62"/>
    <n v="6"/>
    <x v="115"/>
    <x v="5"/>
    <x v="9"/>
    <m/>
    <x v="3"/>
    <x v="62"/>
    <n v="6133613"/>
    <m/>
    <s v="NO TIENE CUPO"/>
    <n v="0"/>
    <x v="0"/>
    <x v="3"/>
    <x v="18"/>
    <x v="0"/>
    <n v="0"/>
    <x v="0"/>
    <x v="0"/>
    <s v="CB 160F DLX                                       BLANCO PE"/>
    <e v="#N/A"/>
    <s v=""/>
  </r>
  <r>
    <x v="128"/>
    <d v="2017-08-02T00:00:00"/>
    <x v="0"/>
    <s v="SURO - SUR OCCIDENTE"/>
    <s v="CONC - CONCESIONARIOS"/>
    <n v="4"/>
    <x v="62"/>
    <n v="4"/>
    <x v="115"/>
    <x v="6"/>
    <x v="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ROJO     "/>
    <e v="#N/A"/>
    <s v=""/>
  </r>
  <r>
    <x v="128"/>
    <d v="2017-08-02T00:00:00"/>
    <x v="0"/>
    <s v="SURO - SUR OCCIDENTE"/>
    <s v="CONC - CONCESIONARIOS"/>
    <n v="4"/>
    <x v="62"/>
    <n v="4"/>
    <x v="115"/>
    <x v="6"/>
    <x v="0"/>
    <m/>
    <x v="3"/>
    <x v="62"/>
    <n v="3521008"/>
    <m/>
    <s v="NO TIENE CUPO"/>
    <n v="0"/>
    <x v="0"/>
    <x v="3"/>
    <x v="7"/>
    <x v="0"/>
    <n v="0"/>
    <x v="0"/>
    <x v="0"/>
    <s v="DIO  110                                          BLANCO NE"/>
    <e v="#N/A"/>
    <s v=""/>
  </r>
  <r>
    <x v="128"/>
    <d v="2017-08-02T00:00:00"/>
    <x v="0"/>
    <s v="SURO - SUR OCCIDENTE"/>
    <s v="CONC - CONCESIONARIOS"/>
    <n v="4"/>
    <x v="62"/>
    <n v="4"/>
    <x v="115"/>
    <x v="6"/>
    <x v="1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AZUL     "/>
    <e v="#N/A"/>
    <s v=""/>
  </r>
  <r>
    <x v="128"/>
    <d v="2017-08-02T00:00:00"/>
    <x v="0"/>
    <s v="SURO - SUR OCCIDENTE"/>
    <s v="CONC - CONCESIONARIOS"/>
    <n v="8"/>
    <x v="62"/>
    <n v="8"/>
    <x v="115"/>
    <x v="10"/>
    <x v="20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AZU"/>
    <e v="#N/A"/>
    <s v=""/>
  </r>
  <r>
    <x v="128"/>
    <d v="2017-08-02T00:00:00"/>
    <x v="0"/>
    <s v="SURO - SUR OCCIDENTE"/>
    <s v="CONC - CONCESIONARIOS"/>
    <n v="6"/>
    <x v="62"/>
    <n v="6"/>
    <x v="115"/>
    <x v="10"/>
    <x v="15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ROJ"/>
    <e v="#N/A"/>
    <s v=""/>
  </r>
  <r>
    <x v="128"/>
    <d v="2017-08-02T00:00:00"/>
    <x v="0"/>
    <s v="SURO - SUR OCCIDENTE"/>
    <s v="CONC - CONCESIONARIOS"/>
    <n v="8"/>
    <x v="62"/>
    <n v="8"/>
    <x v="115"/>
    <x v="7"/>
    <x v="11"/>
    <m/>
    <x v="3"/>
    <x v="62"/>
    <n v="3941176"/>
    <m/>
    <s v="NO TIENE CUPO"/>
    <n v="0"/>
    <x v="0"/>
    <x v="3"/>
    <x v="7"/>
    <x v="0"/>
    <n v="0"/>
    <x v="0"/>
    <x v="0"/>
    <s v="WAVE 110S                                         BLANCO   "/>
    <e v="#N/A"/>
    <s v=""/>
  </r>
  <r>
    <x v="128"/>
    <d v="2017-08-02T00:00:00"/>
    <x v="0"/>
    <s v="SURO - SUR OCCIDENTE"/>
    <s v="CONC - CONCESIONARIOS"/>
    <n v="25"/>
    <x v="62"/>
    <n v="25"/>
    <x v="115"/>
    <x v="7"/>
    <x v="1"/>
    <m/>
    <x v="3"/>
    <x v="62"/>
    <n v="3941176"/>
    <m/>
    <s v="NO TIENE CUPO"/>
    <n v="0"/>
    <x v="0"/>
    <x v="3"/>
    <x v="0"/>
    <x v="0"/>
    <n v="0"/>
    <x v="0"/>
    <x v="0"/>
    <s v="WAVE 110S                                         NEGRO    "/>
    <e v="#N/A"/>
    <s v=""/>
  </r>
  <r>
    <x v="128"/>
    <d v="2017-08-02T00:00:00"/>
    <x v="0"/>
    <s v="SURO - SUR OCCIDENTE"/>
    <s v="CONC - CONCESIONARIOS"/>
    <n v="10"/>
    <x v="62"/>
    <n v="10"/>
    <x v="115"/>
    <x v="8"/>
    <x v="7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ROJO SPOR"/>
    <e v="#N/A"/>
    <s v=""/>
  </r>
  <r>
    <x v="128"/>
    <d v="2017-08-02T00:00:00"/>
    <x v="0"/>
    <s v="SURO - SUR OCCIDENTE"/>
    <s v="CONC - CONCESIONARIOS"/>
    <n v="15"/>
    <x v="62"/>
    <n v="15"/>
    <x v="115"/>
    <x v="8"/>
    <x v="8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NEGRO PER"/>
    <e v="#N/A"/>
    <s v=""/>
  </r>
  <r>
    <x v="128"/>
    <d v="2017-08-02T00:00:00"/>
    <x v="0"/>
    <s v="SURO - SUR OCCIDENTE"/>
    <s v="CONC - CONCESIONARIOS"/>
    <n v="10"/>
    <x v="62"/>
    <n v="10"/>
    <x v="115"/>
    <x v="8"/>
    <x v="9"/>
    <m/>
    <x v="3"/>
    <x v="62"/>
    <n v="5453782"/>
    <m/>
    <s v="NO TIENE CUPO"/>
    <n v="0"/>
    <x v="0"/>
    <x v="3"/>
    <x v="5"/>
    <x v="0"/>
    <n v="0"/>
    <x v="0"/>
    <x v="0"/>
    <s v="CB 160F STD                                       BLANCO PE"/>
    <e v="#N/A"/>
    <s v=""/>
  </r>
  <r>
    <x v="128"/>
    <d v="2017-08-02T00:00:00"/>
    <x v="0"/>
    <s v="SURO - SUR OCCIDENTE"/>
    <s v="CONC - CONCESIONARIOS"/>
    <n v="3"/>
    <x v="62"/>
    <n v="3"/>
    <x v="115"/>
    <x v="9"/>
    <x v="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ROJO     "/>
    <e v="#N/A"/>
    <s v=""/>
  </r>
  <r>
    <x v="128"/>
    <d v="2017-08-02T00:00:00"/>
    <x v="0"/>
    <s v="SURO - SUR OCCIDENTE"/>
    <s v="CONC - CONCESIONARIOS"/>
    <n v="7"/>
    <x v="62"/>
    <n v="7"/>
    <x v="115"/>
    <x v="9"/>
    <x v="1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AZUL     "/>
    <e v="#N/A"/>
    <s v=""/>
  </r>
  <r>
    <x v="128"/>
    <d v="2017-08-02T00:00:00"/>
    <x v="0"/>
    <s v="SURO - SUR OCCIDENTE"/>
    <s v="CONC - CONCESIONARIOS"/>
    <n v="10"/>
    <x v="62"/>
    <n v="10"/>
    <x v="115"/>
    <x v="9"/>
    <x v="1"/>
    <m/>
    <x v="3"/>
    <x v="62"/>
    <n v="3696639"/>
    <m/>
    <s v="NO TIENE CUPO"/>
    <n v="0"/>
    <x v="0"/>
    <x v="3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7"/>
    <x v="62"/>
    <n v="7"/>
    <x v="115"/>
    <x v="9"/>
    <x v="17"/>
    <m/>
    <x v="3"/>
    <x v="62"/>
    <n v="3696639"/>
    <m/>
    <s v="NO TIENE CUPO"/>
    <n v="0"/>
    <x v="0"/>
    <x v="3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1"/>
    <x v="63"/>
    <n v="1"/>
    <x v="116"/>
    <x v="1"/>
    <x v="18"/>
    <m/>
    <x v="93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29"/>
    <d v="2017-08-02T00:00:00"/>
    <x v="0"/>
    <s v="CTR - ZONA CENTRO"/>
    <s v="CONC - CONCESIONARIOS"/>
    <n v="1"/>
    <x v="63"/>
    <n v="1"/>
    <x v="116"/>
    <x v="1"/>
    <x v="23"/>
    <m/>
    <x v="93"/>
    <x v="63"/>
    <n v="3360504"/>
    <m/>
    <s v="NO TIENE CUPO"/>
    <n v="0"/>
    <x v="0"/>
    <x v="29"/>
    <x v="0"/>
    <x v="0"/>
    <n v="0"/>
    <x v="0"/>
    <x v="0"/>
    <s v="*CB-110                                           VERDE CAN"/>
    <e v="#N/A"/>
    <s v=""/>
  </r>
  <r>
    <x v="129"/>
    <d v="2017-08-02T00:00:00"/>
    <x v="0"/>
    <s v="CTR - ZONA CENTRO"/>
    <s v="CONC - CONCESIONARIOS"/>
    <n v="1"/>
    <x v="63"/>
    <n v="1"/>
    <x v="116"/>
    <x v="2"/>
    <x v="13"/>
    <m/>
    <x v="93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29"/>
    <d v="2017-08-02T00:00:00"/>
    <x v="0"/>
    <s v="CTR - ZONA CENTRO"/>
    <s v="CONC - CONCESIONARIOS"/>
    <n v="3"/>
    <x v="63"/>
    <n v="3"/>
    <x v="116"/>
    <x v="3"/>
    <x v="3"/>
    <m/>
    <x v="93"/>
    <x v="63"/>
    <n v="7554622"/>
    <m/>
    <s v="NO TIENE CUPO"/>
    <n v="0"/>
    <x v="0"/>
    <x v="29"/>
    <x v="0"/>
    <x v="0"/>
    <n v="0"/>
    <x v="0"/>
    <x v="0"/>
    <s v="CB 190R                                           NEGRO ONI"/>
    <e v="#N/A"/>
    <s v=""/>
  </r>
  <r>
    <x v="129"/>
    <d v="2017-08-02T00:00:00"/>
    <x v="0"/>
    <s v="CTR - ZONA CENTRO"/>
    <s v="CONC - CONCESIONARIOS"/>
    <n v="2"/>
    <x v="63"/>
    <n v="2"/>
    <x v="116"/>
    <x v="6"/>
    <x v="16"/>
    <m/>
    <x v="93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29"/>
    <d v="2017-08-02T00:00:00"/>
    <x v="0"/>
    <s v="CTR - ZONA CENTRO"/>
    <s v="CONC - CONCESIONARIOS"/>
    <n v="1"/>
    <x v="63"/>
    <n v="1"/>
    <x v="116"/>
    <x v="8"/>
    <x v="7"/>
    <m/>
    <x v="93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29"/>
    <d v="2017-08-02T00:00:00"/>
    <x v="0"/>
    <s v="CTR - ZONA CENTRO"/>
    <s v="CONC - CONCESIONARIOS"/>
    <n v="1"/>
    <x v="63"/>
    <n v="1"/>
    <x v="116"/>
    <x v="8"/>
    <x v="9"/>
    <m/>
    <x v="93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29"/>
    <d v="2017-08-02T00:00:00"/>
    <x v="0"/>
    <s v="CTR - ZONA CENTRO"/>
    <s v="CONC - CONCESIONARIOS"/>
    <n v="3"/>
    <x v="63"/>
    <n v="3"/>
    <x v="116"/>
    <x v="9"/>
    <x v="17"/>
    <m/>
    <x v="93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6"/>
    <x v="63"/>
    <n v="6"/>
    <x v="116"/>
    <x v="9"/>
    <x v="16"/>
    <m/>
    <x v="93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29"/>
    <d v="2017-08-02T00:00:00"/>
    <x v="0"/>
    <s v="CTR - ZONA CENTRO"/>
    <s v="CONC - CONCESIONARIOS"/>
    <n v="10"/>
    <x v="63"/>
    <n v="10"/>
    <x v="116"/>
    <x v="9"/>
    <x v="1"/>
    <m/>
    <x v="93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0"/>
    <d v="2017-08-02T00:00:00"/>
    <x v="0"/>
    <s v="CTR - ZONA CENTRO"/>
    <s v="CONC - CONCESIONARIOS"/>
    <n v="2"/>
    <x v="63"/>
    <n v="2"/>
    <x v="117"/>
    <x v="2"/>
    <x v="15"/>
    <m/>
    <x v="94"/>
    <x v="63"/>
    <n v="5789916"/>
    <m/>
    <s v="NO TIENE CUPO"/>
    <n v="0"/>
    <x v="0"/>
    <x v="40"/>
    <x v="11"/>
    <x v="0"/>
    <n v="0"/>
    <x v="0"/>
    <x v="0"/>
    <s v="*XR 150L                                          NEGRO ROJ"/>
    <e v="#N/A"/>
    <s v=""/>
  </r>
  <r>
    <x v="130"/>
    <d v="2017-08-02T00:00:00"/>
    <x v="0"/>
    <s v="CTR - ZONA CENTRO"/>
    <s v="CONC - CONCESIONARIOS"/>
    <n v="2"/>
    <x v="63"/>
    <n v="2"/>
    <x v="117"/>
    <x v="2"/>
    <x v="13"/>
    <m/>
    <x v="94"/>
    <x v="63"/>
    <n v="5789916"/>
    <m/>
    <s v="NO TIENE CUPO"/>
    <n v="0"/>
    <x v="0"/>
    <x v="40"/>
    <x v="8"/>
    <x v="0"/>
    <n v="0"/>
    <x v="0"/>
    <x v="0"/>
    <s v="*XR 150L                                          NEGRO BLA"/>
    <e v="#N/A"/>
    <s v=""/>
  </r>
  <r>
    <x v="130"/>
    <d v="2017-08-02T00:00:00"/>
    <x v="0"/>
    <s v="CTR - ZONA CENTRO"/>
    <s v="CONC - CONCESIONARIOS"/>
    <n v="2"/>
    <x v="63"/>
    <n v="2"/>
    <x v="117"/>
    <x v="2"/>
    <x v="1"/>
    <m/>
    <x v="94"/>
    <x v="63"/>
    <n v="5789916"/>
    <m/>
    <s v="NO TIENE CUPO"/>
    <n v="0"/>
    <x v="0"/>
    <x v="40"/>
    <x v="2"/>
    <x v="0"/>
    <n v="0"/>
    <x v="0"/>
    <x v="0"/>
    <s v="*XR 150L                                          NEGRO    "/>
    <e v="#N/A"/>
    <s v=""/>
  </r>
  <r>
    <x v="130"/>
    <d v="2017-08-02T00:00:00"/>
    <x v="0"/>
    <s v="CTR - ZONA CENTRO"/>
    <s v="CONC - CONCESIONARIOS"/>
    <n v="1"/>
    <x v="63"/>
    <n v="1"/>
    <x v="117"/>
    <x v="3"/>
    <x v="3"/>
    <m/>
    <x v="94"/>
    <x v="63"/>
    <n v="7554622"/>
    <m/>
    <s v="NO TIENE CUPO"/>
    <n v="0"/>
    <x v="0"/>
    <x v="40"/>
    <x v="0"/>
    <x v="0"/>
    <n v="0"/>
    <x v="0"/>
    <x v="0"/>
    <s v="CB 190R                                           NEGRO ONI"/>
    <e v="#N/A"/>
    <s v=""/>
  </r>
  <r>
    <x v="130"/>
    <d v="2017-08-02T00:00:00"/>
    <x v="0"/>
    <s v="CTR - ZONA CENTRO"/>
    <s v="CONC - CONCESIONARIOS"/>
    <n v="2"/>
    <x v="63"/>
    <n v="2"/>
    <x v="117"/>
    <x v="5"/>
    <x v="8"/>
    <m/>
    <x v="94"/>
    <x v="63"/>
    <n v="6133613"/>
    <m/>
    <s v="NO TIENE CUPO"/>
    <n v="0"/>
    <x v="0"/>
    <x v="40"/>
    <x v="0"/>
    <x v="0"/>
    <n v="0"/>
    <x v="0"/>
    <x v="0"/>
    <s v="CB 160F DLX                                       NEGRO PER"/>
    <e v="#N/A"/>
    <s v=""/>
  </r>
  <r>
    <x v="130"/>
    <d v="2017-08-02T00:00:00"/>
    <x v="0"/>
    <s v="CTR - ZONA CENTRO"/>
    <s v="CONC - CONCESIONARIOS"/>
    <n v="2"/>
    <x v="63"/>
    <n v="2"/>
    <x v="117"/>
    <x v="6"/>
    <x v="6"/>
    <m/>
    <x v="94"/>
    <x v="63"/>
    <n v="3521008"/>
    <m/>
    <s v="NO TIENE CUPO"/>
    <n v="0"/>
    <x v="0"/>
    <x v="40"/>
    <x v="0"/>
    <x v="0"/>
    <n v="0"/>
    <x v="0"/>
    <x v="0"/>
    <s v="DIO  110                                          ROJO     "/>
    <e v="#N/A"/>
    <s v=""/>
  </r>
  <r>
    <x v="130"/>
    <d v="2017-08-02T00:00:00"/>
    <x v="0"/>
    <s v="CTR - ZONA CENTRO"/>
    <s v="CONC - CONCESIONARIOS"/>
    <n v="1"/>
    <x v="63"/>
    <n v="1"/>
    <x v="117"/>
    <x v="10"/>
    <x v="12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ROJO ALFA"/>
    <e v="#N/A"/>
    <s v=""/>
  </r>
  <r>
    <x v="130"/>
    <d v="2017-08-02T00:00:00"/>
    <x v="0"/>
    <s v="CTR - ZONA CENTRO"/>
    <s v="CONC - CONCESIONARIOS"/>
    <n v="1"/>
    <x v="63"/>
    <n v="1"/>
    <x v="117"/>
    <x v="10"/>
    <x v="20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NEGRO AZU"/>
    <e v="#N/A"/>
    <s v=""/>
  </r>
  <r>
    <x v="130"/>
    <d v="2017-08-02T00:00:00"/>
    <x v="0"/>
    <s v="CTR - ZONA CENTRO"/>
    <s v="CONC - CONCESIONARIOS"/>
    <n v="1"/>
    <x v="63"/>
    <n v="1"/>
    <x v="117"/>
    <x v="9"/>
    <x v="17"/>
    <m/>
    <x v="94"/>
    <x v="63"/>
    <n v="3696639"/>
    <m/>
    <s v="NO TIENE CUPO"/>
    <n v="0"/>
    <x v="0"/>
    <x v="40"/>
    <x v="15"/>
    <x v="0"/>
    <n v="0"/>
    <x v="0"/>
    <x v="0"/>
    <s v="CB 110 DLX                                        GRIS     "/>
    <e v="#N/A"/>
    <s v=""/>
  </r>
  <r>
    <x v="131"/>
    <d v="2017-08-02T00:00:00"/>
    <x v="0"/>
    <s v="CTR - ZONA CENTRO"/>
    <s v="DIST - DISTRIBUIDORES"/>
    <n v="10"/>
    <x v="21"/>
    <n v="4"/>
    <x v="54"/>
    <x v="1"/>
    <x v="1"/>
    <n v="42950"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132"/>
    <d v="2017-08-02T00:00:00"/>
    <x v="0"/>
    <s v="CTR - ZONA CENTRO"/>
    <s v="CONC - CONCESIONARIOS"/>
    <n v="1"/>
    <x v="64"/>
    <n v="1"/>
    <x v="118"/>
    <x v="0"/>
    <x v="1"/>
    <m/>
    <x v="95"/>
    <x v="64"/>
    <n v="11496063"/>
    <m/>
    <n v="68342860"/>
    <n v="0"/>
    <x v="0"/>
    <x v="41"/>
    <x v="0"/>
    <x v="0"/>
    <n v="0"/>
    <x v="0"/>
    <x v="0"/>
    <s v="*XR-250 TORNADO pt MD34                           NEGRO    "/>
    <e v="#N/A"/>
    <s v=""/>
  </r>
  <r>
    <x v="132"/>
    <d v="2017-08-02T00:00:00"/>
    <x v="0"/>
    <s v="CTR - ZONA CENTRO"/>
    <s v="CONC - CONCESIONARIOS"/>
    <n v="3"/>
    <x v="64"/>
    <n v="3"/>
    <x v="118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2"/>
    <d v="2017-08-02T00:00:00"/>
    <x v="0"/>
    <s v="CTR - ZONA CENTRO"/>
    <s v="CONC - CONCESIONARIOS"/>
    <n v="5"/>
    <x v="64"/>
    <n v="5"/>
    <x v="118"/>
    <x v="3"/>
    <x v="3"/>
    <m/>
    <x v="95"/>
    <x v="64"/>
    <n v="7554622"/>
    <m/>
    <n v="68342860"/>
    <n v="0"/>
    <x v="0"/>
    <x v="41"/>
    <x v="0"/>
    <x v="0"/>
    <n v="0"/>
    <x v="0"/>
    <x v="0"/>
    <s v="CB 190R                                           NEGRO ONI"/>
    <e v="#N/A"/>
    <s v=""/>
  </r>
  <r>
    <x v="132"/>
    <d v="2017-08-02T00:00:00"/>
    <x v="0"/>
    <s v="CTR - ZONA CENTRO"/>
    <s v="CONC - CONCESIONARIOS"/>
    <n v="3"/>
    <x v="64"/>
    <n v="3"/>
    <x v="118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2"/>
    <d v="2017-08-02T00:00:00"/>
    <x v="0"/>
    <s v="CTR - ZONA CENTRO"/>
    <s v="CONC - CONCESIONARIOS"/>
    <n v="2"/>
    <x v="64"/>
    <n v="2"/>
    <x v="118"/>
    <x v="6"/>
    <x v="0"/>
    <m/>
    <x v="95"/>
    <x v="64"/>
    <n v="3521008"/>
    <m/>
    <n v="68342860"/>
    <n v="0"/>
    <x v="0"/>
    <x v="41"/>
    <x v="7"/>
    <x v="0"/>
    <n v="0"/>
    <x v="0"/>
    <x v="0"/>
    <s v="DIO  110                                          BLANCO NE"/>
    <e v="#N/A"/>
    <s v=""/>
  </r>
  <r>
    <x v="132"/>
    <d v="2017-08-02T00:00:00"/>
    <x v="0"/>
    <s v="CTR - ZONA CENTRO"/>
    <s v="CONC - CONCESIONARIOS"/>
    <n v="2"/>
    <x v="64"/>
    <n v="2"/>
    <x v="118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2"/>
    <d v="2017-08-02T00:00:00"/>
    <x v="0"/>
    <s v="CTR - ZONA CENTRO"/>
    <s v="CONC - CONCESIONARIOS"/>
    <n v="1"/>
    <x v="64"/>
    <n v="1"/>
    <x v="118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2"/>
    <d v="2017-08-02T00:00:00"/>
    <x v="0"/>
    <s v="CTR - ZONA CENTRO"/>
    <s v="CONC - CONCESIONARIOS"/>
    <n v="1"/>
    <x v="64"/>
    <n v="1"/>
    <x v="118"/>
    <x v="8"/>
    <x v="9"/>
    <m/>
    <x v="95"/>
    <x v="64"/>
    <n v="5453782"/>
    <m/>
    <n v="68342860"/>
    <n v="0"/>
    <x v="0"/>
    <x v="41"/>
    <x v="5"/>
    <x v="0"/>
    <n v="0"/>
    <x v="0"/>
    <x v="0"/>
    <s v="CB 160F STD                                       BLANCO PE"/>
    <e v="#N/A"/>
    <s v=""/>
  </r>
  <r>
    <x v="132"/>
    <d v="2017-08-02T00:00:00"/>
    <x v="0"/>
    <s v="CTR - ZONA CENTRO"/>
    <s v="CONC - CONCESIONARIOS"/>
    <n v="3"/>
    <x v="64"/>
    <n v="3"/>
    <x v="118"/>
    <x v="8"/>
    <x v="7"/>
    <m/>
    <x v="95"/>
    <x v="64"/>
    <n v="5453782"/>
    <m/>
    <n v="68342860"/>
    <n v="0"/>
    <x v="0"/>
    <x v="41"/>
    <x v="0"/>
    <x v="0"/>
    <n v="0"/>
    <x v="0"/>
    <x v="0"/>
    <s v="CB 160F STD                                       ROJO SPOR"/>
    <e v="#N/A"/>
    <s v=""/>
  </r>
  <r>
    <x v="132"/>
    <d v="2017-08-02T00:00:00"/>
    <x v="0"/>
    <s v="CTR - ZONA CENTRO"/>
    <s v="CONC - CONCESIONARIOS"/>
    <n v="3"/>
    <x v="64"/>
    <n v="3"/>
    <x v="118"/>
    <x v="8"/>
    <x v="8"/>
    <m/>
    <x v="95"/>
    <x v="64"/>
    <n v="5453782"/>
    <m/>
    <n v="68342860"/>
    <n v="0"/>
    <x v="0"/>
    <x v="41"/>
    <x v="0"/>
    <x v="0"/>
    <n v="0"/>
    <x v="0"/>
    <x v="0"/>
    <s v="CB 160F STD                                       NEGRO PER"/>
    <e v="#N/A"/>
    <s v=""/>
  </r>
  <r>
    <x v="132"/>
    <d v="2017-08-02T00:00:00"/>
    <x v="0"/>
    <s v="CTR - ZONA CENTRO"/>
    <s v="CONC - CONCESIONARIOS"/>
    <n v="10"/>
    <x v="64"/>
    <n v="10"/>
    <x v="118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3"/>
    <d v="2017-08-02T00:00:00"/>
    <x v="0"/>
    <s v="CTR - ZONA CENTRO"/>
    <s v="CONC - CONCESIONARIOS"/>
    <n v="2"/>
    <x v="64"/>
    <n v="2"/>
    <x v="119"/>
    <x v="2"/>
    <x v="15"/>
    <m/>
    <x v="95"/>
    <x v="64"/>
    <n v="5789916"/>
    <m/>
    <n v="68342860"/>
    <n v="0"/>
    <x v="0"/>
    <x v="41"/>
    <x v="11"/>
    <x v="0"/>
    <n v="0"/>
    <x v="0"/>
    <x v="0"/>
    <s v="*XR 150L  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3"/>
    <d v="2017-08-02T00:00:00"/>
    <x v="0"/>
    <s v="CTR - ZONA CENTRO"/>
    <s v="CONC - CONCESIONARIOS"/>
    <n v="1"/>
    <x v="64"/>
    <n v="1"/>
    <x v="119"/>
    <x v="2"/>
    <x v="1"/>
    <m/>
    <x v="95"/>
    <x v="64"/>
    <n v="5789916"/>
    <m/>
    <n v="68342860"/>
    <n v="0"/>
    <x v="0"/>
    <x v="41"/>
    <x v="2"/>
    <x v="0"/>
    <n v="0"/>
    <x v="0"/>
    <x v="0"/>
    <s v="*XR 150L                                          NEGRO    "/>
    <e v="#N/A"/>
    <s v=""/>
  </r>
  <r>
    <x v="133"/>
    <d v="2017-08-02T00:00:00"/>
    <x v="0"/>
    <s v="CTR - ZONA CENTRO"/>
    <s v="CONC - CONCESIONARIOS"/>
    <n v="1"/>
    <x v="64"/>
    <n v="1"/>
    <x v="119"/>
    <x v="5"/>
    <x v="5"/>
    <m/>
    <x v="95"/>
    <x v="64"/>
    <n v="6133613"/>
    <m/>
    <n v="68342860"/>
    <n v="0"/>
    <x v="0"/>
    <x v="41"/>
    <x v="2"/>
    <x v="0"/>
    <n v="0"/>
    <x v="0"/>
    <x v="0"/>
    <s v="CB 160F DLX                                       NARANJA N"/>
    <e v="#N/A"/>
    <s v=""/>
  </r>
  <r>
    <x v="133"/>
    <d v="2017-08-02T00:00:00"/>
    <x v="0"/>
    <s v="CTR - ZONA CENTRO"/>
    <s v="CONC - CONCESIONARIOS"/>
    <n v="2"/>
    <x v="64"/>
    <n v="2"/>
    <x v="119"/>
    <x v="5"/>
    <x v="7"/>
    <m/>
    <x v="95"/>
    <x v="64"/>
    <n v="6133613"/>
    <m/>
    <n v="68342860"/>
    <n v="0"/>
    <x v="0"/>
    <x v="41"/>
    <x v="13"/>
    <x v="0"/>
    <n v="0"/>
    <x v="0"/>
    <x v="0"/>
    <s v="CB 160F DLX                                       ROJO SPOR"/>
    <e v="#N/A"/>
    <s v=""/>
  </r>
  <r>
    <x v="133"/>
    <d v="2017-08-02T00:00:00"/>
    <x v="0"/>
    <s v="CTR - ZONA CENTRO"/>
    <s v="CONC - CONCESIONARIOS"/>
    <n v="2"/>
    <x v="64"/>
    <n v="2"/>
    <x v="119"/>
    <x v="5"/>
    <x v="8"/>
    <m/>
    <x v="95"/>
    <x v="64"/>
    <n v="6133613"/>
    <m/>
    <n v="68342860"/>
    <n v="0"/>
    <x v="0"/>
    <x v="41"/>
    <x v="0"/>
    <x v="0"/>
    <n v="0"/>
    <x v="0"/>
    <x v="0"/>
    <s v="CB 160F DLX                                       NEGRO PER"/>
    <e v="#N/A"/>
    <s v=""/>
  </r>
  <r>
    <x v="133"/>
    <d v="2017-08-02T00:00:00"/>
    <x v="0"/>
    <s v="CTR - ZONA CENTRO"/>
    <s v="CONC - CONCESIONARIOS"/>
    <n v="1"/>
    <x v="64"/>
    <n v="1"/>
    <x v="119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3"/>
    <d v="2017-08-02T00:00:00"/>
    <x v="0"/>
    <s v="CTR - ZONA CENTRO"/>
    <s v="CONC - CONCESIONARIOS"/>
    <n v="2"/>
    <x v="64"/>
    <n v="2"/>
    <x v="119"/>
    <x v="6"/>
    <x v="6"/>
    <m/>
    <x v="95"/>
    <x v="64"/>
    <n v="3521008"/>
    <m/>
    <n v="68342860"/>
    <n v="0"/>
    <x v="0"/>
    <x v="41"/>
    <x v="0"/>
    <x v="0"/>
    <n v="0"/>
    <x v="0"/>
    <x v="0"/>
    <s v="DIO  110 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3"/>
    <d v="2017-08-02T00:00:00"/>
    <x v="0"/>
    <s v="CTR - ZONA CENTRO"/>
    <s v="CONC - CONCESIONARIOS"/>
    <n v="1"/>
    <x v="64"/>
    <n v="1"/>
    <x v="119"/>
    <x v="10"/>
    <x v="15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3"/>
    <d v="2017-08-02T00:00:00"/>
    <x v="0"/>
    <s v="CTR - ZONA CENTRO"/>
    <s v="CONC - CONCESIONARIOS"/>
    <n v="2"/>
    <x v="64"/>
    <n v="2"/>
    <x v="119"/>
    <x v="7"/>
    <x v="6"/>
    <m/>
    <x v="95"/>
    <x v="64"/>
    <n v="3941176"/>
    <m/>
    <n v="68342860"/>
    <n v="0"/>
    <x v="0"/>
    <x v="41"/>
    <x v="0"/>
    <x v="0"/>
    <n v="0"/>
    <x v="0"/>
    <x v="0"/>
    <s v="WAVE 110S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7"/>
    <x v="11"/>
    <m/>
    <x v="95"/>
    <x v="64"/>
    <n v="3941176"/>
    <m/>
    <n v="68342860"/>
    <n v="0"/>
    <x v="0"/>
    <x v="41"/>
    <x v="7"/>
    <x v="0"/>
    <n v="0"/>
    <x v="0"/>
    <x v="0"/>
    <s v="WAVE 110S                                         BLANCO   "/>
    <e v="#N/A"/>
    <s v=""/>
  </r>
  <r>
    <x v="133"/>
    <d v="2017-08-02T00:00:00"/>
    <x v="0"/>
    <s v="CTR - ZONA CENTRO"/>
    <s v="CONC - CONCESIONARIOS"/>
    <n v="2"/>
    <x v="64"/>
    <n v="2"/>
    <x v="119"/>
    <x v="9"/>
    <x v="16"/>
    <m/>
    <x v="95"/>
    <x v="64"/>
    <n v="3696639"/>
    <m/>
    <n v="68342860"/>
    <n v="0"/>
    <x v="0"/>
    <x v="41"/>
    <x v="14"/>
    <x v="0"/>
    <n v="0"/>
    <x v="0"/>
    <x v="0"/>
    <s v="CB 110 DLX                                        AZUL     "/>
    <e v="#N/A"/>
    <s v=""/>
  </r>
  <r>
    <x v="133"/>
    <d v="2017-08-02T00:00:00"/>
    <x v="0"/>
    <s v="CTR - ZONA CENTRO"/>
    <s v="CONC - CONCESIONARIOS"/>
    <n v="3"/>
    <x v="64"/>
    <n v="3"/>
    <x v="119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4"/>
    <d v="2017-08-02T00:00:00"/>
    <x v="0"/>
    <s v="CTR - ZONA CENTRO"/>
    <s v="CONC - CONCESIONARIOS"/>
    <n v="3"/>
    <x v="64"/>
    <n v="3"/>
    <x v="120"/>
    <x v="1"/>
    <x v="1"/>
    <m/>
    <x v="96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2"/>
    <x v="15"/>
    <m/>
    <x v="96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4"/>
    <d v="2017-08-02T00:00:00"/>
    <x v="0"/>
    <s v="CTR - ZONA CENTRO"/>
    <s v="CONC - CONCESIONARIOS"/>
    <n v="1"/>
    <x v="64"/>
    <n v="1"/>
    <x v="120"/>
    <x v="2"/>
    <x v="13"/>
    <m/>
    <x v="96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4"/>
    <d v="2017-08-02T00:00:00"/>
    <x v="0"/>
    <s v="CTR - ZONA CENTRO"/>
    <s v="CONC - CONCESIONARIOS"/>
    <n v="1"/>
    <x v="64"/>
    <n v="1"/>
    <x v="120"/>
    <x v="2"/>
    <x v="1"/>
    <m/>
    <x v="96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3"/>
    <x v="2"/>
    <m/>
    <x v="96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4"/>
    <d v="2017-08-02T00:00:00"/>
    <x v="0"/>
    <s v="CTR - ZONA CENTRO"/>
    <s v="CONC - CONCESIONARIOS"/>
    <n v="1"/>
    <x v="64"/>
    <n v="1"/>
    <x v="120"/>
    <x v="3"/>
    <x v="3"/>
    <m/>
    <x v="96"/>
    <x v="64"/>
    <n v="7554622"/>
    <m/>
    <n v="68342860"/>
    <n v="0"/>
    <x v="0"/>
    <x v="28"/>
    <x v="0"/>
    <x v="0"/>
    <n v="0"/>
    <x v="0"/>
    <x v="0"/>
    <s v="CB 190R                                           NEGRO ONI"/>
    <e v="#N/A"/>
    <s v=""/>
  </r>
  <r>
    <x v="134"/>
    <d v="2017-08-02T00:00:00"/>
    <x v="0"/>
    <s v="CTR - ZONA CENTRO"/>
    <s v="CONC - CONCESIONARIOS"/>
    <n v="1"/>
    <x v="64"/>
    <n v="1"/>
    <x v="120"/>
    <x v="4"/>
    <x v="4"/>
    <m/>
    <x v="96"/>
    <x v="64"/>
    <n v="7730252"/>
    <m/>
    <n v="68342860"/>
    <n v="0"/>
    <x v="0"/>
    <x v="28"/>
    <x v="4"/>
    <x v="0"/>
    <n v="0"/>
    <x v="0"/>
    <x v="0"/>
    <s v="CB 190 REPSOL                                     NARANJA B"/>
    <e v="#N/A"/>
    <s v=""/>
  </r>
  <r>
    <x v="134"/>
    <d v="2017-08-02T00:00:00"/>
    <x v="0"/>
    <s v="CTR - ZONA CENTRO"/>
    <s v="CONC - CONCESIONARIOS"/>
    <n v="1"/>
    <x v="64"/>
    <n v="1"/>
    <x v="120"/>
    <x v="5"/>
    <x v="5"/>
    <m/>
    <x v="96"/>
    <x v="64"/>
    <n v="6133613"/>
    <m/>
    <n v="68342860"/>
    <n v="0"/>
    <x v="0"/>
    <x v="28"/>
    <x v="2"/>
    <x v="0"/>
    <n v="0"/>
    <x v="0"/>
    <x v="0"/>
    <s v="CB 160F DLX                                       NARANJA N"/>
    <e v="#N/A"/>
    <s v=""/>
  </r>
  <r>
    <x v="134"/>
    <d v="2017-08-02T00:00:00"/>
    <x v="0"/>
    <s v="CTR - ZONA CENTRO"/>
    <s v="CONC - CONCESIONARIOS"/>
    <n v="1"/>
    <x v="64"/>
    <n v="1"/>
    <x v="120"/>
    <x v="5"/>
    <x v="8"/>
    <m/>
    <x v="96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4"/>
    <d v="2017-08-02T00:00:00"/>
    <x v="0"/>
    <s v="CTR - ZONA CENTRO"/>
    <s v="CONC - CONCESIONARIOS"/>
    <n v="1"/>
    <x v="64"/>
    <n v="1"/>
    <x v="120"/>
    <x v="6"/>
    <x v="16"/>
    <m/>
    <x v="96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4"/>
    <d v="2017-08-02T00:00:00"/>
    <x v="0"/>
    <s v="CTR - ZONA CENTRO"/>
    <s v="CONC - CONCESIONARIOS"/>
    <n v="1"/>
    <x v="64"/>
    <n v="1"/>
    <x v="120"/>
    <x v="6"/>
    <x v="6"/>
    <m/>
    <x v="96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10"/>
    <x v="12"/>
    <m/>
    <x v="96"/>
    <x v="64"/>
    <n v="3067227"/>
    <m/>
    <n v="68342860"/>
    <n v="0"/>
    <x v="0"/>
    <x v="28"/>
    <x v="0"/>
    <x v="0"/>
    <n v="0"/>
    <x v="0"/>
    <x v="0"/>
    <s v="DREAM  NEO                                        ROJO ALFA"/>
    <e v="#N/A"/>
    <s v=""/>
  </r>
  <r>
    <x v="134"/>
    <d v="2017-08-02T00:00:00"/>
    <x v="0"/>
    <s v="CTR - ZONA CENTRO"/>
    <s v="CONC - CONCESIONARIOS"/>
    <n v="1"/>
    <x v="64"/>
    <n v="1"/>
    <x v="120"/>
    <x v="7"/>
    <x v="6"/>
    <m/>
    <x v="96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7"/>
    <x v="1"/>
    <m/>
    <x v="96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8"/>
    <x v="8"/>
    <m/>
    <x v="96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4"/>
    <d v="2017-08-02T00:00:00"/>
    <x v="0"/>
    <s v="CTR - ZONA CENTRO"/>
    <s v="CONC - CONCESIONARIOS"/>
    <n v="3"/>
    <x v="64"/>
    <n v="3"/>
    <x v="120"/>
    <x v="9"/>
    <x v="1"/>
    <m/>
    <x v="96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5"/>
    <d v="2017-08-02T00:00:00"/>
    <x v="0"/>
    <s v="CTR - ZONA CENTRO"/>
    <s v="CONC - CONCESIONARIOS"/>
    <n v="2"/>
    <x v="64"/>
    <n v="2"/>
    <x v="121"/>
    <x v="1"/>
    <x v="1"/>
    <m/>
    <x v="97"/>
    <x v="64"/>
    <n v="3360504"/>
    <m/>
    <n v="68342860"/>
    <n v="0"/>
    <x v="0"/>
    <x v="42"/>
    <x v="1"/>
    <x v="0"/>
    <n v="0"/>
    <x v="0"/>
    <x v="0"/>
    <s v="*CB-110 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2"/>
    <x v="1"/>
    <m/>
    <x v="97"/>
    <x v="64"/>
    <n v="5789916"/>
    <m/>
    <n v="68342860"/>
    <n v="0"/>
    <x v="0"/>
    <x v="42"/>
    <x v="2"/>
    <x v="0"/>
    <n v="0"/>
    <x v="0"/>
    <x v="0"/>
    <s v="*XR 150L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3"/>
    <x v="2"/>
    <m/>
    <x v="97"/>
    <x v="64"/>
    <n v="7554622"/>
    <m/>
    <n v="68342860"/>
    <n v="0"/>
    <x v="0"/>
    <x v="42"/>
    <x v="3"/>
    <x v="0"/>
    <n v="0"/>
    <x v="0"/>
    <x v="0"/>
    <s v="CB 190R                                           ROJO NEGR"/>
    <e v="#N/A"/>
    <s v=""/>
  </r>
  <r>
    <x v="135"/>
    <d v="2017-08-02T00:00:00"/>
    <x v="0"/>
    <s v="CTR - ZONA CENTRO"/>
    <s v="CONC - CONCESIONARIOS"/>
    <n v="1"/>
    <x v="64"/>
    <n v="1"/>
    <x v="121"/>
    <x v="4"/>
    <x v="4"/>
    <m/>
    <x v="97"/>
    <x v="64"/>
    <n v="7730252"/>
    <m/>
    <n v="68342860"/>
    <n v="0"/>
    <x v="0"/>
    <x v="42"/>
    <x v="4"/>
    <x v="0"/>
    <n v="0"/>
    <x v="0"/>
    <x v="0"/>
    <s v="CB 190 REPSOL                                     NARANJA B"/>
    <e v="#N/A"/>
    <s v=""/>
  </r>
  <r>
    <x v="135"/>
    <d v="2017-08-02T00:00:00"/>
    <x v="0"/>
    <s v="CTR - ZONA CENTRO"/>
    <s v="CONC - CONCESIONARIOS"/>
    <n v="1"/>
    <x v="64"/>
    <n v="1"/>
    <x v="121"/>
    <x v="5"/>
    <x v="8"/>
    <m/>
    <x v="97"/>
    <x v="64"/>
    <n v="6133613"/>
    <m/>
    <n v="68342860"/>
    <n v="0"/>
    <x v="0"/>
    <x v="42"/>
    <x v="0"/>
    <x v="0"/>
    <n v="0"/>
    <x v="0"/>
    <x v="0"/>
    <s v="CB 160F DLX                                       NEGRO PER"/>
    <e v="#N/A"/>
    <s v=""/>
  </r>
  <r>
    <x v="135"/>
    <d v="2017-08-02T00:00:00"/>
    <x v="0"/>
    <s v="CTR - ZONA CENTRO"/>
    <s v="CONC - CONCESIONARIOS"/>
    <n v="1"/>
    <x v="64"/>
    <n v="1"/>
    <x v="121"/>
    <x v="5"/>
    <x v="5"/>
    <m/>
    <x v="97"/>
    <x v="64"/>
    <n v="6133613"/>
    <m/>
    <n v="68342860"/>
    <n v="0"/>
    <x v="0"/>
    <x v="42"/>
    <x v="2"/>
    <x v="0"/>
    <n v="0"/>
    <x v="0"/>
    <x v="0"/>
    <s v="CB 160F DLX                                       NARANJA N"/>
    <e v="#N/A"/>
    <s v=""/>
  </r>
  <r>
    <x v="135"/>
    <d v="2017-08-02T00:00:00"/>
    <x v="0"/>
    <s v="CTR - ZONA CENTRO"/>
    <s v="CONC - CONCESIONARIOS"/>
    <n v="1"/>
    <x v="64"/>
    <n v="1"/>
    <x v="121"/>
    <x v="10"/>
    <x v="20"/>
    <m/>
    <x v="97"/>
    <x v="64"/>
    <n v="3067227"/>
    <m/>
    <n v="68342860"/>
    <n v="0"/>
    <x v="0"/>
    <x v="42"/>
    <x v="0"/>
    <x v="0"/>
    <n v="0"/>
    <x v="0"/>
    <x v="0"/>
    <s v="DREAM  NEO                                        NEGRO AZU"/>
    <e v="#N/A"/>
    <s v=""/>
  </r>
  <r>
    <x v="135"/>
    <d v="2017-08-02T00:00:00"/>
    <x v="0"/>
    <s v="CTR - ZONA CENTRO"/>
    <s v="CONC - CONCESIONARIOS"/>
    <n v="1"/>
    <x v="64"/>
    <n v="1"/>
    <x v="121"/>
    <x v="7"/>
    <x v="6"/>
    <m/>
    <x v="97"/>
    <x v="64"/>
    <n v="3941176"/>
    <m/>
    <n v="68342860"/>
    <n v="0"/>
    <x v="0"/>
    <x v="42"/>
    <x v="0"/>
    <x v="0"/>
    <n v="0"/>
    <x v="0"/>
    <x v="0"/>
    <s v="WAVE 110S                                         ROJO     "/>
    <e v="#N/A"/>
    <s v=""/>
  </r>
  <r>
    <x v="135"/>
    <d v="2017-08-02T00:00:00"/>
    <x v="0"/>
    <s v="CTR - ZONA CENTRO"/>
    <s v="CONC - CONCESIONARIOS"/>
    <n v="1"/>
    <x v="64"/>
    <n v="1"/>
    <x v="121"/>
    <x v="9"/>
    <x v="1"/>
    <m/>
    <x v="97"/>
    <x v="64"/>
    <n v="3696639"/>
    <m/>
    <n v="68342860"/>
    <n v="0"/>
    <x v="0"/>
    <x v="42"/>
    <x v="2"/>
    <x v="0"/>
    <n v="0"/>
    <x v="0"/>
    <x v="0"/>
    <s v="CB 110 DLX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"/>
    <x v="18"/>
    <m/>
    <x v="53"/>
    <x v="64"/>
    <n v="3360504"/>
    <m/>
    <n v="68342860"/>
    <n v="0"/>
    <x v="0"/>
    <x v="28"/>
    <x v="15"/>
    <x v="0"/>
    <n v="0"/>
    <x v="0"/>
    <x v="0"/>
    <s v="*CB-110                                           GRIS MET "/>
    <e v="#N/A"/>
    <s v=""/>
  </r>
  <r>
    <x v="136"/>
    <d v="2017-08-02T00:00:00"/>
    <x v="0"/>
    <s v="CTR - ZONA CENTRO"/>
    <s v="CONC - CONCESIONARIOS"/>
    <n v="1"/>
    <x v="64"/>
    <n v="1"/>
    <x v="122"/>
    <x v="1"/>
    <x v="7"/>
    <m/>
    <x v="53"/>
    <x v="64"/>
    <n v="3360504"/>
    <m/>
    <n v="68342860"/>
    <n v="0"/>
    <x v="0"/>
    <x v="28"/>
    <x v="9"/>
    <x v="0"/>
    <n v="0"/>
    <x v="0"/>
    <x v="0"/>
    <s v="*CB-110                                           ROJO SPOR"/>
    <e v="#N/A"/>
    <s v=""/>
  </r>
  <r>
    <x v="136"/>
    <d v="2017-08-02T00:00:00"/>
    <x v="0"/>
    <s v="CTR - ZONA CENTRO"/>
    <s v="CONC - CONCESIONARIOS"/>
    <n v="2"/>
    <x v="64"/>
    <n v="2"/>
    <x v="122"/>
    <x v="1"/>
    <x v="1"/>
    <m/>
    <x v="53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3"/>
    <x v="21"/>
    <m/>
    <x v="53"/>
    <x v="64"/>
    <n v="5168067"/>
    <m/>
    <n v="68342860"/>
    <n v="0"/>
    <x v="0"/>
    <x v="28"/>
    <x v="17"/>
    <x v="0"/>
    <n v="0"/>
    <x v="0"/>
    <x v="0"/>
    <s v="*INVICTA                                          AZUL NEON"/>
    <e v="#N/A"/>
    <s v=""/>
  </r>
  <r>
    <x v="136"/>
    <d v="2017-08-02T00:00:00"/>
    <x v="0"/>
    <s v="CTR - ZONA CENTRO"/>
    <s v="CONC - CONCESIONARIOS"/>
    <n v="6"/>
    <x v="64"/>
    <n v="6"/>
    <x v="122"/>
    <x v="2"/>
    <x v="15"/>
    <m/>
    <x v="53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6"/>
    <d v="2017-08-02T00:00:00"/>
    <x v="0"/>
    <s v="CTR - ZONA CENTRO"/>
    <s v="CONC - CONCESIONARIOS"/>
    <n v="5"/>
    <x v="64"/>
    <n v="5"/>
    <x v="122"/>
    <x v="2"/>
    <x v="13"/>
    <m/>
    <x v="53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6"/>
    <d v="2017-08-02T00:00:00"/>
    <x v="0"/>
    <s v="CTR - ZONA CENTRO"/>
    <s v="CONC - CONCESIONARIOS"/>
    <n v="6"/>
    <x v="64"/>
    <n v="6"/>
    <x v="122"/>
    <x v="2"/>
    <x v="1"/>
    <m/>
    <x v="53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3"/>
    <x v="2"/>
    <m/>
    <x v="53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6"/>
    <d v="2017-08-02T00:00:00"/>
    <x v="0"/>
    <s v="CTR - ZONA CENTRO"/>
    <s v="CONC - CONCESIONARIOS"/>
    <n v="1"/>
    <x v="64"/>
    <n v="1"/>
    <x v="122"/>
    <x v="5"/>
    <x v="7"/>
    <m/>
    <x v="53"/>
    <x v="64"/>
    <n v="6133613"/>
    <m/>
    <n v="68342860"/>
    <n v="0"/>
    <x v="0"/>
    <x v="28"/>
    <x v="13"/>
    <x v="0"/>
    <n v="0"/>
    <x v="0"/>
    <x v="0"/>
    <s v="CB 160F DLX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5"/>
    <x v="8"/>
    <m/>
    <x v="53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6"/>
    <x v="16"/>
    <m/>
    <x v="53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6"/>
    <d v="2017-08-02T00:00:00"/>
    <x v="0"/>
    <s v="CTR - ZONA CENTRO"/>
    <s v="CONC - CONCESIONARIOS"/>
    <n v="1"/>
    <x v="64"/>
    <n v="1"/>
    <x v="122"/>
    <x v="6"/>
    <x v="0"/>
    <m/>
    <x v="53"/>
    <x v="64"/>
    <n v="3521008"/>
    <m/>
    <n v="68342860"/>
    <n v="0"/>
    <x v="0"/>
    <x v="28"/>
    <x v="7"/>
    <x v="0"/>
    <n v="0"/>
    <x v="0"/>
    <x v="0"/>
    <s v="DIO  110                                          BLANCO NE"/>
    <e v="#N/A"/>
    <s v=""/>
  </r>
  <r>
    <x v="136"/>
    <d v="2017-08-02T00:00:00"/>
    <x v="0"/>
    <s v="CTR - ZONA CENTRO"/>
    <s v="CONC - CONCESIONARIOS"/>
    <n v="1"/>
    <x v="64"/>
    <n v="1"/>
    <x v="122"/>
    <x v="6"/>
    <x v="6"/>
    <m/>
    <x v="53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6"/>
    <m/>
    <x v="53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1"/>
    <m/>
    <x v="53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8"/>
    <x v="7"/>
    <m/>
    <x v="53"/>
    <x v="64"/>
    <n v="5453782"/>
    <m/>
    <n v="68342860"/>
    <n v="0"/>
    <x v="0"/>
    <x v="28"/>
    <x v="0"/>
    <x v="0"/>
    <n v="0"/>
    <x v="0"/>
    <x v="0"/>
    <s v="CB 160F STD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8"/>
    <x v="8"/>
    <m/>
    <x v="53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9"/>
    <x v="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ROJO     "/>
    <e v="#N/A"/>
    <s v=""/>
  </r>
  <r>
    <x v="136"/>
    <d v="2017-08-02T00:00:00"/>
    <x v="0"/>
    <s v="CTR - ZONA CENTRO"/>
    <s v="CONC - CONCESIONARIOS"/>
    <n v="2"/>
    <x v="64"/>
    <n v="2"/>
    <x v="122"/>
    <x v="9"/>
    <x v="1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AZUL     "/>
    <e v="#N/A"/>
    <s v=""/>
  </r>
  <r>
    <x v="136"/>
    <d v="2017-08-02T00:00:00"/>
    <x v="0"/>
    <s v="CTR - ZONA CENTRO"/>
    <s v="CONC - CONCESIONARIOS"/>
    <n v="5"/>
    <x v="64"/>
    <n v="5"/>
    <x v="122"/>
    <x v="9"/>
    <x v="1"/>
    <m/>
    <x v="53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2"/>
    <x v="15"/>
    <m/>
    <x v="98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7"/>
    <d v="2017-08-02T00:00:00"/>
    <x v="0"/>
    <s v="CTR - ZONA CENTRO"/>
    <s v="CONC - CONCESIONARIOS"/>
    <n v="1"/>
    <x v="63"/>
    <n v="1"/>
    <x v="123"/>
    <x v="2"/>
    <x v="1"/>
    <m/>
    <x v="98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7"/>
    <d v="2017-08-02T00:00:00"/>
    <x v="0"/>
    <s v="CTR - ZONA CENTRO"/>
    <s v="CONC - CONCESIONARIOS"/>
    <n v="2"/>
    <x v="63"/>
    <n v="2"/>
    <x v="123"/>
    <x v="5"/>
    <x v="8"/>
    <m/>
    <x v="98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6"/>
    <x v="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ROJO     "/>
    <e v="#N/A"/>
    <s v=""/>
  </r>
  <r>
    <x v="137"/>
    <d v="2017-08-02T00:00:00"/>
    <x v="0"/>
    <s v="CTR - ZONA CENTRO"/>
    <s v="CONC - CONCESIONARIOS"/>
    <n v="1"/>
    <x v="63"/>
    <n v="1"/>
    <x v="123"/>
    <x v="6"/>
    <x v="1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10"/>
    <x v="20"/>
    <m/>
    <x v="98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7"/>
    <d v="2017-08-02T00:00:00"/>
    <x v="0"/>
    <s v="CTR - ZONA CENTRO"/>
    <s v="CONC - CONCESIONARIOS"/>
    <n v="1"/>
    <x v="63"/>
    <n v="1"/>
    <x v="123"/>
    <x v="7"/>
    <x v="11"/>
    <m/>
    <x v="98"/>
    <x v="63"/>
    <n v="3941176"/>
    <m/>
    <s v="NO TIENE CUPO"/>
    <n v="0"/>
    <x v="0"/>
    <x v="29"/>
    <x v="7"/>
    <x v="0"/>
    <n v="0"/>
    <x v="0"/>
    <x v="0"/>
    <s v="WAVE 110S                                         BLANCO   "/>
    <e v="#N/A"/>
    <s v=""/>
  </r>
  <r>
    <x v="137"/>
    <d v="2017-08-02T00:00:00"/>
    <x v="0"/>
    <s v="CTR - ZONA CENTRO"/>
    <s v="CONC - CONCESIONARIOS"/>
    <n v="1"/>
    <x v="63"/>
    <n v="1"/>
    <x v="123"/>
    <x v="7"/>
    <x v="1"/>
    <m/>
    <x v="98"/>
    <x v="63"/>
    <n v="3941176"/>
    <m/>
    <s v="NO TIENE CUPO"/>
    <n v="0"/>
    <x v="0"/>
    <x v="29"/>
    <x v="0"/>
    <x v="0"/>
    <n v="0"/>
    <x v="0"/>
    <x v="0"/>
    <s v="WAVE 110S 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8"/>
    <x v="7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7"/>
    <d v="2017-08-02T00:00:00"/>
    <x v="0"/>
    <s v="CTR - ZONA CENTRO"/>
    <s v="CONC - CONCESIONARIOS"/>
    <n v="2"/>
    <x v="63"/>
    <n v="2"/>
    <x v="123"/>
    <x v="8"/>
    <x v="8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8"/>
    <x v="9"/>
    <m/>
    <x v="98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37"/>
    <d v="2017-08-02T00:00:00"/>
    <x v="0"/>
    <s v="CTR - ZONA CENTRO"/>
    <s v="CONC - CONCESIONARIOS"/>
    <n v="1"/>
    <x v="63"/>
    <n v="1"/>
    <x v="123"/>
    <x v="9"/>
    <x v="17"/>
    <m/>
    <x v="98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7"/>
    <d v="2017-08-02T00:00:00"/>
    <x v="0"/>
    <s v="CTR - ZONA CENTRO"/>
    <s v="CONC - CONCESIONARIOS"/>
    <n v="1"/>
    <x v="63"/>
    <n v="1"/>
    <x v="123"/>
    <x v="9"/>
    <x v="16"/>
    <m/>
    <x v="98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9"/>
    <x v="1"/>
    <m/>
    <x v="98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8"/>
    <d v="2017-08-02T00:00:00"/>
    <x v="0"/>
    <s v="CTR - ZONA CENTRO"/>
    <s v="CONC - CONCESIONARIOS"/>
    <n v="1"/>
    <x v="65"/>
    <n v="1"/>
    <x v="124"/>
    <x v="0"/>
    <x v="0"/>
    <m/>
    <x v="99"/>
    <x v="65"/>
    <n v="11496063"/>
    <m/>
    <s v="NO TIENE CUPO"/>
    <n v="0"/>
    <x v="0"/>
    <x v="39"/>
    <x v="0"/>
    <x v="0"/>
    <n v="0"/>
    <x v="0"/>
    <x v="0"/>
    <s v="*XR-250 TORNADO pt MD34                           BLANCO NE"/>
    <e v="#N/A"/>
    <s v=""/>
  </r>
  <r>
    <x v="138"/>
    <d v="2017-08-02T00:00:00"/>
    <x v="0"/>
    <s v="CTR - ZONA CENTRO"/>
    <s v="CONC - CONCESIONARIOS"/>
    <n v="3"/>
    <x v="65"/>
    <n v="3"/>
    <x v="124"/>
    <x v="1"/>
    <x v="14"/>
    <m/>
    <x v="99"/>
    <x v="65"/>
    <n v="3360504"/>
    <m/>
    <s v="NO TIENE CUPO"/>
    <n v="0"/>
    <x v="0"/>
    <x v="39"/>
    <x v="10"/>
    <x v="5"/>
    <n v="10081512"/>
    <x v="1"/>
    <x v="3"/>
    <s v="*CB-110                                           AZUL FIJI"/>
    <s v="ENTREGAS"/>
    <s v="E"/>
  </r>
  <r>
    <x v="138"/>
    <d v="2017-08-02T00:00:00"/>
    <x v="0"/>
    <s v="CTR - ZONA CENTRO"/>
    <s v="CONC - CONCESIONARIOS"/>
    <n v="2"/>
    <x v="65"/>
    <n v="2"/>
    <x v="124"/>
    <x v="1"/>
    <x v="18"/>
    <m/>
    <x v="99"/>
    <x v="65"/>
    <n v="3360504"/>
    <m/>
    <s v="NO TIENE CUPO"/>
    <n v="0"/>
    <x v="0"/>
    <x v="39"/>
    <x v="15"/>
    <x v="6"/>
    <n v="6721008"/>
    <x v="1"/>
    <x v="3"/>
    <s v="*CB-110                                           GRIS MET "/>
    <s v="ENTREGAS"/>
    <s v="E"/>
  </r>
  <r>
    <x v="138"/>
    <d v="2017-08-02T00:00:00"/>
    <x v="0"/>
    <s v="CTR - ZONA CENTRO"/>
    <s v="CONC - CONCESIONARIOS"/>
    <n v="3"/>
    <x v="65"/>
    <n v="3"/>
    <x v="124"/>
    <x v="1"/>
    <x v="7"/>
    <m/>
    <x v="99"/>
    <x v="65"/>
    <n v="3360504"/>
    <m/>
    <s v="NO TIENE CUPO"/>
    <n v="0"/>
    <x v="0"/>
    <x v="39"/>
    <x v="9"/>
    <x v="5"/>
    <n v="10081512"/>
    <x v="1"/>
    <x v="3"/>
    <s v="*CB-110                                           ROJO SPOR"/>
    <s v="ENTREGAS"/>
    <s v="E"/>
  </r>
  <r>
    <x v="138"/>
    <d v="2017-08-02T00:00:00"/>
    <x v="0"/>
    <s v="CTR - ZONA CENTRO"/>
    <s v="CONC - CONCESIONARIOS"/>
    <n v="6"/>
    <x v="65"/>
    <n v="6"/>
    <x v="124"/>
    <x v="1"/>
    <x v="1"/>
    <m/>
    <x v="99"/>
    <x v="65"/>
    <n v="3360504"/>
    <m/>
    <s v="NO TIENE CUPO"/>
    <n v="0"/>
    <x v="0"/>
    <x v="39"/>
    <x v="1"/>
    <x v="2"/>
    <n v="20163024"/>
    <x v="1"/>
    <x v="3"/>
    <s v="*CB-110                                           NEGRO    "/>
    <s v="ENTREGAS"/>
    <s v="E"/>
  </r>
  <r>
    <x v="138"/>
    <d v="2017-08-02T00:00:00"/>
    <x v="0"/>
    <s v="CTR - ZONA CENTRO"/>
    <s v="CONC - CONCESIONARIOS"/>
    <n v="6"/>
    <x v="65"/>
    <n v="6"/>
    <x v="124"/>
    <x v="2"/>
    <x v="13"/>
    <m/>
    <x v="99"/>
    <x v="65"/>
    <n v="5789916"/>
    <m/>
    <s v="NO TIENE CUPO"/>
    <n v="0"/>
    <x v="0"/>
    <x v="39"/>
    <x v="8"/>
    <x v="2"/>
    <n v="34739496"/>
    <x v="1"/>
    <x v="3"/>
    <s v="*XR 150L                                          NEGRO BLA"/>
    <s v="ENTREGAS"/>
    <s v="E"/>
  </r>
  <r>
    <x v="138"/>
    <d v="2017-08-02T00:00:00"/>
    <x v="0"/>
    <s v="CTR - ZONA CENTRO"/>
    <s v="CONC - CONCESIONARIOS"/>
    <n v="2"/>
    <x v="65"/>
    <n v="2"/>
    <x v="124"/>
    <x v="6"/>
    <x v="16"/>
    <m/>
    <x v="99"/>
    <x v="65"/>
    <n v="3521008"/>
    <m/>
    <s v="NO TIENE CUPO"/>
    <n v="0"/>
    <x v="0"/>
    <x v="39"/>
    <x v="0"/>
    <x v="0"/>
    <n v="0"/>
    <x v="0"/>
    <x v="0"/>
    <s v="DIO  110                                          AZUL     "/>
    <e v="#N/A"/>
    <s v=""/>
  </r>
  <r>
    <x v="139"/>
    <d v="2017-08-02T00:00:00"/>
    <x v="0"/>
    <s v="CTR - ZONA CENTRO"/>
    <s v="CONC - CONCESIONARIOS"/>
    <n v="1"/>
    <x v="63"/>
    <n v="1"/>
    <x v="125"/>
    <x v="1"/>
    <x v="18"/>
    <m/>
    <x v="54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39"/>
    <d v="2017-08-02T00:00:00"/>
    <x v="0"/>
    <s v="CTR - ZONA CENTRO"/>
    <s v="CONC - CONCESIONARIOS"/>
    <n v="1"/>
    <x v="63"/>
    <n v="1"/>
    <x v="125"/>
    <x v="1"/>
    <x v="7"/>
    <m/>
    <x v="54"/>
    <x v="63"/>
    <n v="3360504"/>
    <m/>
    <s v="NO TIENE CUPO"/>
    <n v="0"/>
    <x v="0"/>
    <x v="29"/>
    <x v="9"/>
    <x v="0"/>
    <n v="0"/>
    <x v="0"/>
    <x v="0"/>
    <s v="*CB-110                                           ROJO SPOR"/>
    <e v="#N/A"/>
    <s v=""/>
  </r>
  <r>
    <x v="139"/>
    <d v="2017-08-02T00:00:00"/>
    <x v="0"/>
    <s v="CTR - ZONA CENTRO"/>
    <s v="CONC - CONCESIONARIOS"/>
    <n v="3"/>
    <x v="63"/>
    <n v="3"/>
    <x v="125"/>
    <x v="1"/>
    <x v="1"/>
    <m/>
    <x v="54"/>
    <x v="63"/>
    <n v="3360504"/>
    <m/>
    <s v="NO TIENE CUPO"/>
    <n v="0"/>
    <x v="0"/>
    <x v="29"/>
    <x v="1"/>
    <x v="0"/>
    <n v="0"/>
    <x v="0"/>
    <x v="0"/>
    <s v="*CB-110 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1"/>
    <x v="14"/>
    <m/>
    <x v="54"/>
    <x v="63"/>
    <n v="3360504"/>
    <m/>
    <s v="NO TIENE CUPO"/>
    <n v="0"/>
    <x v="0"/>
    <x v="29"/>
    <x v="10"/>
    <x v="0"/>
    <n v="0"/>
    <x v="0"/>
    <x v="0"/>
    <s v="*CB-110                                           AZUL FIJI"/>
    <e v="#N/A"/>
    <s v=""/>
  </r>
  <r>
    <x v="139"/>
    <d v="2017-08-02T00:00:00"/>
    <x v="0"/>
    <s v="CTR - ZONA CENTRO"/>
    <s v="CONC - CONCESIONARIOS"/>
    <n v="2"/>
    <x v="63"/>
    <n v="2"/>
    <x v="125"/>
    <x v="2"/>
    <x v="15"/>
    <m/>
    <x v="54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9"/>
    <d v="2017-08-02T00:00:00"/>
    <x v="0"/>
    <s v="CTR - ZONA CENTRO"/>
    <s v="CONC - CONCESIONARIOS"/>
    <n v="1"/>
    <x v="63"/>
    <n v="1"/>
    <x v="125"/>
    <x v="2"/>
    <x v="13"/>
    <m/>
    <x v="54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39"/>
    <d v="2017-08-02T00:00:00"/>
    <x v="0"/>
    <s v="CTR - ZONA CENTRO"/>
    <s v="CONC - CONCESIONARIOS"/>
    <n v="2"/>
    <x v="63"/>
    <n v="2"/>
    <x v="125"/>
    <x v="2"/>
    <x v="1"/>
    <m/>
    <x v="54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5"/>
    <x v="5"/>
    <m/>
    <x v="54"/>
    <x v="63"/>
    <n v="6133613"/>
    <m/>
    <s v="NO TIENE CUPO"/>
    <n v="0"/>
    <x v="0"/>
    <x v="29"/>
    <x v="2"/>
    <x v="0"/>
    <n v="0"/>
    <x v="0"/>
    <x v="0"/>
    <s v="CB 160F DLX                                       NARANJA N"/>
    <e v="#N/A"/>
    <s v=""/>
  </r>
  <r>
    <x v="139"/>
    <d v="2017-08-02T00:00:00"/>
    <x v="0"/>
    <s v="CTR - ZONA CENTRO"/>
    <s v="CONC - CONCESIONARIOS"/>
    <n v="1"/>
    <x v="63"/>
    <n v="1"/>
    <x v="125"/>
    <x v="5"/>
    <x v="8"/>
    <m/>
    <x v="54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9"/>
    <d v="2017-08-02T00:00:00"/>
    <x v="0"/>
    <s v="CTR - ZONA CENTRO"/>
    <s v="CONC - CONCESIONARIOS"/>
    <n v="1"/>
    <x v="63"/>
    <n v="1"/>
    <x v="125"/>
    <x v="10"/>
    <x v="20"/>
    <m/>
    <x v="54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9"/>
    <d v="2017-08-02T00:00:00"/>
    <x v="0"/>
    <s v="CTR - ZONA CENTRO"/>
    <s v="CONC - CONCESIONARIOS"/>
    <n v="1"/>
    <x v="63"/>
    <n v="1"/>
    <x v="125"/>
    <x v="7"/>
    <x v="6"/>
    <m/>
    <x v="54"/>
    <x v="63"/>
    <n v="3941176"/>
    <m/>
    <s v="NO TIENE CUPO"/>
    <n v="0"/>
    <x v="0"/>
    <x v="29"/>
    <x v="0"/>
    <x v="0"/>
    <n v="0"/>
    <x v="0"/>
    <x v="0"/>
    <s v="WAVE 110S                                         ROJO     "/>
    <e v="#N/A"/>
    <s v=""/>
  </r>
  <r>
    <x v="139"/>
    <d v="2017-08-02T00:00:00"/>
    <x v="0"/>
    <s v="CTR - ZONA CENTRO"/>
    <s v="CONC - CONCESIONARIOS"/>
    <n v="1"/>
    <x v="63"/>
    <n v="1"/>
    <x v="125"/>
    <x v="8"/>
    <x v="7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9"/>
    <d v="2017-08-02T00:00:00"/>
    <x v="0"/>
    <s v="CTR - ZONA CENTRO"/>
    <s v="CONC - CONCESIONARIOS"/>
    <n v="1"/>
    <x v="63"/>
    <n v="1"/>
    <x v="125"/>
    <x v="8"/>
    <x v="8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9"/>
    <d v="2017-08-02T00:00:00"/>
    <x v="0"/>
    <s v="CTR - ZONA CENTRO"/>
    <s v="CONC - CONCESIONARIOS"/>
    <n v="2"/>
    <x v="63"/>
    <n v="2"/>
    <x v="125"/>
    <x v="9"/>
    <x v="17"/>
    <m/>
    <x v="54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9"/>
    <d v="2017-08-02T00:00:00"/>
    <x v="0"/>
    <s v="CTR - ZONA CENTRO"/>
    <s v="CONC - CONCESIONARIOS"/>
    <n v="2"/>
    <x v="63"/>
    <n v="2"/>
    <x v="125"/>
    <x v="9"/>
    <x v="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ROJO     "/>
    <e v="#N/A"/>
    <s v=""/>
  </r>
  <r>
    <x v="139"/>
    <d v="2017-08-02T00:00:00"/>
    <x v="0"/>
    <s v="CTR - ZONA CENTRO"/>
    <s v="CONC - CONCESIONARIOS"/>
    <n v="3"/>
    <x v="63"/>
    <n v="3"/>
    <x v="125"/>
    <x v="9"/>
    <x v="1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9"/>
    <d v="2017-08-02T00:00:00"/>
    <x v="0"/>
    <s v="CTR - ZONA CENTRO"/>
    <s v="CONC - CONCESIONARIOS"/>
    <n v="5"/>
    <x v="63"/>
    <n v="5"/>
    <x v="125"/>
    <x v="9"/>
    <x v="1"/>
    <m/>
    <x v="54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40"/>
    <d v="2017-08-02T00:00:00"/>
    <x v="0"/>
    <s v="CTR - ZONA CENTRO"/>
    <s v="CONC - CONCESIONARIOS"/>
    <n v="3"/>
    <x v="66"/>
    <n v="3"/>
    <x v="126"/>
    <x v="0"/>
    <x v="0"/>
    <m/>
    <x v="0"/>
    <x v="66"/>
    <n v="11496063"/>
    <m/>
    <n v="68304202"/>
    <n v="0"/>
    <x v="0"/>
    <x v="0"/>
    <x v="0"/>
    <x v="0"/>
    <n v="0"/>
    <x v="0"/>
    <x v="0"/>
    <s v="*XR-250 TORNADO pt MD34                           BLANCO NE"/>
    <e v="#N/A"/>
    <s v=""/>
  </r>
  <r>
    <x v="140"/>
    <d v="2017-08-02T00:00:00"/>
    <x v="0"/>
    <s v="CTR - ZONA CENTRO"/>
    <s v="CONC - CONCESIONARIOS"/>
    <n v="1"/>
    <x v="66"/>
    <n v="1"/>
    <x v="126"/>
    <x v="16"/>
    <x v="24"/>
    <m/>
    <x v="0"/>
    <x v="66"/>
    <n v="4445378"/>
    <m/>
    <n v="68304202"/>
    <n v="0"/>
    <x v="0"/>
    <x v="0"/>
    <x v="0"/>
    <x v="0"/>
    <n v="0"/>
    <x v="0"/>
    <x v="0"/>
    <s v="*CBF-125 pt                                       AMARILLO "/>
    <e v="#N/A"/>
    <s v=""/>
  </r>
  <r>
    <x v="140"/>
    <d v="2017-08-02T00:00:00"/>
    <x v="0"/>
    <s v="CTR - ZONA CENTRO"/>
    <s v="CONC - CONCESIONARIOS"/>
    <n v="1"/>
    <x v="66"/>
    <n v="1"/>
    <x v="126"/>
    <x v="1"/>
    <x v="1"/>
    <m/>
    <x v="0"/>
    <x v="66"/>
    <n v="3360504"/>
    <m/>
    <n v="68304202"/>
    <n v="0"/>
    <x v="0"/>
    <x v="0"/>
    <x v="1"/>
    <x v="0"/>
    <n v="0"/>
    <x v="0"/>
    <x v="0"/>
    <s v="*CB-110                                           NEGRO    "/>
    <e v="#N/A"/>
    <s v=""/>
  </r>
  <r>
    <x v="140"/>
    <d v="2017-08-02T00:00:00"/>
    <x v="0"/>
    <s v="CTR - ZONA CENTRO"/>
    <s v="CONC - CONCESIONARIOS"/>
    <n v="5"/>
    <x v="66"/>
    <n v="5"/>
    <x v="126"/>
    <x v="1"/>
    <x v="23"/>
    <m/>
    <x v="0"/>
    <x v="66"/>
    <n v="3360504"/>
    <m/>
    <n v="68304202"/>
    <n v="0"/>
    <x v="0"/>
    <x v="0"/>
    <x v="0"/>
    <x v="0"/>
    <n v="0"/>
    <x v="0"/>
    <x v="0"/>
    <s v="*CB-110                                           VERDE CAN"/>
    <e v="#N/A"/>
    <s v=""/>
  </r>
  <r>
    <x v="140"/>
    <d v="2017-08-02T00:00:00"/>
    <x v="0"/>
    <s v="CTR - ZONA CENTRO"/>
    <s v="CONC - CONCESIONARIOS"/>
    <n v="2"/>
    <x v="66"/>
    <n v="2"/>
    <x v="126"/>
    <x v="1"/>
    <x v="14"/>
    <m/>
    <x v="0"/>
    <x v="66"/>
    <n v="3360504"/>
    <m/>
    <n v="68304202"/>
    <n v="0"/>
    <x v="0"/>
    <x v="0"/>
    <x v="10"/>
    <x v="0"/>
    <n v="0"/>
    <x v="0"/>
    <x v="0"/>
    <s v="*CB-110                                           AZUL FIJI"/>
    <e v="#N/A"/>
    <s v=""/>
  </r>
  <r>
    <x v="140"/>
    <d v="2017-08-02T00:00:00"/>
    <x v="0"/>
    <s v="CTR - ZONA CENTRO"/>
    <s v="CONC - CONCESIONARIOS"/>
    <n v="5"/>
    <x v="66"/>
    <n v="5"/>
    <x v="126"/>
    <x v="2"/>
    <x v="15"/>
    <m/>
    <x v="0"/>
    <x v="66"/>
    <n v="5789916"/>
    <m/>
    <n v="68304202"/>
    <n v="0"/>
    <x v="0"/>
    <x v="0"/>
    <x v="11"/>
    <x v="0"/>
    <n v="0"/>
    <x v="0"/>
    <x v="0"/>
    <s v="*XR 150L                                          NEGRO ROJ"/>
    <e v="#N/A"/>
    <s v=""/>
  </r>
  <r>
    <x v="140"/>
    <d v="2017-08-02T00:00:00"/>
    <x v="0"/>
    <s v="CTR - ZONA CENTRO"/>
    <s v="CONC - CONCESIONARIOS"/>
    <n v="2"/>
    <x v="66"/>
    <n v="2"/>
    <x v="126"/>
    <x v="2"/>
    <x v="1"/>
    <m/>
    <x v="0"/>
    <x v="66"/>
    <n v="5789916"/>
    <m/>
    <n v="68304202"/>
    <n v="0"/>
    <x v="0"/>
    <x v="0"/>
    <x v="2"/>
    <x v="0"/>
    <n v="0"/>
    <x v="0"/>
    <x v="0"/>
    <s v="*XR 150L                                          NEGRO    "/>
    <e v="#N/A"/>
    <s v=""/>
  </r>
  <r>
    <x v="140"/>
    <d v="2017-08-02T00:00:00"/>
    <x v="0"/>
    <s v="CTR - ZONA CENTRO"/>
    <s v="CONC - CONCESIONARIOS"/>
    <n v="15"/>
    <x v="66"/>
    <n v="15"/>
    <x v="126"/>
    <x v="3"/>
    <x v="3"/>
    <m/>
    <x v="0"/>
    <x v="66"/>
    <n v="7554622"/>
    <m/>
    <n v="68304202"/>
    <n v="0"/>
    <x v="0"/>
    <x v="0"/>
    <x v="0"/>
    <x v="0"/>
    <n v="0"/>
    <x v="0"/>
    <x v="0"/>
    <s v="CB 190R                                           NEGRO ONI"/>
    <e v="#N/A"/>
    <s v=""/>
  </r>
  <r>
    <x v="140"/>
    <d v="2017-08-02T00:00:00"/>
    <x v="0"/>
    <s v="CTR - ZONA CENTRO"/>
    <s v="CONC - CONCESIONARIOS"/>
    <n v="10"/>
    <x v="66"/>
    <n v="10"/>
    <x v="126"/>
    <x v="4"/>
    <x v="4"/>
    <m/>
    <x v="0"/>
    <x v="66"/>
    <n v="7730252"/>
    <m/>
    <n v="68304202"/>
    <n v="0"/>
    <x v="0"/>
    <x v="0"/>
    <x v="4"/>
    <x v="0"/>
    <n v="0"/>
    <x v="0"/>
    <x v="0"/>
    <s v="CB 190 REPSOL                                     NARANJA B"/>
    <e v="#N/A"/>
    <s v=""/>
  </r>
  <r>
    <x v="140"/>
    <d v="2017-08-02T00:00:00"/>
    <x v="0"/>
    <s v="CTR - ZONA CENTRO"/>
    <s v="CONC - CONCESIONARIOS"/>
    <n v="5"/>
    <x v="66"/>
    <n v="5"/>
    <x v="126"/>
    <x v="6"/>
    <x v="16"/>
    <m/>
    <x v="0"/>
    <x v="66"/>
    <n v="3521008"/>
    <m/>
    <n v="68304202"/>
    <n v="0"/>
    <x v="0"/>
    <x v="0"/>
    <x v="0"/>
    <x v="0"/>
    <n v="0"/>
    <x v="0"/>
    <x v="0"/>
    <s v="DIO  110                                          AZUL     "/>
    <e v="#N/A"/>
    <s v=""/>
  </r>
  <r>
    <x v="140"/>
    <d v="2017-08-02T00:00:00"/>
    <x v="0"/>
    <s v="CTR - ZONA CENTRO"/>
    <s v="CONC - CONCESIONARIOS"/>
    <n v="5"/>
    <x v="66"/>
    <n v="5"/>
    <x v="126"/>
    <x v="6"/>
    <x v="0"/>
    <m/>
    <x v="0"/>
    <x v="66"/>
    <n v="3521008"/>
    <m/>
    <n v="68304202"/>
    <n v="0"/>
    <x v="0"/>
    <x v="0"/>
    <x v="7"/>
    <x v="0"/>
    <n v="0"/>
    <x v="0"/>
    <x v="0"/>
    <s v="DIO  110                                          BLANCO NE"/>
    <e v="#N/A"/>
    <s v=""/>
  </r>
  <r>
    <x v="140"/>
    <d v="2017-08-02T00:00:00"/>
    <x v="0"/>
    <s v="CTR - ZONA CENTRO"/>
    <s v="CONC - CONCESIONARIOS"/>
    <n v="10"/>
    <x v="66"/>
    <n v="10"/>
    <x v="126"/>
    <x v="6"/>
    <x v="6"/>
    <m/>
    <x v="0"/>
    <x v="66"/>
    <n v="3521008"/>
    <m/>
    <n v="68304202"/>
    <n v="0"/>
    <x v="0"/>
    <x v="0"/>
    <x v="0"/>
    <x v="0"/>
    <n v="0"/>
    <x v="0"/>
    <x v="0"/>
    <s v="DIO  110                                          ROJO     "/>
    <e v="#N/A"/>
    <s v=""/>
  </r>
  <r>
    <x v="140"/>
    <d v="2017-08-02T00:00:00"/>
    <x v="0"/>
    <s v="CTR - ZONA CENTRO"/>
    <s v="CONC - CONCESIONARIOS"/>
    <n v="10"/>
    <x v="66"/>
    <n v="10"/>
    <x v="126"/>
    <x v="14"/>
    <x v="3"/>
    <m/>
    <x v="0"/>
    <x v="66"/>
    <n v="7730252"/>
    <m/>
    <n v="68304202"/>
    <n v="0"/>
    <x v="0"/>
    <x v="0"/>
    <x v="0"/>
    <x v="0"/>
    <n v="0"/>
    <x v="0"/>
    <x v="0"/>
    <s v="CB 190R INSTINTO R                                NEGRO ONI"/>
    <e v="#N/A"/>
    <s v=""/>
  </r>
  <r>
    <x v="140"/>
    <d v="2017-08-02T00:00:00"/>
    <x v="0"/>
    <s v="CTR - ZONA CENTRO"/>
    <s v="CONC - CONCESIONARIOS"/>
    <n v="15"/>
    <x v="66"/>
    <n v="15"/>
    <x v="126"/>
    <x v="8"/>
    <x v="7"/>
    <m/>
    <x v="0"/>
    <x v="66"/>
    <n v="5453782"/>
    <m/>
    <n v="68304202"/>
    <n v="0"/>
    <x v="0"/>
    <x v="0"/>
    <x v="0"/>
    <x v="0"/>
    <n v="0"/>
    <x v="0"/>
    <x v="0"/>
    <s v="CB 160F STD                                       ROJO SPOR"/>
    <e v="#N/A"/>
    <s v=""/>
  </r>
  <r>
    <x v="140"/>
    <d v="2017-08-02T00:00:00"/>
    <x v="0"/>
    <s v="CTR - ZONA CENTRO"/>
    <s v="CONC - CONCESIONARIOS"/>
    <n v="15"/>
    <x v="66"/>
    <n v="15"/>
    <x v="126"/>
    <x v="8"/>
    <x v="8"/>
    <m/>
    <x v="0"/>
    <x v="66"/>
    <n v="5453782"/>
    <m/>
    <n v="68304202"/>
    <n v="0"/>
    <x v="0"/>
    <x v="0"/>
    <x v="0"/>
    <x v="0"/>
    <n v="0"/>
    <x v="0"/>
    <x v="0"/>
    <s v="CB 160F STD                                       NEGRO PER"/>
    <e v="#N/A"/>
    <s v=""/>
  </r>
  <r>
    <x v="140"/>
    <d v="2017-08-02T00:00:00"/>
    <x v="0"/>
    <s v="CTR - ZONA CENTRO"/>
    <s v="CONC - CONCESIONARIOS"/>
    <n v="15"/>
    <x v="66"/>
    <n v="15"/>
    <x v="126"/>
    <x v="8"/>
    <x v="9"/>
    <m/>
    <x v="0"/>
    <x v="66"/>
    <n v="5453782"/>
    <m/>
    <n v="68304202"/>
    <n v="0"/>
    <x v="0"/>
    <x v="0"/>
    <x v="5"/>
    <x v="0"/>
    <n v="0"/>
    <x v="0"/>
    <x v="0"/>
    <s v="CB 160F STD                                       BLANCO PE"/>
    <e v="#N/A"/>
    <s v=""/>
  </r>
  <r>
    <x v="140"/>
    <d v="2017-08-02T00:00:00"/>
    <x v="0"/>
    <s v="CTR - ZONA CENTRO"/>
    <s v="CONC - CONCESIONARIOS"/>
    <n v="5"/>
    <x v="66"/>
    <n v="5"/>
    <x v="126"/>
    <x v="9"/>
    <x v="17"/>
    <m/>
    <x v="0"/>
    <x v="66"/>
    <n v="3696639"/>
    <m/>
    <n v="68304202"/>
    <n v="0"/>
    <x v="0"/>
    <x v="0"/>
    <x v="15"/>
    <x v="0"/>
    <n v="0"/>
    <x v="0"/>
    <x v="0"/>
    <s v="CB 110 DLX                                        GRIS     "/>
    <e v="#N/A"/>
    <s v=""/>
  </r>
  <r>
    <x v="140"/>
    <d v="2017-08-02T00:00:00"/>
    <x v="0"/>
    <s v="CTR - ZONA CENTRO"/>
    <s v="CONC - CONCESIONARIOS"/>
    <n v="6"/>
    <x v="66"/>
    <n v="6"/>
    <x v="126"/>
    <x v="9"/>
    <x v="6"/>
    <m/>
    <x v="0"/>
    <x v="66"/>
    <n v="3696639"/>
    <m/>
    <n v="68304202"/>
    <n v="0"/>
    <x v="0"/>
    <x v="0"/>
    <x v="14"/>
    <x v="0"/>
    <n v="0"/>
    <x v="0"/>
    <x v="0"/>
    <s v="CB 110 DLX                                        ROJO     "/>
    <e v="#N/A"/>
    <s v=""/>
  </r>
  <r>
    <x v="140"/>
    <d v="2017-08-02T00:00:00"/>
    <x v="0"/>
    <s v="CTR - ZONA CENTRO"/>
    <s v="CONC - CONCESIONARIOS"/>
    <n v="8"/>
    <x v="66"/>
    <n v="8"/>
    <x v="126"/>
    <x v="9"/>
    <x v="1"/>
    <m/>
    <x v="0"/>
    <x v="66"/>
    <n v="3696639"/>
    <m/>
    <n v="68304202"/>
    <n v="0"/>
    <x v="0"/>
    <x v="0"/>
    <x v="2"/>
    <x v="0"/>
    <n v="0"/>
    <x v="0"/>
    <x v="0"/>
    <s v="CB 110 DLX                                        NEGRO    "/>
    <e v="#N/A"/>
    <s v=""/>
  </r>
  <r>
    <x v="141"/>
    <d v="2017-08-02T00:00:00"/>
    <x v="0"/>
    <s v="SURO - SUR OCCIDENTE"/>
    <s v="CONC - CONCESIONARIOS"/>
    <n v="1"/>
    <x v="8"/>
    <n v="1"/>
    <x v="127"/>
    <x v="0"/>
    <x v="0"/>
    <m/>
    <x v="3"/>
    <x v="8"/>
    <n v="11496063"/>
    <m/>
    <n v="802084041"/>
    <n v="0"/>
    <x v="0"/>
    <x v="3"/>
    <x v="0"/>
    <x v="0"/>
    <n v="0"/>
    <x v="0"/>
    <x v="0"/>
    <s v="*XR-250 TORNADO pt MD34                           BLANCO NE"/>
    <e v="#N/A"/>
    <s v=""/>
  </r>
  <r>
    <x v="141"/>
    <d v="2017-08-02T00:00:00"/>
    <x v="0"/>
    <s v="SURO - SUR OCCIDENTE"/>
    <s v="CONC - CONCESIONARIOS"/>
    <n v="1"/>
    <x v="8"/>
    <n v="1"/>
    <x v="127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41"/>
    <d v="2017-08-02T00:00:00"/>
    <x v="0"/>
    <s v="SURO - SUR OCCIDENTE"/>
    <s v="CONC - CONCESIONARIOS"/>
    <n v="11"/>
    <x v="8"/>
    <n v="11"/>
    <x v="127"/>
    <x v="1"/>
    <x v="1"/>
    <m/>
    <x v="3"/>
    <x v="8"/>
    <n v="3360504"/>
    <m/>
    <n v="802084041"/>
    <n v="0"/>
    <x v="0"/>
    <x v="3"/>
    <x v="1"/>
    <x v="0"/>
    <n v="0"/>
    <x v="0"/>
    <x v="0"/>
    <s v="*CB-110                                           NEGRO    "/>
    <e v="#N/A"/>
    <s v=""/>
  </r>
  <r>
    <x v="141"/>
    <d v="2017-08-02T00:00:00"/>
    <x v="0"/>
    <s v="SURO - SUR OCCIDENTE"/>
    <s v="CONC - CONCESIONARIOS"/>
    <n v="5"/>
    <x v="8"/>
    <n v="5"/>
    <x v="127"/>
    <x v="2"/>
    <x v="15"/>
    <m/>
    <x v="3"/>
    <x v="8"/>
    <n v="5789916"/>
    <m/>
    <n v="802084041"/>
    <n v="0"/>
    <x v="0"/>
    <x v="3"/>
    <x v="11"/>
    <x v="0"/>
    <n v="0"/>
    <x v="0"/>
    <x v="0"/>
    <s v="*XR 150L                                          NEGRO ROJ"/>
    <e v="#N/A"/>
    <s v=""/>
  </r>
  <r>
    <x v="141"/>
    <d v="2017-08-02T00:00:00"/>
    <x v="0"/>
    <s v="SURO - SUR OCCIDENTE"/>
    <s v="CONC - CONCESIONARIOS"/>
    <n v="16"/>
    <x v="8"/>
    <n v="16"/>
    <x v="127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1"/>
    <d v="2017-08-02T00:00:00"/>
    <x v="0"/>
    <s v="SURO - SUR OCCIDENTE"/>
    <s v="CONC - CONCESIONARIOS"/>
    <n v="9"/>
    <x v="8"/>
    <n v="9"/>
    <x v="127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41"/>
    <d v="2017-08-02T00:00:00"/>
    <x v="0"/>
    <s v="SURO - SUR OCCIDENTE"/>
    <s v="CONC - CONCESIONARIOS"/>
    <n v="2"/>
    <x v="8"/>
    <n v="2"/>
    <x v="127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141"/>
    <d v="2017-08-02T00:00:00"/>
    <x v="0"/>
    <s v="SURO - SUR OCCIDENTE"/>
    <s v="CONC - CONCESIONARIOS"/>
    <n v="15"/>
    <x v="8"/>
    <n v="15"/>
    <x v="127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1"/>
    <d v="2017-08-02T00:00:00"/>
    <x v="0"/>
    <s v="SURO - SUR OCCIDENTE"/>
    <s v="CONC - CONCESIONARIOS"/>
    <n v="3"/>
    <x v="8"/>
    <n v="3"/>
    <x v="127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141"/>
    <d v="2017-08-02T00:00:00"/>
    <x v="0"/>
    <s v="SURO - SUR OCCIDENTE"/>
    <s v="CONC - CONCESIONARIOS"/>
    <n v="7"/>
    <x v="8"/>
    <n v="7"/>
    <x v="127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1"/>
    <d v="2017-08-02T00:00:00"/>
    <x v="0"/>
    <s v="SURO - SUR OCCIDENTE"/>
    <s v="CONC - CONCESIONARIOS"/>
    <n v="7"/>
    <x v="8"/>
    <n v="7"/>
    <x v="127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1"/>
    <d v="2017-08-02T00:00:00"/>
    <x v="0"/>
    <s v="SURO - SUR OCCIDENTE"/>
    <s v="CONC - CONCESIONARIOS"/>
    <n v="22"/>
    <x v="8"/>
    <n v="22"/>
    <x v="127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1"/>
    <d v="2017-08-02T00:00:00"/>
    <x v="0"/>
    <s v="SURO - SUR OCCIDENTE"/>
    <s v="CONC - CONCESIONARIOS"/>
    <n v="7"/>
    <x v="8"/>
    <n v="7"/>
    <x v="127"/>
    <x v="7"/>
    <x v="6"/>
    <m/>
    <x v="3"/>
    <x v="8"/>
    <n v="3941176"/>
    <m/>
    <n v="802084041"/>
    <n v="0"/>
    <x v="0"/>
    <x v="3"/>
    <x v="0"/>
    <x v="0"/>
    <n v="0"/>
    <x v="0"/>
    <x v="0"/>
    <s v="WAVE 110S                                         ROJO     "/>
    <e v="#N/A"/>
    <s v=""/>
  </r>
  <r>
    <x v="141"/>
    <d v="2017-08-02T00:00:00"/>
    <x v="0"/>
    <s v="SURO - SUR OCCIDENTE"/>
    <s v="CONC - CONCESIONARIOS"/>
    <n v="10"/>
    <x v="8"/>
    <n v="10"/>
    <x v="127"/>
    <x v="7"/>
    <x v="11"/>
    <m/>
    <x v="3"/>
    <x v="8"/>
    <n v="3941176"/>
    <m/>
    <n v="802084041"/>
    <n v="0"/>
    <x v="0"/>
    <x v="3"/>
    <x v="7"/>
    <x v="0"/>
    <n v="0"/>
    <x v="0"/>
    <x v="0"/>
    <s v="WAVE 110S                                         BLANCO   "/>
    <e v="#N/A"/>
    <s v=""/>
  </r>
  <r>
    <x v="141"/>
    <d v="2017-08-02T00:00:00"/>
    <x v="0"/>
    <s v="SURO - SUR OCCIDENTE"/>
    <s v="CONC - CONCESIONARIOS"/>
    <n v="15"/>
    <x v="8"/>
    <n v="15"/>
    <x v="127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1"/>
    <d v="2017-08-02T00:00:00"/>
    <x v="0"/>
    <s v="SURO - SUR OCCIDENTE"/>
    <s v="CONC - CONCESIONARIOS"/>
    <n v="6"/>
    <x v="8"/>
    <n v="6"/>
    <x v="127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1"/>
    <d v="2017-08-02T00:00:00"/>
    <x v="0"/>
    <s v="SURO - SUR OCCIDENTE"/>
    <s v="CONC - CONCESIONARIOS"/>
    <n v="19"/>
    <x v="8"/>
    <n v="19"/>
    <x v="127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1"/>
    <d v="2017-08-02T00:00:00"/>
    <x v="0"/>
    <s v="SURO - SUR OCCIDENTE"/>
    <s v="CONC - CONCESIONARIOS"/>
    <n v="7"/>
    <x v="8"/>
    <n v="7"/>
    <x v="127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1"/>
    <d v="2017-08-02T00:00:00"/>
    <x v="0"/>
    <s v="SURO - SUR OCCIDENTE"/>
    <s v="CONC - CONCESIONARIOS"/>
    <n v="4"/>
    <x v="8"/>
    <n v="4"/>
    <x v="127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1"/>
    <d v="2017-08-02T00:00:00"/>
    <x v="0"/>
    <s v="SURO - SUR OCCIDENTE"/>
    <s v="CONC - CONCESIONARIOS"/>
    <n v="8"/>
    <x v="8"/>
    <n v="8"/>
    <x v="127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2"/>
    <d v="2017-08-02T00:00:00"/>
    <x v="0"/>
    <s v="SURO - SUR OCCIDENTE"/>
    <s v="CONC - CONCESIONARIOS"/>
    <n v="2"/>
    <x v="8"/>
    <n v="2"/>
    <x v="128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2"/>
    <d v="2017-08-02T00:00:00"/>
    <x v="0"/>
    <s v="SURO - SUR OCCIDENTE"/>
    <s v="CONC - CONCESIONARIOS"/>
    <n v="2"/>
    <x v="8"/>
    <n v="2"/>
    <x v="128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2"/>
    <d v="2017-08-02T00:00:00"/>
    <x v="0"/>
    <s v="SURO - SUR OCCIDENTE"/>
    <s v="CONC - CONCESIONARIOS"/>
    <n v="4"/>
    <x v="8"/>
    <n v="4"/>
    <x v="128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2"/>
    <d v="2017-08-02T00:00:00"/>
    <x v="0"/>
    <s v="SURO - SUR OCCIDENTE"/>
    <s v="CONC - CONCESIONARIOS"/>
    <n v="3"/>
    <x v="8"/>
    <n v="3"/>
    <x v="128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2"/>
    <d v="2017-08-02T00:00:00"/>
    <x v="0"/>
    <s v="SURO - SUR OCCIDENTE"/>
    <s v="CONC - CONCESIONARIOS"/>
    <n v="1"/>
    <x v="8"/>
    <n v="1"/>
    <x v="128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2"/>
    <d v="2017-08-02T00:00:00"/>
    <x v="0"/>
    <s v="SURO - SUR OCCIDENTE"/>
    <s v="CONC - CONCESIONARIOS"/>
    <n v="2"/>
    <x v="8"/>
    <n v="2"/>
    <x v="12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2"/>
    <d v="2017-08-02T00:00:00"/>
    <x v="0"/>
    <s v="SURO - SUR OCCIDENTE"/>
    <s v="CONC - CONCESIONARIOS"/>
    <n v="1"/>
    <x v="8"/>
    <n v="1"/>
    <x v="128"/>
    <x v="9"/>
    <x v="6"/>
    <m/>
    <x v="3"/>
    <x v="8"/>
    <n v="3696639"/>
    <m/>
    <n v="802084041"/>
    <n v="0"/>
    <x v="0"/>
    <x v="3"/>
    <x v="14"/>
    <x v="0"/>
    <n v="0"/>
    <x v="0"/>
    <x v="0"/>
    <s v="CB 110 DLX                                        ROJO     "/>
    <e v="#N/A"/>
    <s v=""/>
  </r>
  <r>
    <x v="142"/>
    <d v="2017-08-02T00:00:00"/>
    <x v="0"/>
    <s v="SURO - SUR OCCIDENTE"/>
    <s v="CONC - CONCESIONARIOS"/>
    <n v="1"/>
    <x v="8"/>
    <n v="1"/>
    <x v="128"/>
    <x v="9"/>
    <x v="16"/>
    <m/>
    <x v="3"/>
    <x v="8"/>
    <n v="3696639"/>
    <m/>
    <n v="802084041"/>
    <n v="0"/>
    <x v="0"/>
    <x v="3"/>
    <x v="14"/>
    <x v="0"/>
    <n v="0"/>
    <x v="0"/>
    <x v="0"/>
    <s v="CB 110 DLX                                        AZUL     "/>
    <e v="#N/A"/>
    <s v=""/>
  </r>
  <r>
    <x v="142"/>
    <d v="2017-08-02T00:00:00"/>
    <x v="0"/>
    <s v="SURO - SUR OCCIDENTE"/>
    <s v="CONC - CONCESIONARIOS"/>
    <n v="2"/>
    <x v="8"/>
    <n v="2"/>
    <x v="12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3"/>
    <d v="2017-08-02T00:00:00"/>
    <x v="0"/>
    <s v="SURO - SUR OCCIDENTE"/>
    <s v="CONC - CONCESIONARIOS"/>
    <n v="2"/>
    <x v="8"/>
    <n v="2"/>
    <x v="129"/>
    <x v="3"/>
    <x v="3"/>
    <m/>
    <x v="100"/>
    <x v="8"/>
    <n v="7554622"/>
    <m/>
    <n v="802084041"/>
    <n v="0"/>
    <x v="0"/>
    <x v="43"/>
    <x v="0"/>
    <x v="0"/>
    <n v="0"/>
    <x v="0"/>
    <x v="0"/>
    <s v="CB 190R                                           NEGRO ONI"/>
    <e v="#N/A"/>
    <s v=""/>
  </r>
  <r>
    <x v="143"/>
    <d v="2017-08-02T00:00:00"/>
    <x v="0"/>
    <s v="SURO - SUR OCCIDENTE"/>
    <s v="CONC - CONCESIONARIOS"/>
    <n v="3"/>
    <x v="8"/>
    <n v="3"/>
    <x v="129"/>
    <x v="5"/>
    <x v="7"/>
    <m/>
    <x v="100"/>
    <x v="8"/>
    <n v="6133613"/>
    <m/>
    <n v="802084041"/>
    <n v="0"/>
    <x v="0"/>
    <x v="43"/>
    <x v="13"/>
    <x v="0"/>
    <n v="0"/>
    <x v="0"/>
    <x v="0"/>
    <s v="CB 160F DLX                                       ROJO SPOR"/>
    <e v="#N/A"/>
    <s v=""/>
  </r>
  <r>
    <x v="143"/>
    <d v="2017-08-02T00:00:00"/>
    <x v="0"/>
    <s v="SURO - SUR OCCIDENTE"/>
    <s v="CONC - CONCESIONARIOS"/>
    <n v="1"/>
    <x v="8"/>
    <n v="1"/>
    <x v="129"/>
    <x v="5"/>
    <x v="8"/>
    <m/>
    <x v="100"/>
    <x v="8"/>
    <n v="6133613"/>
    <m/>
    <n v="802084041"/>
    <n v="0"/>
    <x v="0"/>
    <x v="43"/>
    <x v="0"/>
    <x v="0"/>
    <n v="0"/>
    <x v="0"/>
    <x v="0"/>
    <s v="CB 160F DLX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6"/>
    <x v="1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AZUL     "/>
    <e v="#N/A"/>
    <s v=""/>
  </r>
  <r>
    <x v="143"/>
    <d v="2017-08-02T00:00:00"/>
    <x v="0"/>
    <s v="SURO - SUR OCCIDENTE"/>
    <s v="CONC - CONCESIONARIOS"/>
    <n v="1"/>
    <x v="8"/>
    <n v="1"/>
    <x v="129"/>
    <x v="6"/>
    <x v="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ROJO     "/>
    <e v="#N/A"/>
    <s v=""/>
  </r>
  <r>
    <x v="143"/>
    <d v="2017-08-02T00:00:00"/>
    <x v="0"/>
    <s v="SURO - SUR OCCIDENTE"/>
    <s v="CONC - CONCESIONARIOS"/>
    <n v="2"/>
    <x v="8"/>
    <n v="2"/>
    <x v="129"/>
    <x v="10"/>
    <x v="12"/>
    <m/>
    <x v="100"/>
    <x v="8"/>
    <n v="3067227"/>
    <m/>
    <n v="802084041"/>
    <n v="0"/>
    <x v="0"/>
    <x v="43"/>
    <x v="0"/>
    <x v="0"/>
    <n v="0"/>
    <x v="0"/>
    <x v="0"/>
    <s v="DREAM  NEO                                        ROJO ALFA"/>
    <e v="#N/A"/>
    <s v=""/>
  </r>
  <r>
    <x v="143"/>
    <d v="2017-08-02T00:00:00"/>
    <x v="0"/>
    <s v="SURO - SUR OCCIDENTE"/>
    <s v="CONC - CONCESIONARIOS"/>
    <n v="1"/>
    <x v="8"/>
    <n v="1"/>
    <x v="129"/>
    <x v="8"/>
    <x v="7"/>
    <m/>
    <x v="100"/>
    <x v="8"/>
    <n v="5453782"/>
    <m/>
    <n v="802084041"/>
    <n v="0"/>
    <x v="0"/>
    <x v="43"/>
    <x v="0"/>
    <x v="0"/>
    <n v="0"/>
    <x v="0"/>
    <x v="0"/>
    <s v="CB 160F STD                                       ROJO SPOR"/>
    <e v="#N/A"/>
    <s v=""/>
  </r>
  <r>
    <x v="143"/>
    <d v="2017-08-02T00:00:00"/>
    <x v="0"/>
    <s v="SURO - SUR OCCIDENTE"/>
    <s v="CONC - CONCESIONARIOS"/>
    <n v="3"/>
    <x v="8"/>
    <n v="3"/>
    <x v="129"/>
    <x v="8"/>
    <x v="8"/>
    <m/>
    <x v="100"/>
    <x v="8"/>
    <n v="5453782"/>
    <m/>
    <n v="802084041"/>
    <n v="0"/>
    <x v="0"/>
    <x v="43"/>
    <x v="0"/>
    <x v="0"/>
    <n v="0"/>
    <x v="0"/>
    <x v="0"/>
    <s v="CB 160F STD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8"/>
    <x v="9"/>
    <m/>
    <x v="100"/>
    <x v="8"/>
    <n v="5453782"/>
    <m/>
    <n v="802084041"/>
    <n v="0"/>
    <x v="0"/>
    <x v="43"/>
    <x v="5"/>
    <x v="0"/>
    <n v="0"/>
    <x v="0"/>
    <x v="0"/>
    <s v="CB 160F STD                                       BLANCO PE"/>
    <e v="#N/A"/>
    <s v=""/>
  </r>
  <r>
    <x v="143"/>
    <d v="2017-08-02T00:00:00"/>
    <x v="0"/>
    <s v="SURO - SUR OCCIDENTE"/>
    <s v="CONC - CONCESIONARIOS"/>
    <n v="3"/>
    <x v="8"/>
    <n v="3"/>
    <x v="129"/>
    <x v="9"/>
    <x v="16"/>
    <m/>
    <x v="100"/>
    <x v="8"/>
    <n v="3696639"/>
    <m/>
    <n v="802084041"/>
    <n v="0"/>
    <x v="0"/>
    <x v="43"/>
    <x v="14"/>
    <x v="0"/>
    <n v="0"/>
    <x v="0"/>
    <x v="0"/>
    <s v="CB 110 DLX                                        AZUL     "/>
    <e v="#N/A"/>
    <s v=""/>
  </r>
  <r>
    <x v="143"/>
    <d v="2017-08-02T00:00:00"/>
    <x v="0"/>
    <s v="SURO - SUR OCCIDENTE"/>
    <s v="CONC - CONCESIONARIOS"/>
    <n v="6"/>
    <x v="8"/>
    <n v="6"/>
    <x v="129"/>
    <x v="9"/>
    <x v="1"/>
    <m/>
    <x v="100"/>
    <x v="8"/>
    <n v="3696639"/>
    <m/>
    <n v="802084041"/>
    <n v="0"/>
    <x v="0"/>
    <x v="43"/>
    <x v="2"/>
    <x v="0"/>
    <n v="0"/>
    <x v="0"/>
    <x v="0"/>
    <s v="CB 110 DLX                                        NEGRO    "/>
    <e v="#N/A"/>
    <s v=""/>
  </r>
  <r>
    <x v="144"/>
    <d v="2017-08-02T00:00:00"/>
    <x v="0"/>
    <s v="NTE - ZONA NORTE"/>
    <s v="CONC - CONCESIONARIOS"/>
    <n v="1"/>
    <x v="67"/>
    <n v="1"/>
    <x v="130"/>
    <x v="0"/>
    <x v="0"/>
    <m/>
    <x v="101"/>
    <x v="67"/>
    <n v="11496063"/>
    <m/>
    <s v="NO TIENE CUPO"/>
    <n v="0"/>
    <x v="0"/>
    <x v="44"/>
    <x v="0"/>
    <x v="0"/>
    <n v="0"/>
    <x v="0"/>
    <x v="0"/>
    <s v="*XR-250 TORNADO pt MD34                           BLANCO NE"/>
    <e v="#N/A"/>
    <s v=""/>
  </r>
  <r>
    <x v="144"/>
    <d v="2017-08-02T00:00:00"/>
    <x v="0"/>
    <s v="NTE - ZONA NORTE"/>
    <s v="CONC - CONCESIONARIOS"/>
    <n v="2"/>
    <x v="67"/>
    <n v="2"/>
    <x v="130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4"/>
    <d v="2017-08-02T00:00:00"/>
    <x v="0"/>
    <s v="NTE - ZONA NORTE"/>
    <s v="CONC - CONCESIONARIOS"/>
    <n v="2"/>
    <x v="67"/>
    <n v="2"/>
    <x v="130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4"/>
    <d v="2017-08-02T00:00:00"/>
    <x v="0"/>
    <s v="NTE - ZONA NORTE"/>
    <s v="CONC - CONCESIONARIOS"/>
    <n v="2"/>
    <x v="67"/>
    <n v="2"/>
    <x v="130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4"/>
    <d v="2017-08-02T00:00:00"/>
    <x v="0"/>
    <s v="NTE - ZONA NORTE"/>
    <s v="CONC - CONCESIONARIOS"/>
    <n v="1"/>
    <x v="67"/>
    <n v="1"/>
    <x v="130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4"/>
    <d v="2017-08-02T00:00:00"/>
    <x v="0"/>
    <s v="NTE - ZONA NORTE"/>
    <s v="CONC - CONCESIONARIOS"/>
    <n v="2"/>
    <x v="67"/>
    <n v="2"/>
    <x v="130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4"/>
    <d v="2017-08-02T00:00:00"/>
    <x v="0"/>
    <s v="NTE - ZONA NORTE"/>
    <s v="CONC - CONCESIONARIOS"/>
    <n v="5"/>
    <x v="67"/>
    <n v="5"/>
    <x v="130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4"/>
    <d v="2017-08-02T00:00:00"/>
    <x v="0"/>
    <s v="NTE - ZONA NORTE"/>
    <s v="CONC - CONCESIONARIOS"/>
    <n v="3"/>
    <x v="67"/>
    <n v="3"/>
    <x v="130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4"/>
    <d v="2017-08-02T00:00:00"/>
    <x v="0"/>
    <s v="NTE - ZONA NORTE"/>
    <s v="CONC - CONCESIONARIOS"/>
    <n v="8"/>
    <x v="67"/>
    <n v="8"/>
    <x v="130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5"/>
    <d v="2017-08-02T00:00:00"/>
    <x v="0"/>
    <s v="NTE - ZONA NORTE"/>
    <s v="CONC - CONCESIONARIOS"/>
    <n v="2"/>
    <x v="67"/>
    <n v="2"/>
    <x v="131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5"/>
    <d v="2017-08-02T00:00:00"/>
    <x v="0"/>
    <s v="NTE - ZONA NORTE"/>
    <s v="CONC - CONCESIONARIOS"/>
    <n v="2"/>
    <x v="67"/>
    <n v="2"/>
    <x v="131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5"/>
    <d v="2017-08-02T00:00:00"/>
    <x v="0"/>
    <s v="NTE - ZONA NORTE"/>
    <s v="CONC - CONCESIONARIOS"/>
    <n v="2"/>
    <x v="67"/>
    <n v="2"/>
    <x v="131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5"/>
    <d v="2017-08-02T00:00:00"/>
    <x v="0"/>
    <s v="NTE - ZONA NORTE"/>
    <s v="CONC - CONCESIONARIOS"/>
    <n v="1"/>
    <x v="67"/>
    <n v="1"/>
    <x v="131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5"/>
    <d v="2017-08-02T00:00:00"/>
    <x v="0"/>
    <s v="NTE - ZONA NORTE"/>
    <s v="CONC - CONCESIONARIOS"/>
    <n v="2"/>
    <x v="67"/>
    <n v="2"/>
    <x v="131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5"/>
    <d v="2017-08-02T00:00:00"/>
    <x v="0"/>
    <s v="NTE - ZONA NORTE"/>
    <s v="CONC - CONCESIONARIOS"/>
    <n v="5"/>
    <x v="67"/>
    <n v="5"/>
    <x v="131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5"/>
    <d v="2017-08-02T00:00:00"/>
    <x v="0"/>
    <s v="NTE - ZONA NORTE"/>
    <s v="CONC - CONCESIONARIOS"/>
    <n v="2"/>
    <x v="67"/>
    <n v="2"/>
    <x v="131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5"/>
    <d v="2017-08-02T00:00:00"/>
    <x v="0"/>
    <s v="NTE - ZONA NORTE"/>
    <s v="CONC - CONCESIONARIOS"/>
    <n v="7"/>
    <x v="67"/>
    <n v="7"/>
    <x v="131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6"/>
    <d v="2017-08-02T00:00:00"/>
    <x v="0"/>
    <s v="SURO - SUR OCCIDENTE"/>
    <s v="CONC - CONCESIONARIOS"/>
    <n v="1"/>
    <x v="13"/>
    <n v="1"/>
    <x v="132"/>
    <x v="0"/>
    <x v="1"/>
    <m/>
    <x v="102"/>
    <x v="13"/>
    <n v="11496063"/>
    <m/>
    <n v="137260504"/>
    <n v="0"/>
    <x v="0"/>
    <x v="2"/>
    <x v="0"/>
    <x v="0"/>
    <n v="0"/>
    <x v="0"/>
    <x v="0"/>
    <s v="*XR-250 TORNADO pt MD34                           NEGRO    "/>
    <e v="#N/A"/>
    <s v=""/>
  </r>
  <r>
    <x v="146"/>
    <d v="2017-08-02T00:00:00"/>
    <x v="0"/>
    <s v="SURO - SUR OCCIDENTE"/>
    <s v="CONC - CONCESIONARIOS"/>
    <n v="5"/>
    <x v="13"/>
    <n v="5"/>
    <x v="132"/>
    <x v="1"/>
    <x v="18"/>
    <m/>
    <x v="102"/>
    <x v="13"/>
    <n v="3360504"/>
    <m/>
    <n v="137260504"/>
    <n v="0"/>
    <x v="0"/>
    <x v="2"/>
    <x v="15"/>
    <x v="0"/>
    <n v="0"/>
    <x v="0"/>
    <x v="0"/>
    <s v="*CB-110                                           GRIS MET "/>
    <e v="#N/A"/>
    <s v=""/>
  </r>
  <r>
    <x v="146"/>
    <d v="2017-08-02T00:00:00"/>
    <x v="0"/>
    <s v="SURO - SUR OCCIDENTE"/>
    <s v="CONC - CONCESIONARIOS"/>
    <n v="5"/>
    <x v="13"/>
    <n v="5"/>
    <x v="132"/>
    <x v="1"/>
    <x v="1"/>
    <m/>
    <x v="102"/>
    <x v="13"/>
    <n v="3360504"/>
    <m/>
    <n v="137260504"/>
    <n v="0"/>
    <x v="0"/>
    <x v="2"/>
    <x v="1"/>
    <x v="0"/>
    <n v="0"/>
    <x v="0"/>
    <x v="0"/>
    <s v="*CB-110                                           NEGRO    "/>
    <e v="#N/A"/>
    <s v=""/>
  </r>
  <r>
    <x v="146"/>
    <d v="2017-08-02T00:00:00"/>
    <x v="0"/>
    <s v="SURO - SUR OCCIDENTE"/>
    <s v="CONC - CONCESIONARIOS"/>
    <n v="17"/>
    <x v="13"/>
    <n v="17"/>
    <x v="132"/>
    <x v="1"/>
    <x v="14"/>
    <m/>
    <x v="102"/>
    <x v="13"/>
    <n v="3360504"/>
    <m/>
    <n v="137260504"/>
    <n v="0"/>
    <x v="0"/>
    <x v="2"/>
    <x v="10"/>
    <x v="0"/>
    <n v="0"/>
    <x v="0"/>
    <x v="0"/>
    <s v="*CB-110                                           AZUL FIJI"/>
    <e v="#N/A"/>
    <s v=""/>
  </r>
  <r>
    <x v="146"/>
    <d v="2017-08-02T00:00:00"/>
    <x v="0"/>
    <s v="SURO - SUR OCCIDENTE"/>
    <s v="CONC - CONCESIONARIOS"/>
    <n v="3"/>
    <x v="13"/>
    <n v="3"/>
    <x v="132"/>
    <x v="2"/>
    <x v="15"/>
    <m/>
    <x v="102"/>
    <x v="13"/>
    <n v="5789916"/>
    <m/>
    <n v="137260504"/>
    <n v="0"/>
    <x v="0"/>
    <x v="2"/>
    <x v="11"/>
    <x v="0"/>
    <n v="0"/>
    <x v="0"/>
    <x v="0"/>
    <s v="*XR 150L                                          NEGRO ROJ"/>
    <e v="#N/A"/>
    <s v=""/>
  </r>
  <r>
    <x v="146"/>
    <d v="2017-08-02T00:00:00"/>
    <x v="0"/>
    <s v="SURO - SUR OCCIDENTE"/>
    <s v="CONC - CONCESIONARIOS"/>
    <n v="7"/>
    <x v="13"/>
    <n v="7"/>
    <x v="132"/>
    <x v="2"/>
    <x v="13"/>
    <m/>
    <x v="102"/>
    <x v="13"/>
    <n v="5789916"/>
    <m/>
    <n v="137260504"/>
    <n v="0"/>
    <x v="0"/>
    <x v="2"/>
    <x v="8"/>
    <x v="0"/>
    <n v="0"/>
    <x v="0"/>
    <x v="0"/>
    <s v="*XR 150L                                          NEGRO BLA"/>
    <e v="#N/A"/>
    <s v=""/>
  </r>
  <r>
    <x v="146"/>
    <d v="2017-08-02T00:00:00"/>
    <x v="0"/>
    <s v="SURO - SUR OCCIDENTE"/>
    <s v="CONC - CONCESIONARIOS"/>
    <n v="2"/>
    <x v="13"/>
    <n v="2"/>
    <x v="132"/>
    <x v="6"/>
    <x v="1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AZUL     "/>
    <e v="#N/A"/>
    <s v=""/>
  </r>
  <r>
    <x v="146"/>
    <d v="2017-08-02T00:00:00"/>
    <x v="0"/>
    <s v="SURO - SUR OCCIDENTE"/>
    <s v="CONC - CONCESIONARIOS"/>
    <n v="1"/>
    <x v="13"/>
    <n v="1"/>
    <x v="132"/>
    <x v="6"/>
    <x v="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ROJO     "/>
    <e v="#N/A"/>
    <s v=""/>
  </r>
  <r>
    <x v="146"/>
    <d v="2017-08-02T00:00:00"/>
    <x v="0"/>
    <s v="SURO - SUR OCCIDENTE"/>
    <s v="CONC - CONCESIONARIOS"/>
    <n v="5"/>
    <x v="13"/>
    <n v="5"/>
    <x v="132"/>
    <x v="10"/>
    <x v="12"/>
    <m/>
    <x v="102"/>
    <x v="13"/>
    <n v="3067227"/>
    <m/>
    <n v="137260504"/>
    <n v="0"/>
    <x v="0"/>
    <x v="2"/>
    <x v="0"/>
    <x v="0"/>
    <n v="0"/>
    <x v="0"/>
    <x v="0"/>
    <s v="DREAM  NEO                                        ROJO ALFA"/>
    <e v="#N/A"/>
    <s v=""/>
  </r>
  <r>
    <x v="146"/>
    <d v="2017-08-02T00:00:00"/>
    <x v="0"/>
    <s v="SURO - SUR OCCIDENTE"/>
    <s v="CONC - CONCESIONARIOS"/>
    <n v="5"/>
    <x v="13"/>
    <n v="5"/>
    <x v="132"/>
    <x v="10"/>
    <x v="15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ROJ"/>
    <e v="#N/A"/>
    <s v=""/>
  </r>
  <r>
    <x v="146"/>
    <d v="2017-08-02T00:00:00"/>
    <x v="0"/>
    <s v="SURO - SUR OCCIDENTE"/>
    <s v="CONC - CONCESIONARIOS"/>
    <n v="10"/>
    <x v="13"/>
    <n v="10"/>
    <x v="132"/>
    <x v="10"/>
    <x v="20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AZU"/>
    <e v="#N/A"/>
    <s v=""/>
  </r>
  <r>
    <x v="146"/>
    <d v="2017-08-02T00:00:00"/>
    <x v="0"/>
    <s v="SURO - SUR OCCIDENTE"/>
    <s v="CONC - CONCESIONARIOS"/>
    <n v="4"/>
    <x v="13"/>
    <n v="4"/>
    <x v="132"/>
    <x v="7"/>
    <x v="1"/>
    <m/>
    <x v="102"/>
    <x v="13"/>
    <n v="3941176"/>
    <m/>
    <n v="137260504"/>
    <n v="0"/>
    <x v="0"/>
    <x v="2"/>
    <x v="0"/>
    <x v="0"/>
    <n v="0"/>
    <x v="0"/>
    <x v="0"/>
    <s v="WAVE 110S                                         NEGRO    "/>
    <e v="#N/A"/>
    <s v=""/>
  </r>
  <r>
    <x v="146"/>
    <d v="2017-08-02T00:00:00"/>
    <x v="0"/>
    <s v="SURO - SUR OCCIDENTE"/>
    <s v="CONC - CONCESIONARIOS"/>
    <n v="2"/>
    <x v="13"/>
    <n v="2"/>
    <x v="132"/>
    <x v="8"/>
    <x v="7"/>
    <m/>
    <x v="102"/>
    <x v="13"/>
    <n v="5453782"/>
    <m/>
    <n v="137260504"/>
    <n v="0"/>
    <x v="0"/>
    <x v="2"/>
    <x v="0"/>
    <x v="0"/>
    <n v="0"/>
    <x v="0"/>
    <x v="0"/>
    <s v="CB 160F STD                                       ROJO SPOR"/>
    <e v="#N/A"/>
    <s v=""/>
  </r>
  <r>
    <x v="146"/>
    <d v="2017-08-02T00:00:00"/>
    <x v="0"/>
    <s v="SURO - SUR OCCIDENTE"/>
    <s v="CONC - CONCESIONARIOS"/>
    <n v="1"/>
    <x v="13"/>
    <n v="1"/>
    <x v="132"/>
    <x v="8"/>
    <x v="8"/>
    <m/>
    <x v="102"/>
    <x v="13"/>
    <n v="5453782"/>
    <m/>
    <n v="137260504"/>
    <n v="0"/>
    <x v="0"/>
    <x v="2"/>
    <x v="0"/>
    <x v="0"/>
    <n v="0"/>
    <x v="0"/>
    <x v="0"/>
    <s v="CB 160F STD                                       NEGRO PER"/>
    <e v="#N/A"/>
    <s v=""/>
  </r>
  <r>
    <x v="146"/>
    <d v="2017-08-02T00:00:00"/>
    <x v="0"/>
    <s v="SURO - SUR OCCIDENTE"/>
    <s v="CONC - CONCESIONARIOS"/>
    <n v="1"/>
    <x v="13"/>
    <n v="1"/>
    <x v="132"/>
    <x v="8"/>
    <x v="9"/>
    <m/>
    <x v="102"/>
    <x v="13"/>
    <n v="5453782"/>
    <m/>
    <n v="137260504"/>
    <n v="0"/>
    <x v="0"/>
    <x v="2"/>
    <x v="5"/>
    <x v="0"/>
    <n v="0"/>
    <x v="0"/>
    <x v="0"/>
    <s v="CB 160F STD                                       BLANCO PE"/>
    <e v="#N/A"/>
    <s v=""/>
  </r>
  <r>
    <x v="146"/>
    <d v="2017-08-02T00:00:00"/>
    <x v="0"/>
    <s v="SURO - SUR OCCIDENTE"/>
    <s v="CONC - CONCESIONARIOS"/>
    <n v="7"/>
    <x v="13"/>
    <n v="7"/>
    <x v="132"/>
    <x v="9"/>
    <x v="17"/>
    <m/>
    <x v="102"/>
    <x v="13"/>
    <n v="3696639"/>
    <m/>
    <n v="137260504"/>
    <n v="0"/>
    <x v="0"/>
    <x v="2"/>
    <x v="15"/>
    <x v="0"/>
    <n v="0"/>
    <x v="0"/>
    <x v="0"/>
    <s v="CB 110 DLX                                        GRIS     "/>
    <e v="#N/A"/>
    <s v=""/>
  </r>
  <r>
    <x v="146"/>
    <d v="2017-08-02T00:00:00"/>
    <x v="0"/>
    <s v="SURO - SUR OCCIDENTE"/>
    <s v="CONC - CONCESIONARIOS"/>
    <n v="10"/>
    <x v="13"/>
    <n v="10"/>
    <x v="132"/>
    <x v="9"/>
    <x v="16"/>
    <m/>
    <x v="102"/>
    <x v="13"/>
    <n v="3696639"/>
    <m/>
    <n v="137260504"/>
    <n v="0"/>
    <x v="0"/>
    <x v="2"/>
    <x v="14"/>
    <x v="0"/>
    <n v="0"/>
    <x v="0"/>
    <x v="0"/>
    <s v="CB 110 DLX                                        AZUL     "/>
    <e v="#N/A"/>
    <s v=""/>
  </r>
  <r>
    <x v="146"/>
    <d v="2017-08-02T00:00:00"/>
    <x v="0"/>
    <s v="SURO - SUR OCCIDENTE"/>
    <s v="CONC - CONCESIONARIOS"/>
    <n v="15"/>
    <x v="13"/>
    <n v="15"/>
    <x v="132"/>
    <x v="9"/>
    <x v="1"/>
    <m/>
    <x v="102"/>
    <x v="13"/>
    <n v="3696639"/>
    <m/>
    <n v="137260504"/>
    <n v="0"/>
    <x v="0"/>
    <x v="2"/>
    <x v="2"/>
    <x v="0"/>
    <n v="0"/>
    <x v="0"/>
    <x v="0"/>
    <s v="CB 110 DLX                                        NEGRO    "/>
    <e v="#N/A"/>
    <s v=""/>
  </r>
  <r>
    <x v="147"/>
    <d v="2017-08-03T00:00:00"/>
    <x v="0"/>
    <s v=" "/>
    <s v="NGES - NEGOCIOS ESPECIALES"/>
    <n v="1"/>
    <x v="68"/>
    <n v="1"/>
    <x v="133"/>
    <x v="4"/>
    <x v="4"/>
    <m/>
    <x v="3"/>
    <x v="68"/>
    <n v="7730252"/>
    <m/>
    <n v="0"/>
    <n v="0"/>
    <x v="1"/>
    <x v="31"/>
    <x v="4"/>
    <x v="0"/>
    <n v="0"/>
    <x v="0"/>
    <x v="0"/>
    <s v="CB 190 REPSOL                                     NARANJA B"/>
    <e v="#N/A"/>
    <s v=""/>
  </r>
  <r>
    <x v="147"/>
    <d v="2017-08-03T00:00:00"/>
    <x v="0"/>
    <s v=" "/>
    <s v="NGES - NEGOCIOS ESPECIALES"/>
    <n v="1"/>
    <x v="68"/>
    <n v="1"/>
    <x v="133"/>
    <x v="8"/>
    <x v="8"/>
    <m/>
    <x v="3"/>
    <x v="68"/>
    <n v="5453782"/>
    <m/>
    <n v="0"/>
    <n v="0"/>
    <x v="1"/>
    <x v="31"/>
    <x v="0"/>
    <x v="0"/>
    <n v="0"/>
    <x v="0"/>
    <x v="0"/>
    <s v="CB 160F STD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2"/>
    <x v="15"/>
    <m/>
    <x v="0"/>
    <x v="69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48"/>
    <d v="2017-08-03T00:00:00"/>
    <x v="0"/>
    <s v="CTR - ZONA CENTRO"/>
    <s v="DIST - DISTRIBUIDORES"/>
    <n v="1"/>
    <x v="69"/>
    <n v="1"/>
    <x v="134"/>
    <x v="3"/>
    <x v="3"/>
    <m/>
    <x v="0"/>
    <x v="69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48"/>
    <d v="2017-08-03T00:00:00"/>
    <x v="0"/>
    <s v="CTR - ZONA CENTRO"/>
    <s v="DIST - DISTRIBUIDORES"/>
    <n v="6"/>
    <x v="69"/>
    <n v="6"/>
    <x v="134"/>
    <x v="4"/>
    <x v="4"/>
    <m/>
    <x v="0"/>
    <x v="69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48"/>
    <d v="2017-08-03T00:00:00"/>
    <x v="0"/>
    <s v="CTR - ZONA CENTRO"/>
    <s v="DIST - DISTRIBUIDORES"/>
    <n v="2"/>
    <x v="69"/>
    <n v="2"/>
    <x v="134"/>
    <x v="5"/>
    <x v="7"/>
    <m/>
    <x v="0"/>
    <x v="69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48"/>
    <d v="2017-08-03T00:00:00"/>
    <x v="0"/>
    <s v="CTR - ZONA CENTRO"/>
    <s v="DIST - DISTRIBUIDORES"/>
    <n v="1"/>
    <x v="69"/>
    <n v="1"/>
    <x v="134"/>
    <x v="5"/>
    <x v="8"/>
    <m/>
    <x v="0"/>
    <x v="69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8"/>
    <x v="7"/>
    <m/>
    <x v="0"/>
    <x v="69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48"/>
    <d v="2017-08-03T00:00:00"/>
    <x v="0"/>
    <s v="CTR - ZONA CENTRO"/>
    <s v="DIST - DISTRIBUIDORES"/>
    <n v="2"/>
    <x v="69"/>
    <n v="2"/>
    <x v="134"/>
    <x v="8"/>
    <x v="8"/>
    <m/>
    <x v="0"/>
    <x v="69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49"/>
    <d v="2017-08-03T00:00:00"/>
    <x v="0"/>
    <s v="CTR - ZONA CENTRO"/>
    <s v="DIST - DISTRIBUIDORES"/>
    <n v="3"/>
    <x v="69"/>
    <n v="3"/>
    <x v="135"/>
    <x v="2"/>
    <x v="15"/>
    <m/>
    <x v="103"/>
    <x v="69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49"/>
    <d v="2017-08-03T00:00:00"/>
    <x v="0"/>
    <s v="CTR - ZONA CENTRO"/>
    <s v="DIST - DISTRIBUIDORES"/>
    <n v="2"/>
    <x v="69"/>
    <n v="2"/>
    <x v="135"/>
    <x v="5"/>
    <x v="7"/>
    <m/>
    <x v="103"/>
    <x v="69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49"/>
    <d v="2017-08-03T00:00:00"/>
    <x v="0"/>
    <s v="CTR - ZONA CENTRO"/>
    <s v="DIST - DISTRIBUIDORES"/>
    <n v="1"/>
    <x v="69"/>
    <n v="1"/>
    <x v="135"/>
    <x v="5"/>
    <x v="8"/>
    <m/>
    <x v="103"/>
    <x v="69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49"/>
    <d v="2017-08-03T00:00:00"/>
    <x v="0"/>
    <s v="CTR - ZONA CENTRO"/>
    <s v="DIST - DISTRIBUIDORES"/>
    <n v="1"/>
    <x v="69"/>
    <n v="1"/>
    <x v="135"/>
    <x v="8"/>
    <x v="9"/>
    <m/>
    <x v="103"/>
    <x v="69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49"/>
    <d v="2017-08-03T00:00:00"/>
    <x v="0"/>
    <s v="CTR - ZONA CENTRO"/>
    <s v="DIST - DISTRIBUIDORES"/>
    <n v="1"/>
    <x v="69"/>
    <n v="1"/>
    <x v="135"/>
    <x v="8"/>
    <x v="7"/>
    <m/>
    <x v="103"/>
    <x v="69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2"/>
    <x v="15"/>
    <m/>
    <x v="104"/>
    <x v="69"/>
    <n v="5789916"/>
    <m/>
    <n v="0"/>
    <n v="0"/>
    <x v="1"/>
    <x v="32"/>
    <x v="11"/>
    <x v="0"/>
    <n v="0"/>
    <x v="0"/>
    <x v="0"/>
    <s v="*XR 150L                                          NEGRO ROJ"/>
    <e v="#N/A"/>
    <s v=""/>
  </r>
  <r>
    <x v="150"/>
    <d v="2017-08-03T00:00:00"/>
    <x v="1"/>
    <s v="CTR - ZONA CENTRO"/>
    <s v="DIST - DISTRIBUIDORES"/>
    <n v="1"/>
    <x v="69"/>
    <n v="1"/>
    <x v="136"/>
    <x v="5"/>
    <x v="7"/>
    <m/>
    <x v="104"/>
    <x v="69"/>
    <n v="6133613"/>
    <m/>
    <n v="0"/>
    <n v="0"/>
    <x v="1"/>
    <x v="32"/>
    <x v="13"/>
    <x v="0"/>
    <n v="0"/>
    <x v="0"/>
    <x v="0"/>
    <s v="CB 160F DLX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5"/>
    <x v="8"/>
    <m/>
    <x v="104"/>
    <x v="69"/>
    <n v="6133613"/>
    <m/>
    <n v="0"/>
    <n v="0"/>
    <x v="1"/>
    <x v="32"/>
    <x v="0"/>
    <x v="0"/>
    <n v="0"/>
    <x v="0"/>
    <x v="0"/>
    <s v="CB 160F DLX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1"/>
    <x v="1"/>
    <m/>
    <x v="0"/>
    <x v="70"/>
    <n v="3360504"/>
    <m/>
    <n v="33535"/>
    <n v="0"/>
    <x v="1"/>
    <x v="0"/>
    <x v="1"/>
    <x v="0"/>
    <n v="0"/>
    <x v="0"/>
    <x v="0"/>
    <s v="*CB-110                                           NEGRO    "/>
    <e v="#N/A"/>
    <s v=""/>
  </r>
  <r>
    <x v="151"/>
    <d v="2017-08-03T00:00:00"/>
    <x v="0"/>
    <s v="CTR - ZONA CENTRO"/>
    <s v="DIST - DISTRIBUIDORES"/>
    <n v="4"/>
    <x v="70"/>
    <n v="4"/>
    <x v="137"/>
    <x v="3"/>
    <x v="3"/>
    <m/>
    <x v="0"/>
    <x v="70"/>
    <n v="7554622"/>
    <m/>
    <n v="33535"/>
    <n v="0"/>
    <x v="1"/>
    <x v="0"/>
    <x v="0"/>
    <x v="0"/>
    <n v="0"/>
    <x v="0"/>
    <x v="0"/>
    <s v="CB 190R                                           NEGRO ONI"/>
    <e v="#N/A"/>
    <s v=""/>
  </r>
  <r>
    <x v="151"/>
    <d v="2017-08-03T00:00:00"/>
    <x v="0"/>
    <s v="CTR - ZONA CENTRO"/>
    <s v="DIST - DISTRIBUIDORES"/>
    <n v="2"/>
    <x v="70"/>
    <n v="2"/>
    <x v="137"/>
    <x v="4"/>
    <x v="4"/>
    <m/>
    <x v="0"/>
    <x v="70"/>
    <n v="7730252"/>
    <m/>
    <n v="33535"/>
    <n v="0"/>
    <x v="1"/>
    <x v="0"/>
    <x v="4"/>
    <x v="0"/>
    <n v="0"/>
    <x v="0"/>
    <x v="0"/>
    <s v="CB 190 REPSOL                                     NARANJA B"/>
    <e v="#N/A"/>
    <s v=""/>
  </r>
  <r>
    <x v="151"/>
    <d v="2017-08-03T00:00:00"/>
    <x v="0"/>
    <s v="CTR - ZONA CENTRO"/>
    <s v="DIST - DISTRIBUIDORES"/>
    <n v="1"/>
    <x v="70"/>
    <n v="1"/>
    <x v="137"/>
    <x v="6"/>
    <x v="6"/>
    <m/>
    <x v="0"/>
    <x v="70"/>
    <n v="3521008"/>
    <m/>
    <n v="33535"/>
    <n v="0"/>
    <x v="1"/>
    <x v="0"/>
    <x v="0"/>
    <x v="0"/>
    <n v="0"/>
    <x v="0"/>
    <x v="0"/>
    <s v="DIO  110                                          ROJO     "/>
    <e v="#N/A"/>
    <s v=""/>
  </r>
  <r>
    <x v="151"/>
    <d v="2017-08-03T00:00:00"/>
    <x v="0"/>
    <s v="CTR - ZONA CENTRO"/>
    <s v="DIST - DISTRIBUIDORES"/>
    <n v="2"/>
    <x v="70"/>
    <n v="2"/>
    <x v="137"/>
    <x v="8"/>
    <x v="8"/>
    <m/>
    <x v="0"/>
    <x v="70"/>
    <n v="5453782"/>
    <m/>
    <n v="33535"/>
    <n v="0"/>
    <x v="1"/>
    <x v="0"/>
    <x v="0"/>
    <x v="0"/>
    <n v="0"/>
    <x v="0"/>
    <x v="0"/>
    <s v="CB 160F STD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9"/>
    <x v="1"/>
    <m/>
    <x v="0"/>
    <x v="70"/>
    <n v="3696639"/>
    <m/>
    <n v="33535"/>
    <n v="0"/>
    <x v="1"/>
    <x v="0"/>
    <x v="2"/>
    <x v="0"/>
    <n v="0"/>
    <x v="0"/>
    <x v="0"/>
    <s v="CB 110 DLX                                        NEGRO    "/>
    <e v="#N/A"/>
    <s v=""/>
  </r>
  <r>
    <x v="152"/>
    <d v="2017-08-03T00:00:00"/>
    <x v="1"/>
    <s v="CTR - ZONA CENTRO"/>
    <s v="DIST - DISTRIBUIDORES"/>
    <n v="2"/>
    <x v="71"/>
    <n v="2"/>
    <x v="138"/>
    <x v="2"/>
    <x v="15"/>
    <m/>
    <x v="103"/>
    <x v="71"/>
    <n v="5789916"/>
    <m/>
    <n v="0"/>
    <n v="14569016"/>
    <x v="0"/>
    <x v="38"/>
    <x v="11"/>
    <x v="0"/>
    <n v="0"/>
    <x v="0"/>
    <x v="0"/>
    <s v="*XR 150L                                          NEGRO ROJ"/>
    <e v="#N/A"/>
    <s v=""/>
  </r>
  <r>
    <x v="152"/>
    <d v="2017-08-03T00:00:00"/>
    <x v="1"/>
    <s v="CTR - ZONA CENTRO"/>
    <s v="DIST - DISTRIBUIDORES"/>
    <n v="2"/>
    <x v="71"/>
    <n v="2"/>
    <x v="138"/>
    <x v="2"/>
    <x v="1"/>
    <m/>
    <x v="103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2"/>
    <d v="2017-08-03T00:00:00"/>
    <x v="1"/>
    <s v="CTR - ZONA CENTRO"/>
    <s v="DIST - DISTRIBUIDORES"/>
    <n v="1"/>
    <x v="71"/>
    <n v="1"/>
    <x v="138"/>
    <x v="4"/>
    <x v="4"/>
    <m/>
    <x v="103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2"/>
    <d v="2017-08-03T00:00:00"/>
    <x v="1"/>
    <s v="CTR - ZONA CENTRO"/>
    <s v="DIST - DISTRIBUIDORES"/>
    <n v="1"/>
    <x v="71"/>
    <n v="1"/>
    <x v="138"/>
    <x v="5"/>
    <x v="8"/>
    <m/>
    <x v="103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2"/>
    <d v="2017-08-03T00:00:00"/>
    <x v="1"/>
    <s v="CTR - ZONA CENTRO"/>
    <s v="DIST - DISTRIBUIDORES"/>
    <n v="1"/>
    <x v="71"/>
    <n v="1"/>
    <x v="138"/>
    <x v="9"/>
    <x v="1"/>
    <m/>
    <x v="103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1"/>
    <x v="1"/>
    <m/>
    <x v="105"/>
    <x v="71"/>
    <n v="3360504"/>
    <m/>
    <n v="0"/>
    <n v="14569016"/>
    <x v="0"/>
    <x v="38"/>
    <x v="1"/>
    <x v="0"/>
    <n v="0"/>
    <x v="0"/>
    <x v="0"/>
    <s v="*CB-110 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2"/>
    <x v="1"/>
    <m/>
    <x v="105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4"/>
    <x v="4"/>
    <m/>
    <x v="105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3"/>
    <d v="2017-08-03T00:00:00"/>
    <x v="1"/>
    <s v="CTR - ZONA CENTRO"/>
    <s v="DIST - DISTRIBUIDORES"/>
    <n v="1"/>
    <x v="71"/>
    <n v="1"/>
    <x v="139"/>
    <x v="5"/>
    <x v="8"/>
    <m/>
    <x v="105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3"/>
    <d v="2017-08-03T00:00:00"/>
    <x v="1"/>
    <s v="CTR - ZONA CENTRO"/>
    <s v="DIST - DISTRIBUIDORES"/>
    <n v="1"/>
    <x v="71"/>
    <n v="1"/>
    <x v="139"/>
    <x v="6"/>
    <x v="6"/>
    <m/>
    <x v="105"/>
    <x v="71"/>
    <n v="3521008"/>
    <m/>
    <n v="0"/>
    <n v="14569016"/>
    <x v="0"/>
    <x v="38"/>
    <x v="0"/>
    <x v="0"/>
    <n v="0"/>
    <x v="0"/>
    <x v="0"/>
    <s v="DIO  110                                          ROJO     "/>
    <e v="#N/A"/>
    <s v=""/>
  </r>
  <r>
    <x v="153"/>
    <d v="2017-08-03T00:00:00"/>
    <x v="1"/>
    <s v="CTR - ZONA CENTRO"/>
    <s v="DIST - DISTRIBUIDORES"/>
    <n v="1"/>
    <x v="71"/>
    <n v="1"/>
    <x v="139"/>
    <x v="9"/>
    <x v="1"/>
    <m/>
    <x v="105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4"/>
    <d v="2017-08-03T00:00:00"/>
    <x v="1"/>
    <s v="CTR - ZONA CENTRO"/>
    <s v="DIST - DISTRIBUIDORES"/>
    <n v="3"/>
    <x v="72"/>
    <n v="3"/>
    <x v="140"/>
    <x v="2"/>
    <x v="15"/>
    <m/>
    <x v="103"/>
    <x v="72"/>
    <n v="5789916"/>
    <m/>
    <s v="FACTURAS VENCIDAS"/>
    <n v="0"/>
    <x v="1"/>
    <x v="38"/>
    <x v="11"/>
    <x v="0"/>
    <n v="0"/>
    <x v="0"/>
    <x v="0"/>
    <s v="*XR 150L                                          NEGRO ROJ"/>
    <e v="#N/A"/>
    <s v=""/>
  </r>
  <r>
    <x v="154"/>
    <d v="2017-08-03T00:00:00"/>
    <x v="1"/>
    <s v="CTR - ZONA CENTRO"/>
    <s v="DIST - DISTRIBUIDORES"/>
    <n v="3"/>
    <x v="72"/>
    <n v="3"/>
    <x v="140"/>
    <x v="2"/>
    <x v="13"/>
    <m/>
    <x v="103"/>
    <x v="72"/>
    <n v="5789916"/>
    <m/>
    <s v="FACTURAS VENCIDAS"/>
    <n v="0"/>
    <x v="1"/>
    <x v="38"/>
    <x v="8"/>
    <x v="0"/>
    <n v="0"/>
    <x v="0"/>
    <x v="0"/>
    <s v="*XR 150L                                          NEGRO BLA"/>
    <e v="#N/A"/>
    <s v=""/>
  </r>
  <r>
    <x v="154"/>
    <d v="2017-08-03T00:00:00"/>
    <x v="1"/>
    <s v="CTR - ZONA CENTRO"/>
    <s v="DIST - DISTRIBUIDORES"/>
    <n v="3"/>
    <x v="72"/>
    <n v="3"/>
    <x v="140"/>
    <x v="2"/>
    <x v="1"/>
    <m/>
    <x v="103"/>
    <x v="72"/>
    <n v="5789916"/>
    <m/>
    <s v="FACTURAS VENCIDAS"/>
    <n v="0"/>
    <x v="1"/>
    <x v="38"/>
    <x v="2"/>
    <x v="0"/>
    <n v="0"/>
    <x v="0"/>
    <x v="0"/>
    <s v="*XR 150L                                          NEGRO    "/>
    <e v="#N/A"/>
    <s v=""/>
  </r>
  <r>
    <x v="154"/>
    <d v="2017-08-03T00:00:00"/>
    <x v="1"/>
    <s v="CTR - ZONA CENTRO"/>
    <s v="DIST - DISTRIBUIDORES"/>
    <n v="1"/>
    <x v="72"/>
    <n v="1"/>
    <x v="140"/>
    <x v="3"/>
    <x v="3"/>
    <m/>
    <x v="103"/>
    <x v="72"/>
    <n v="7554622"/>
    <m/>
    <s v="FACTURAS VENCIDAS"/>
    <n v="0"/>
    <x v="1"/>
    <x v="38"/>
    <x v="0"/>
    <x v="0"/>
    <n v="0"/>
    <x v="0"/>
    <x v="0"/>
    <s v="CB 190R                                           NEGRO ONI"/>
    <e v="#N/A"/>
    <s v=""/>
  </r>
  <r>
    <x v="154"/>
    <d v="2017-08-03T00:00:00"/>
    <x v="1"/>
    <s v="CTR - ZONA CENTRO"/>
    <s v="DIST - DISTRIBUIDORES"/>
    <n v="2"/>
    <x v="72"/>
    <n v="2"/>
    <x v="140"/>
    <x v="4"/>
    <x v="4"/>
    <m/>
    <x v="103"/>
    <x v="72"/>
    <n v="7730252"/>
    <m/>
    <s v="FACTURAS VENCIDAS"/>
    <n v="0"/>
    <x v="1"/>
    <x v="38"/>
    <x v="4"/>
    <x v="0"/>
    <n v="0"/>
    <x v="0"/>
    <x v="0"/>
    <s v="CB 190 REPSOL                                     NARANJA B"/>
    <e v="#N/A"/>
    <s v=""/>
  </r>
  <r>
    <x v="154"/>
    <d v="2017-08-03T00:00:00"/>
    <x v="1"/>
    <s v="CTR - ZONA CENTRO"/>
    <s v="DIST - DISTRIBUIDORES"/>
    <n v="1"/>
    <x v="72"/>
    <n v="1"/>
    <x v="140"/>
    <x v="5"/>
    <x v="9"/>
    <m/>
    <x v="103"/>
    <x v="72"/>
    <n v="6133613"/>
    <m/>
    <s v="FACTURAS VENCIDAS"/>
    <n v="0"/>
    <x v="1"/>
    <x v="38"/>
    <x v="18"/>
    <x v="0"/>
    <n v="0"/>
    <x v="0"/>
    <x v="0"/>
    <s v="CB 160F DLX                                       BLANCO PE"/>
    <e v="#N/A"/>
    <s v=""/>
  </r>
  <r>
    <x v="154"/>
    <d v="2017-08-03T00:00:00"/>
    <x v="1"/>
    <s v="CTR - ZONA CENTRO"/>
    <s v="DIST - DISTRIBUIDORES"/>
    <n v="1"/>
    <x v="72"/>
    <n v="1"/>
    <x v="140"/>
    <x v="5"/>
    <x v="8"/>
    <m/>
    <x v="103"/>
    <x v="72"/>
    <n v="6133613"/>
    <m/>
    <s v="FACTURAS VENCIDAS"/>
    <n v="0"/>
    <x v="1"/>
    <x v="38"/>
    <x v="0"/>
    <x v="0"/>
    <n v="0"/>
    <x v="0"/>
    <x v="0"/>
    <s v="CB 160F DLX                                       NEGRO PER"/>
    <e v="#N/A"/>
    <s v=""/>
  </r>
  <r>
    <x v="154"/>
    <d v="2017-08-03T00:00:00"/>
    <x v="1"/>
    <s v="CTR - ZONA CENTRO"/>
    <s v="DIST - DISTRIBUIDORES"/>
    <n v="1"/>
    <x v="72"/>
    <n v="1"/>
    <x v="140"/>
    <x v="10"/>
    <x v="12"/>
    <m/>
    <x v="103"/>
    <x v="72"/>
    <n v="3067227"/>
    <m/>
    <s v="FACTURAS VENCIDAS"/>
    <n v="0"/>
    <x v="1"/>
    <x v="38"/>
    <x v="0"/>
    <x v="0"/>
    <n v="0"/>
    <x v="0"/>
    <x v="0"/>
    <s v="DREAM  NEO                                        ROJO ALFA"/>
    <e v="#N/A"/>
    <s v=""/>
  </r>
  <r>
    <x v="154"/>
    <d v="2017-08-03T00:00:00"/>
    <x v="1"/>
    <s v="CTR - ZONA CENTRO"/>
    <s v="DIST - DISTRIBUIDORES"/>
    <n v="1"/>
    <x v="72"/>
    <n v="1"/>
    <x v="140"/>
    <x v="9"/>
    <x v="16"/>
    <m/>
    <x v="103"/>
    <x v="72"/>
    <n v="3696639"/>
    <m/>
    <s v="FACTURAS VENCIDAS"/>
    <n v="0"/>
    <x v="1"/>
    <x v="38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0"/>
    <x v="10"/>
    <m/>
    <x v="0"/>
    <x v="73"/>
    <n v="11496063"/>
    <m/>
    <n v="0"/>
    <n v="0"/>
    <x v="1"/>
    <x v="0"/>
    <x v="6"/>
    <x v="0"/>
    <n v="0"/>
    <x v="0"/>
    <x v="0"/>
    <s v="*XR-250 TORNADO pt MD34                           ROJO BLAN"/>
    <e v="#N/A"/>
    <s v=""/>
  </r>
  <r>
    <x v="155"/>
    <d v="2017-08-03T00:00:00"/>
    <x v="1"/>
    <s v="CTR - ZONA CENTRO"/>
    <s v="DIST - DISTRIBUIDORES"/>
    <n v="2"/>
    <x v="73"/>
    <n v="2"/>
    <x v="141"/>
    <x v="1"/>
    <x v="7"/>
    <m/>
    <x v="0"/>
    <x v="73"/>
    <n v="3360504"/>
    <m/>
    <n v="0"/>
    <n v="0"/>
    <x v="1"/>
    <x v="0"/>
    <x v="9"/>
    <x v="0"/>
    <n v="0"/>
    <x v="0"/>
    <x v="0"/>
    <s v="*CB-110    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1"/>
    <x v="23"/>
    <m/>
    <x v="0"/>
    <x v="73"/>
    <n v="3360504"/>
    <m/>
    <n v="0"/>
    <n v="0"/>
    <x v="1"/>
    <x v="0"/>
    <x v="0"/>
    <x v="0"/>
    <n v="0"/>
    <x v="0"/>
    <x v="0"/>
    <s v="*CB-110                                           VERDE CAN"/>
    <e v="#N/A"/>
    <s v=""/>
  </r>
  <r>
    <x v="155"/>
    <d v="2017-08-03T00:00:00"/>
    <x v="1"/>
    <s v="CTR - ZONA CENTRO"/>
    <s v="DIST - DISTRIBUIDORES"/>
    <n v="2"/>
    <x v="73"/>
    <n v="2"/>
    <x v="141"/>
    <x v="1"/>
    <x v="14"/>
    <m/>
    <x v="0"/>
    <x v="73"/>
    <n v="3360504"/>
    <m/>
    <n v="0"/>
    <n v="0"/>
    <x v="1"/>
    <x v="0"/>
    <x v="10"/>
    <x v="0"/>
    <n v="0"/>
    <x v="0"/>
    <x v="0"/>
    <s v="*CB-110                                           AZUL FIJI"/>
    <e v="#N/A"/>
    <s v=""/>
  </r>
  <r>
    <x v="155"/>
    <d v="2017-08-03T00:00:00"/>
    <x v="1"/>
    <s v="CTR - ZONA CENTRO"/>
    <s v="DIST - DISTRIBUIDORES"/>
    <n v="1"/>
    <x v="73"/>
    <n v="1"/>
    <x v="141"/>
    <x v="13"/>
    <x v="21"/>
    <m/>
    <x v="0"/>
    <x v="73"/>
    <n v="5168067"/>
    <m/>
    <n v="0"/>
    <n v="0"/>
    <x v="1"/>
    <x v="0"/>
    <x v="17"/>
    <x v="0"/>
    <n v="0"/>
    <x v="0"/>
    <x v="0"/>
    <s v="*INVICTA                                          AZUL NEON"/>
    <e v="#N/A"/>
    <s v=""/>
  </r>
  <r>
    <x v="155"/>
    <d v="2017-08-03T00:00:00"/>
    <x v="1"/>
    <s v="CTR - ZONA CENTRO"/>
    <s v="DIST - DISTRIBUIDORES"/>
    <n v="2"/>
    <x v="73"/>
    <n v="2"/>
    <x v="141"/>
    <x v="2"/>
    <x v="15"/>
    <m/>
    <x v="0"/>
    <x v="73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2"/>
    <x v="13"/>
    <m/>
    <x v="0"/>
    <x v="73"/>
    <n v="5789916"/>
    <m/>
    <n v="0"/>
    <n v="0"/>
    <x v="1"/>
    <x v="0"/>
    <x v="8"/>
    <x v="0"/>
    <n v="0"/>
    <x v="0"/>
    <x v="0"/>
    <s v="*XR 150L                                          NEGRO BLA"/>
    <e v="#N/A"/>
    <s v=""/>
  </r>
  <r>
    <x v="155"/>
    <d v="2017-08-03T00:00:00"/>
    <x v="1"/>
    <s v="CTR - ZONA CENTRO"/>
    <s v="DIST - DISTRIBUIDORES"/>
    <n v="1"/>
    <x v="73"/>
    <n v="1"/>
    <x v="141"/>
    <x v="2"/>
    <x v="1"/>
    <m/>
    <x v="0"/>
    <x v="73"/>
    <n v="5789916"/>
    <m/>
    <n v="0"/>
    <n v="0"/>
    <x v="1"/>
    <x v="0"/>
    <x v="2"/>
    <x v="0"/>
    <n v="0"/>
    <x v="0"/>
    <x v="0"/>
    <s v="*XR 150L                                          NEGRO    "/>
    <e v="#N/A"/>
    <s v=""/>
  </r>
  <r>
    <x v="155"/>
    <d v="2017-08-03T00:00:00"/>
    <x v="1"/>
    <s v="CTR - ZONA CENTRO"/>
    <s v="DIST - DISTRIBUIDORES"/>
    <n v="5"/>
    <x v="73"/>
    <n v="5"/>
    <x v="141"/>
    <x v="3"/>
    <x v="2"/>
    <m/>
    <x v="0"/>
    <x v="73"/>
    <n v="7554622"/>
    <m/>
    <n v="0"/>
    <n v="0"/>
    <x v="1"/>
    <x v="0"/>
    <x v="3"/>
    <x v="0"/>
    <n v="0"/>
    <x v="0"/>
    <x v="0"/>
    <s v="CB 190R                                           ROJO NEGR"/>
    <e v="#N/A"/>
    <s v=""/>
  </r>
  <r>
    <x v="155"/>
    <d v="2017-08-03T00:00:00"/>
    <x v="1"/>
    <s v="CTR - ZONA CENTRO"/>
    <s v="DIST - DISTRIBUIDORES"/>
    <n v="8"/>
    <x v="73"/>
    <n v="8"/>
    <x v="141"/>
    <x v="3"/>
    <x v="3"/>
    <m/>
    <x v="0"/>
    <x v="73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55"/>
    <d v="2017-08-03T00:00:00"/>
    <x v="1"/>
    <s v="CTR - ZONA CENTRO"/>
    <s v="DIST - DISTRIBUIDORES"/>
    <n v="5"/>
    <x v="73"/>
    <n v="5"/>
    <x v="141"/>
    <x v="4"/>
    <x v="4"/>
    <m/>
    <x v="0"/>
    <x v="73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55"/>
    <d v="2017-08-03T00:00:00"/>
    <x v="1"/>
    <s v="CTR - ZONA CENTRO"/>
    <s v="DIST - DISTRIBUIDORES"/>
    <n v="2"/>
    <x v="73"/>
    <n v="2"/>
    <x v="141"/>
    <x v="5"/>
    <x v="7"/>
    <m/>
    <x v="0"/>
    <x v="73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5"/>
    <x v="8"/>
    <m/>
    <x v="0"/>
    <x v="73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55"/>
    <d v="2017-08-03T00:00:00"/>
    <x v="1"/>
    <s v="CTR - ZONA CENTRO"/>
    <s v="DIST - DISTRIBUIDORES"/>
    <n v="2"/>
    <x v="73"/>
    <n v="2"/>
    <x v="141"/>
    <x v="5"/>
    <x v="5"/>
    <m/>
    <x v="0"/>
    <x v="73"/>
    <n v="6133613"/>
    <m/>
    <n v="0"/>
    <n v="0"/>
    <x v="1"/>
    <x v="0"/>
    <x v="2"/>
    <x v="0"/>
    <n v="0"/>
    <x v="0"/>
    <x v="0"/>
    <s v="CB 160F DLX                                       NARANJA N"/>
    <e v="#N/A"/>
    <s v=""/>
  </r>
  <r>
    <x v="155"/>
    <d v="2017-08-03T00:00:00"/>
    <x v="1"/>
    <s v="CTR - ZONA CENTRO"/>
    <s v="DIST - DISTRIBUIDORES"/>
    <n v="2"/>
    <x v="73"/>
    <n v="2"/>
    <x v="141"/>
    <x v="5"/>
    <x v="9"/>
    <m/>
    <x v="0"/>
    <x v="73"/>
    <n v="6133613"/>
    <m/>
    <n v="0"/>
    <n v="0"/>
    <x v="1"/>
    <x v="0"/>
    <x v="18"/>
    <x v="0"/>
    <n v="0"/>
    <x v="0"/>
    <x v="0"/>
    <s v="CB 160F DLX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6"/>
    <x v="6"/>
    <m/>
    <x v="0"/>
    <x v="73"/>
    <n v="3521008"/>
    <m/>
    <n v="0"/>
    <n v="0"/>
    <x v="1"/>
    <x v="0"/>
    <x v="0"/>
    <x v="0"/>
    <n v="0"/>
    <x v="0"/>
    <x v="0"/>
    <s v="DIO  110                                          ROJO     "/>
    <e v="#N/A"/>
    <s v=""/>
  </r>
  <r>
    <x v="155"/>
    <d v="2017-08-03T00:00:00"/>
    <x v="1"/>
    <s v="CTR - ZONA CENTRO"/>
    <s v="DIST - DISTRIBUIDORES"/>
    <n v="2"/>
    <x v="73"/>
    <n v="2"/>
    <x v="141"/>
    <x v="6"/>
    <x v="16"/>
    <m/>
    <x v="0"/>
    <x v="73"/>
    <n v="3521008"/>
    <m/>
    <n v="0"/>
    <n v="0"/>
    <x v="1"/>
    <x v="0"/>
    <x v="0"/>
    <x v="0"/>
    <n v="0"/>
    <x v="0"/>
    <x v="0"/>
    <s v="DIO  110  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10"/>
    <x v="15"/>
    <m/>
    <x v="0"/>
    <x v="73"/>
    <n v="3067227"/>
    <m/>
    <n v="0"/>
    <n v="0"/>
    <x v="1"/>
    <x v="0"/>
    <x v="0"/>
    <x v="0"/>
    <n v="0"/>
    <x v="0"/>
    <x v="0"/>
    <s v="DREAM  NEO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7"/>
    <x v="6"/>
    <m/>
    <x v="0"/>
    <x v="73"/>
    <n v="3941176"/>
    <m/>
    <n v="0"/>
    <n v="0"/>
    <x v="1"/>
    <x v="0"/>
    <x v="0"/>
    <x v="0"/>
    <n v="0"/>
    <x v="0"/>
    <x v="0"/>
    <s v="WAVE 110S                                         ROJO     "/>
    <e v="#N/A"/>
    <s v=""/>
  </r>
  <r>
    <x v="155"/>
    <d v="2017-08-03T00:00:00"/>
    <x v="1"/>
    <s v="CTR - ZONA CENTRO"/>
    <s v="DIST - DISTRIBUIDORES"/>
    <n v="4"/>
    <x v="73"/>
    <n v="4"/>
    <x v="141"/>
    <x v="8"/>
    <x v="7"/>
    <m/>
    <x v="0"/>
    <x v="73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55"/>
    <d v="2017-08-03T00:00:00"/>
    <x v="1"/>
    <s v="CTR - ZONA CENTRO"/>
    <s v="DIST - DISTRIBUIDORES"/>
    <n v="4"/>
    <x v="73"/>
    <n v="4"/>
    <x v="141"/>
    <x v="8"/>
    <x v="8"/>
    <m/>
    <x v="0"/>
    <x v="73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55"/>
    <d v="2017-08-03T00:00:00"/>
    <x v="1"/>
    <s v="CTR - ZONA CENTRO"/>
    <s v="DIST - DISTRIBUIDORES"/>
    <n v="4"/>
    <x v="73"/>
    <n v="4"/>
    <x v="141"/>
    <x v="8"/>
    <x v="9"/>
    <m/>
    <x v="0"/>
    <x v="73"/>
    <n v="5453782"/>
    <m/>
    <n v="0"/>
    <n v="0"/>
    <x v="1"/>
    <x v="0"/>
    <x v="5"/>
    <x v="0"/>
    <n v="0"/>
    <x v="0"/>
    <x v="0"/>
    <s v="CB 160F STD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9"/>
    <x v="16"/>
    <m/>
    <x v="0"/>
    <x v="73"/>
    <n v="3696639"/>
    <m/>
    <n v="0"/>
    <n v="0"/>
    <x v="1"/>
    <x v="0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2"/>
    <x v="73"/>
    <n v="2"/>
    <x v="141"/>
    <x v="9"/>
    <x v="6"/>
    <m/>
    <x v="0"/>
    <x v="73"/>
    <n v="3696639"/>
    <m/>
    <n v="0"/>
    <n v="0"/>
    <x v="1"/>
    <x v="0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2"/>
    <x v="15"/>
    <m/>
    <x v="106"/>
    <x v="74"/>
    <n v="5789916"/>
    <m/>
    <n v="0"/>
    <n v="6817670"/>
    <x v="0"/>
    <x v="32"/>
    <x v="11"/>
    <x v="0"/>
    <n v="0"/>
    <x v="0"/>
    <x v="0"/>
    <s v="*XR 150L                                          NEGRO ROJ"/>
    <e v="#N/A"/>
    <s v=""/>
  </r>
  <r>
    <x v="156"/>
    <d v="2017-08-03T00:00:00"/>
    <x v="1"/>
    <s v="CTR - ZONA CENTRO"/>
    <s v="DIST - DISTRIBUIDORES"/>
    <n v="1"/>
    <x v="74"/>
    <n v="1"/>
    <x v="142"/>
    <x v="3"/>
    <x v="2"/>
    <m/>
    <x v="106"/>
    <x v="74"/>
    <n v="7554622"/>
    <m/>
    <n v="0"/>
    <n v="6817670"/>
    <x v="0"/>
    <x v="32"/>
    <x v="3"/>
    <x v="0"/>
    <n v="0"/>
    <x v="0"/>
    <x v="0"/>
    <s v="CB 190R                                           ROJO NEGR"/>
    <e v="#N/A"/>
    <s v=""/>
  </r>
  <r>
    <x v="156"/>
    <d v="2017-08-03T00:00:00"/>
    <x v="1"/>
    <s v="CTR - ZONA CENTRO"/>
    <s v="DIST - DISTRIBUIDORES"/>
    <n v="2"/>
    <x v="74"/>
    <n v="2"/>
    <x v="142"/>
    <x v="6"/>
    <x v="6"/>
    <m/>
    <x v="106"/>
    <x v="74"/>
    <n v="3521008"/>
    <m/>
    <n v="0"/>
    <n v="6817670"/>
    <x v="0"/>
    <x v="32"/>
    <x v="0"/>
    <x v="0"/>
    <n v="0"/>
    <x v="0"/>
    <x v="0"/>
    <s v="DIO  110  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6"/>
    <x v="16"/>
    <m/>
    <x v="106"/>
    <x v="74"/>
    <n v="3521008"/>
    <m/>
    <n v="0"/>
    <n v="6817670"/>
    <x v="0"/>
    <x v="32"/>
    <x v="0"/>
    <x v="0"/>
    <n v="0"/>
    <x v="0"/>
    <x v="0"/>
    <s v="DIO  110                                          AZUL     "/>
    <e v="#N/A"/>
    <s v=""/>
  </r>
  <r>
    <x v="156"/>
    <d v="2017-08-03T00:00:00"/>
    <x v="1"/>
    <s v="CTR - ZONA CENTRO"/>
    <s v="DIST - DISTRIBUIDORES"/>
    <n v="1"/>
    <x v="74"/>
    <n v="1"/>
    <x v="142"/>
    <x v="9"/>
    <x v="17"/>
    <m/>
    <x v="106"/>
    <x v="74"/>
    <n v="3696639"/>
    <m/>
    <n v="0"/>
    <n v="6817670"/>
    <x v="0"/>
    <x v="32"/>
    <x v="15"/>
    <x v="0"/>
    <n v="0"/>
    <x v="0"/>
    <x v="0"/>
    <s v="CB 110 DLX                                        GRIS     "/>
    <e v="#N/A"/>
    <s v=""/>
  </r>
  <r>
    <x v="156"/>
    <d v="2017-08-03T00:00:00"/>
    <x v="1"/>
    <s v="CTR - ZONA CENTRO"/>
    <s v="DIST - DISTRIBUIDORES"/>
    <n v="1"/>
    <x v="74"/>
    <n v="1"/>
    <x v="142"/>
    <x v="9"/>
    <x v="6"/>
    <m/>
    <x v="106"/>
    <x v="74"/>
    <n v="3696639"/>
    <m/>
    <n v="0"/>
    <n v="6817670"/>
    <x v="0"/>
    <x v="32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9"/>
    <x v="1"/>
    <m/>
    <x v="106"/>
    <x v="74"/>
    <n v="3696639"/>
    <m/>
    <n v="0"/>
    <n v="6817670"/>
    <x v="0"/>
    <x v="32"/>
    <x v="2"/>
    <x v="0"/>
    <n v="0"/>
    <x v="0"/>
    <x v="0"/>
    <s v="CB 110 DLX                                        NEGRO    "/>
    <e v="#N/A"/>
    <s v=""/>
  </r>
  <r>
    <x v="157"/>
    <d v="2017-08-03T00:00:00"/>
    <x v="0"/>
    <s v="CTR - ZONA CENTRO"/>
    <s v="DIST - DISTRIBUIDORES"/>
    <n v="5"/>
    <x v="29"/>
    <n v="2"/>
    <x v="69"/>
    <x v="2"/>
    <x v="15"/>
    <d v="2017-08-04T00:00:00"/>
    <x v="27"/>
    <x v="29"/>
    <n v="5789916"/>
    <m/>
    <n v="47000000"/>
    <n v="325000000"/>
    <x v="0"/>
    <x v="13"/>
    <x v="11"/>
    <x v="0"/>
    <n v="0"/>
    <x v="0"/>
    <x v="0"/>
    <s v="*XR 150L                                          NEGRO ROJ"/>
    <e v="#N/A"/>
    <s v=""/>
  </r>
  <r>
    <x v="157"/>
    <d v="2017-08-03T00:00:00"/>
    <x v="0"/>
    <s v="CTR - ZONA CENTRO"/>
    <s v="DIST - DISTRIBUIDORES"/>
    <n v="8"/>
    <x v="29"/>
    <n v="2"/>
    <x v="69"/>
    <x v="2"/>
    <x v="1"/>
    <d v="2017-08-04T00:00:00"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157"/>
    <d v="2017-08-03T00:00:00"/>
    <x v="0"/>
    <s v="CTR - ZONA CENTRO"/>
    <s v="DIST - DISTRIBUIDORES"/>
    <n v="4"/>
    <x v="29"/>
    <n v="2"/>
    <x v="69"/>
    <x v="10"/>
    <x v="12"/>
    <d v="2017-08-04T00:00:00"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158"/>
    <d v="2017-08-03T00:00:00"/>
    <x v="0"/>
    <s v="CTR - ZONA CENTRO"/>
    <s v="DIST - DISTRIBUIDORES"/>
    <n v="4"/>
    <x v="75"/>
    <n v="4"/>
    <x v="143"/>
    <x v="3"/>
    <x v="3"/>
    <m/>
    <x v="107"/>
    <x v="75"/>
    <n v="7554622"/>
    <m/>
    <n v="11500000"/>
    <n v="67000000"/>
    <x v="0"/>
    <x v="31"/>
    <x v="0"/>
    <x v="0"/>
    <n v="0"/>
    <x v="0"/>
    <x v="0"/>
    <s v="CB 190R                                           NEGRO ONI"/>
    <e v="#N/A"/>
    <s v=""/>
  </r>
  <r>
    <x v="158"/>
    <d v="2017-08-03T00:00:00"/>
    <x v="0"/>
    <s v="CTR - ZONA CENTRO"/>
    <s v="DIST - DISTRIBUIDORES"/>
    <n v="1"/>
    <x v="75"/>
    <n v="1"/>
    <x v="143"/>
    <x v="5"/>
    <x v="8"/>
    <m/>
    <x v="107"/>
    <x v="75"/>
    <n v="6133613"/>
    <m/>
    <n v="11500000"/>
    <n v="67000000"/>
    <x v="0"/>
    <x v="31"/>
    <x v="0"/>
    <x v="0"/>
    <n v="0"/>
    <x v="0"/>
    <x v="0"/>
    <s v="CB 160F DLX                                       NEGRO PER"/>
    <e v="#N/A"/>
    <s v=""/>
  </r>
  <r>
    <x v="158"/>
    <d v="2017-08-03T00:00:00"/>
    <x v="0"/>
    <s v="CTR - ZONA CENTRO"/>
    <s v="DIST - DISTRIBUIDORES"/>
    <n v="2"/>
    <x v="75"/>
    <n v="2"/>
    <x v="143"/>
    <x v="8"/>
    <x v="7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ROJO SPOR"/>
    <e v="#N/A"/>
    <s v=""/>
  </r>
  <r>
    <x v="158"/>
    <d v="2017-08-03T00:00:00"/>
    <x v="0"/>
    <s v="CTR - ZONA CENTRO"/>
    <s v="DIST - DISTRIBUIDORES"/>
    <n v="2"/>
    <x v="75"/>
    <n v="2"/>
    <x v="143"/>
    <x v="8"/>
    <x v="8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1"/>
    <x v="1"/>
    <m/>
    <x v="108"/>
    <x v="76"/>
    <n v="3360504"/>
    <m/>
    <n v="0"/>
    <n v="0"/>
    <x v="1"/>
    <x v="27"/>
    <x v="1"/>
    <x v="0"/>
    <n v="0"/>
    <x v="0"/>
    <x v="0"/>
    <s v="*CB-110 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2"/>
    <x v="1"/>
    <m/>
    <x v="108"/>
    <x v="76"/>
    <n v="5789916"/>
    <m/>
    <n v="0"/>
    <n v="0"/>
    <x v="1"/>
    <x v="27"/>
    <x v="2"/>
    <x v="0"/>
    <n v="0"/>
    <x v="0"/>
    <x v="0"/>
    <s v="*XR 150L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3"/>
    <x v="2"/>
    <m/>
    <x v="108"/>
    <x v="76"/>
    <n v="7554622"/>
    <m/>
    <n v="0"/>
    <n v="0"/>
    <x v="1"/>
    <x v="27"/>
    <x v="3"/>
    <x v="0"/>
    <n v="0"/>
    <x v="0"/>
    <x v="0"/>
    <s v="CB 190R                                           ROJO NEGR"/>
    <e v="#N/A"/>
    <s v=""/>
  </r>
  <r>
    <x v="159"/>
    <d v="2017-08-03T00:00:00"/>
    <x v="0"/>
    <s v="CTR - ZONA CENTRO"/>
    <s v="DIST - DISTRIBUIDORES"/>
    <n v="1"/>
    <x v="76"/>
    <n v="1"/>
    <x v="144"/>
    <x v="3"/>
    <x v="3"/>
    <m/>
    <x v="108"/>
    <x v="76"/>
    <n v="7554622"/>
    <m/>
    <n v="0"/>
    <n v="0"/>
    <x v="1"/>
    <x v="27"/>
    <x v="0"/>
    <x v="0"/>
    <n v="0"/>
    <x v="0"/>
    <x v="0"/>
    <s v="CB 190R                                           NEGRO ONI"/>
    <e v="#N/A"/>
    <s v=""/>
  </r>
  <r>
    <x v="159"/>
    <d v="2017-08-03T00:00:00"/>
    <x v="0"/>
    <s v="CTR - ZONA CENTRO"/>
    <s v="DIST - DISTRIBUIDORES"/>
    <n v="2"/>
    <x v="76"/>
    <n v="2"/>
    <x v="144"/>
    <x v="4"/>
    <x v="4"/>
    <m/>
    <x v="108"/>
    <x v="76"/>
    <n v="7730252"/>
    <m/>
    <n v="0"/>
    <n v="0"/>
    <x v="1"/>
    <x v="27"/>
    <x v="4"/>
    <x v="0"/>
    <n v="0"/>
    <x v="0"/>
    <x v="0"/>
    <s v="CB 190 REPSOL                                     NARANJA B"/>
    <e v="#N/A"/>
    <s v=""/>
  </r>
  <r>
    <x v="159"/>
    <d v="2017-08-03T00:00:00"/>
    <x v="0"/>
    <s v="CTR - ZONA CENTRO"/>
    <s v="DIST - DISTRIBUIDORES"/>
    <n v="1"/>
    <x v="76"/>
    <n v="1"/>
    <x v="144"/>
    <x v="5"/>
    <x v="9"/>
    <m/>
    <x v="108"/>
    <x v="76"/>
    <n v="6133613"/>
    <m/>
    <n v="0"/>
    <n v="0"/>
    <x v="1"/>
    <x v="27"/>
    <x v="18"/>
    <x v="0"/>
    <n v="0"/>
    <x v="0"/>
    <x v="0"/>
    <s v="CB 160F DLX                                       BLANCO PE"/>
    <e v="#N/A"/>
    <s v=""/>
  </r>
  <r>
    <x v="159"/>
    <d v="2017-08-03T00:00:00"/>
    <x v="0"/>
    <s v="CTR - ZONA CENTRO"/>
    <s v="DIST - DISTRIBUIDORES"/>
    <n v="1"/>
    <x v="76"/>
    <n v="1"/>
    <x v="144"/>
    <x v="5"/>
    <x v="8"/>
    <m/>
    <x v="108"/>
    <x v="76"/>
    <n v="6133613"/>
    <m/>
    <n v="0"/>
    <n v="0"/>
    <x v="1"/>
    <x v="27"/>
    <x v="0"/>
    <x v="0"/>
    <n v="0"/>
    <x v="0"/>
    <x v="0"/>
    <s v="CB 160F DLX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7"/>
    <x v="1"/>
    <m/>
    <x v="108"/>
    <x v="76"/>
    <n v="3941176"/>
    <m/>
    <n v="0"/>
    <n v="0"/>
    <x v="1"/>
    <x v="27"/>
    <x v="0"/>
    <x v="0"/>
    <n v="0"/>
    <x v="0"/>
    <x v="0"/>
    <s v="WAVE 110S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8"/>
    <x v="7"/>
    <m/>
    <x v="108"/>
    <x v="76"/>
    <n v="5453782"/>
    <m/>
    <n v="0"/>
    <n v="0"/>
    <x v="1"/>
    <x v="27"/>
    <x v="0"/>
    <x v="0"/>
    <n v="0"/>
    <x v="0"/>
    <x v="0"/>
    <s v="CB 160F STD                                       ROJO SPOR"/>
    <e v="#N/A"/>
    <s v=""/>
  </r>
  <r>
    <x v="159"/>
    <d v="2017-08-03T00:00:00"/>
    <x v="0"/>
    <s v="CTR - ZONA CENTRO"/>
    <s v="DIST - DISTRIBUIDORES"/>
    <n v="2"/>
    <x v="76"/>
    <n v="2"/>
    <x v="144"/>
    <x v="8"/>
    <x v="8"/>
    <m/>
    <x v="108"/>
    <x v="76"/>
    <n v="5453782"/>
    <m/>
    <n v="0"/>
    <n v="0"/>
    <x v="1"/>
    <x v="27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9"/>
    <x v="16"/>
    <m/>
    <x v="108"/>
    <x v="76"/>
    <n v="3696639"/>
    <m/>
    <n v="0"/>
    <n v="0"/>
    <x v="1"/>
    <x v="27"/>
    <x v="14"/>
    <x v="0"/>
    <n v="0"/>
    <x v="0"/>
    <x v="0"/>
    <s v="CB 110 DLX                                        AZUL     "/>
    <e v="#N/A"/>
    <s v=""/>
  </r>
  <r>
    <x v="160"/>
    <d v="2017-08-03T00:00:00"/>
    <x v="0"/>
    <s v="CTR - ZONA CENTRO"/>
    <s v="DIST - DISTRIBUIDORES"/>
    <n v="1"/>
    <x v="76"/>
    <n v="1"/>
    <x v="145"/>
    <x v="1"/>
    <x v="1"/>
    <m/>
    <x v="103"/>
    <x v="76"/>
    <n v="3360504"/>
    <m/>
    <n v="0"/>
    <n v="0"/>
    <x v="1"/>
    <x v="38"/>
    <x v="1"/>
    <x v="0"/>
    <n v="0"/>
    <x v="0"/>
    <x v="0"/>
    <s v="*CB-110                                           NEGRO    "/>
    <e v="#N/A"/>
    <s v=""/>
  </r>
  <r>
    <x v="160"/>
    <d v="2017-08-03T00:00:00"/>
    <x v="0"/>
    <s v="CTR - ZONA CENTRO"/>
    <s v="DIST - DISTRIBUIDORES"/>
    <n v="1"/>
    <x v="76"/>
    <n v="1"/>
    <x v="145"/>
    <x v="2"/>
    <x v="15"/>
    <m/>
    <x v="103"/>
    <x v="76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60"/>
    <d v="2017-08-03T00:00:00"/>
    <x v="0"/>
    <s v="CTR - ZONA CENTRO"/>
    <s v="DIST - DISTRIBUIDORES"/>
    <n v="1"/>
    <x v="76"/>
    <n v="1"/>
    <x v="145"/>
    <x v="3"/>
    <x v="2"/>
    <m/>
    <x v="103"/>
    <x v="76"/>
    <n v="7554622"/>
    <m/>
    <n v="0"/>
    <n v="0"/>
    <x v="1"/>
    <x v="38"/>
    <x v="3"/>
    <x v="0"/>
    <n v="0"/>
    <x v="0"/>
    <x v="0"/>
    <s v="CB 190R                                           ROJO NEGR"/>
    <e v="#N/A"/>
    <s v=""/>
  </r>
  <r>
    <x v="160"/>
    <d v="2017-08-03T00:00:00"/>
    <x v="0"/>
    <s v="CTR - ZONA CENTRO"/>
    <s v="DIST - DISTRIBUIDORES"/>
    <n v="1"/>
    <x v="76"/>
    <n v="1"/>
    <x v="145"/>
    <x v="3"/>
    <x v="3"/>
    <m/>
    <x v="103"/>
    <x v="76"/>
    <n v="7554622"/>
    <m/>
    <n v="0"/>
    <n v="0"/>
    <x v="1"/>
    <x v="38"/>
    <x v="0"/>
    <x v="0"/>
    <n v="0"/>
    <x v="0"/>
    <x v="0"/>
    <s v="CB 190R                                           NEGRO ONI"/>
    <e v="#N/A"/>
    <s v=""/>
  </r>
  <r>
    <x v="160"/>
    <d v="2017-08-03T00:00:00"/>
    <x v="0"/>
    <s v="CTR - ZONA CENTRO"/>
    <s v="DIST - DISTRIBUIDORES"/>
    <n v="2"/>
    <x v="76"/>
    <n v="2"/>
    <x v="145"/>
    <x v="4"/>
    <x v="4"/>
    <m/>
    <x v="103"/>
    <x v="76"/>
    <n v="7730252"/>
    <m/>
    <n v="0"/>
    <n v="0"/>
    <x v="1"/>
    <x v="38"/>
    <x v="4"/>
    <x v="0"/>
    <n v="0"/>
    <x v="0"/>
    <x v="0"/>
    <s v="CB 190 REPSOL                                     NARANJA B"/>
    <e v="#N/A"/>
    <s v=""/>
  </r>
  <r>
    <x v="160"/>
    <d v="2017-08-03T00:00:00"/>
    <x v="0"/>
    <s v="CTR - ZONA CENTRO"/>
    <s v="DIST - DISTRIBUIDORES"/>
    <n v="1"/>
    <x v="76"/>
    <n v="1"/>
    <x v="145"/>
    <x v="5"/>
    <x v="7"/>
    <m/>
    <x v="103"/>
    <x v="76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60"/>
    <d v="2017-08-03T00:00:00"/>
    <x v="0"/>
    <s v="CTR - ZONA CENTRO"/>
    <s v="DIST - DISTRIBUIDORES"/>
    <n v="1"/>
    <x v="76"/>
    <n v="1"/>
    <x v="145"/>
    <x v="5"/>
    <x v="8"/>
    <m/>
    <x v="103"/>
    <x v="76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8"/>
    <x v="9"/>
    <m/>
    <x v="103"/>
    <x v="76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60"/>
    <d v="2017-08-03T00:00:00"/>
    <x v="0"/>
    <s v="CTR - ZONA CENTRO"/>
    <s v="DIST - DISTRIBUIDORES"/>
    <n v="1"/>
    <x v="76"/>
    <n v="1"/>
    <x v="145"/>
    <x v="8"/>
    <x v="7"/>
    <m/>
    <x v="103"/>
    <x v="76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60"/>
    <d v="2017-08-03T00:00:00"/>
    <x v="0"/>
    <s v="CTR - ZONA CENTRO"/>
    <s v="DIST - DISTRIBUIDORES"/>
    <n v="2"/>
    <x v="76"/>
    <n v="2"/>
    <x v="145"/>
    <x v="8"/>
    <x v="8"/>
    <m/>
    <x v="103"/>
    <x v="76"/>
    <n v="5453782"/>
    <m/>
    <n v="0"/>
    <n v="0"/>
    <x v="1"/>
    <x v="38"/>
    <x v="0"/>
    <x v="0"/>
    <n v="0"/>
    <x v="0"/>
    <x v="0"/>
    <s v="CB 160F STD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9"/>
    <x v="16"/>
    <m/>
    <x v="103"/>
    <x v="76"/>
    <n v="3696639"/>
    <m/>
    <n v="0"/>
    <n v="0"/>
    <x v="1"/>
    <x v="38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1"/>
    <x v="77"/>
    <n v="1"/>
    <x v="146"/>
    <x v="2"/>
    <x v="15"/>
    <m/>
    <x v="109"/>
    <x v="77"/>
    <n v="5789916"/>
    <m/>
    <n v="2839868"/>
    <n v="0"/>
    <x v="1"/>
    <x v="32"/>
    <x v="11"/>
    <x v="0"/>
    <n v="0"/>
    <x v="0"/>
    <x v="0"/>
    <s v="*XR 150L                                          NEGRO ROJ"/>
    <e v="#N/A"/>
    <s v=""/>
  </r>
  <r>
    <x v="161"/>
    <d v="2017-08-03T00:00:00"/>
    <x v="0"/>
    <s v="CTR - ZONA CENTRO"/>
    <s v="DIST - DISTRIBUIDORES"/>
    <n v="1"/>
    <x v="77"/>
    <n v="1"/>
    <x v="146"/>
    <x v="2"/>
    <x v="1"/>
    <m/>
    <x v="109"/>
    <x v="77"/>
    <n v="5789916"/>
    <m/>
    <n v="2839868"/>
    <n v="0"/>
    <x v="1"/>
    <x v="32"/>
    <x v="2"/>
    <x v="0"/>
    <n v="0"/>
    <x v="0"/>
    <x v="0"/>
    <s v="*XR 150L                                          NEGRO    "/>
    <e v="#N/A"/>
    <s v=""/>
  </r>
  <r>
    <x v="161"/>
    <d v="2017-08-03T00:00:00"/>
    <x v="0"/>
    <s v="CTR - ZONA CENTRO"/>
    <s v="DIST - DISTRIBUIDORES"/>
    <n v="1"/>
    <x v="77"/>
    <n v="1"/>
    <x v="146"/>
    <x v="11"/>
    <x v="13"/>
    <m/>
    <x v="109"/>
    <x v="77"/>
    <n v="3521008"/>
    <m/>
    <n v="2839868"/>
    <n v="0"/>
    <x v="1"/>
    <x v="32"/>
    <x v="12"/>
    <x v="0"/>
    <n v="0"/>
    <x v="0"/>
    <x v="0"/>
    <s v="DIO 110                                           NEGRO BLA"/>
    <e v="#N/A"/>
    <s v=""/>
  </r>
  <r>
    <x v="161"/>
    <d v="2017-08-03T00:00:00"/>
    <x v="0"/>
    <s v="CTR - ZONA CENTRO"/>
    <s v="DIST - DISTRIBUIDORES"/>
    <n v="2"/>
    <x v="77"/>
    <n v="2"/>
    <x v="146"/>
    <x v="4"/>
    <x v="4"/>
    <m/>
    <x v="109"/>
    <x v="77"/>
    <n v="7730252"/>
    <m/>
    <n v="2839868"/>
    <n v="0"/>
    <x v="1"/>
    <x v="32"/>
    <x v="4"/>
    <x v="0"/>
    <n v="0"/>
    <x v="0"/>
    <x v="0"/>
    <s v="CB 190 REPSOL                                     NARANJA B"/>
    <e v="#N/A"/>
    <s v=""/>
  </r>
  <r>
    <x v="161"/>
    <d v="2017-08-03T00:00:00"/>
    <x v="0"/>
    <s v="CTR - ZONA CENTRO"/>
    <s v="DIST - DISTRIBUIDORES"/>
    <n v="1"/>
    <x v="77"/>
    <n v="1"/>
    <x v="146"/>
    <x v="5"/>
    <x v="8"/>
    <m/>
    <x v="109"/>
    <x v="77"/>
    <n v="6133613"/>
    <m/>
    <n v="2839868"/>
    <n v="0"/>
    <x v="1"/>
    <x v="32"/>
    <x v="0"/>
    <x v="0"/>
    <n v="0"/>
    <x v="0"/>
    <x v="0"/>
    <s v="CB 160F DLX                                       NEGRO PER"/>
    <e v="#N/A"/>
    <s v=""/>
  </r>
  <r>
    <x v="161"/>
    <d v="2017-08-03T00:00:00"/>
    <x v="0"/>
    <s v="CTR - ZONA CENTRO"/>
    <s v="DIST - DISTRIBUIDORES"/>
    <n v="2"/>
    <x v="77"/>
    <n v="2"/>
    <x v="146"/>
    <x v="6"/>
    <x v="6"/>
    <m/>
    <x v="109"/>
    <x v="77"/>
    <n v="3521008"/>
    <m/>
    <n v="2839868"/>
    <n v="0"/>
    <x v="1"/>
    <x v="32"/>
    <x v="0"/>
    <x v="0"/>
    <n v="0"/>
    <x v="0"/>
    <x v="0"/>
    <s v="DIO  110                                          ROJO     "/>
    <e v="#N/A"/>
    <s v=""/>
  </r>
  <r>
    <x v="161"/>
    <d v="2017-08-03T00:00:00"/>
    <x v="0"/>
    <s v="CTR - ZONA CENTRO"/>
    <s v="DIST - DISTRIBUIDORES"/>
    <n v="1"/>
    <x v="77"/>
    <n v="1"/>
    <x v="146"/>
    <x v="9"/>
    <x v="16"/>
    <m/>
    <x v="109"/>
    <x v="77"/>
    <n v="3696639"/>
    <m/>
    <n v="2839868"/>
    <n v="0"/>
    <x v="1"/>
    <x v="32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2"/>
    <x v="77"/>
    <n v="2"/>
    <x v="146"/>
    <x v="9"/>
    <x v="1"/>
    <m/>
    <x v="109"/>
    <x v="77"/>
    <n v="3696639"/>
    <m/>
    <n v="2839868"/>
    <n v="0"/>
    <x v="1"/>
    <x v="32"/>
    <x v="2"/>
    <x v="0"/>
    <n v="0"/>
    <x v="0"/>
    <x v="0"/>
    <s v="CB 110 DLX                                        NEGRO    "/>
    <e v="#N/A"/>
    <s v=""/>
  </r>
  <r>
    <x v="162"/>
    <d v="2017-08-03T00:00:00"/>
    <x v="1"/>
    <s v="CTR - ZONA CENTRO"/>
    <s v="DIST - DISTRIBUIDORES"/>
    <n v="1"/>
    <x v="78"/>
    <n v="1"/>
    <x v="147"/>
    <x v="2"/>
    <x v="15"/>
    <m/>
    <x v="0"/>
    <x v="78"/>
    <n v="5789916"/>
    <m/>
    <n v="22577282"/>
    <n v="0"/>
    <x v="0"/>
    <x v="0"/>
    <x v="11"/>
    <x v="0"/>
    <n v="0"/>
    <x v="0"/>
    <x v="0"/>
    <s v="*XR 150L                                          NEGRO ROJ"/>
    <e v="#N/A"/>
    <s v=""/>
  </r>
  <r>
    <x v="162"/>
    <d v="2017-08-03T00:00:00"/>
    <x v="1"/>
    <s v="CTR - ZONA CENTRO"/>
    <s v="DIST - DISTRIBUIDORES"/>
    <n v="2"/>
    <x v="78"/>
    <n v="2"/>
    <x v="147"/>
    <x v="3"/>
    <x v="2"/>
    <m/>
    <x v="0"/>
    <x v="78"/>
    <n v="7554622"/>
    <m/>
    <n v="22577282"/>
    <n v="0"/>
    <x v="0"/>
    <x v="0"/>
    <x v="3"/>
    <x v="0"/>
    <n v="0"/>
    <x v="0"/>
    <x v="0"/>
    <s v="CB 190R                                           ROJO NEGR"/>
    <e v="#N/A"/>
    <s v=""/>
  </r>
  <r>
    <x v="162"/>
    <d v="2017-08-03T00:00:00"/>
    <x v="1"/>
    <s v="CTR - ZONA CENTRO"/>
    <s v="DIST - DISTRIBUIDORES"/>
    <n v="3"/>
    <x v="78"/>
    <n v="3"/>
    <x v="147"/>
    <x v="3"/>
    <x v="3"/>
    <m/>
    <x v="0"/>
    <x v="78"/>
    <n v="7554622"/>
    <m/>
    <n v="22577282"/>
    <n v="0"/>
    <x v="0"/>
    <x v="0"/>
    <x v="0"/>
    <x v="0"/>
    <n v="0"/>
    <x v="0"/>
    <x v="0"/>
    <s v="CB 190R                                           NEGRO ONI"/>
    <e v="#N/A"/>
    <s v=""/>
  </r>
  <r>
    <x v="162"/>
    <d v="2017-08-03T00:00:00"/>
    <x v="1"/>
    <s v="CTR - ZONA CENTRO"/>
    <s v="DIST - DISTRIBUIDORES"/>
    <n v="3"/>
    <x v="78"/>
    <n v="3"/>
    <x v="147"/>
    <x v="4"/>
    <x v="4"/>
    <m/>
    <x v="0"/>
    <x v="78"/>
    <n v="7730252"/>
    <m/>
    <n v="22577282"/>
    <n v="0"/>
    <x v="0"/>
    <x v="0"/>
    <x v="4"/>
    <x v="0"/>
    <n v="0"/>
    <x v="0"/>
    <x v="0"/>
    <s v="CB 190 REPSOL                                     NARANJA B"/>
    <e v="#N/A"/>
    <s v=""/>
  </r>
  <r>
    <x v="162"/>
    <d v="2017-08-03T00:00:00"/>
    <x v="1"/>
    <s v="CTR - ZONA CENTRO"/>
    <s v="DIST - DISTRIBUIDORES"/>
    <n v="1"/>
    <x v="78"/>
    <n v="1"/>
    <x v="147"/>
    <x v="5"/>
    <x v="8"/>
    <m/>
    <x v="0"/>
    <x v="78"/>
    <n v="6133613"/>
    <m/>
    <n v="22577282"/>
    <n v="0"/>
    <x v="0"/>
    <x v="0"/>
    <x v="0"/>
    <x v="0"/>
    <n v="0"/>
    <x v="0"/>
    <x v="0"/>
    <s v="CB 160F DLX                                       NEGRO PER"/>
    <e v="#N/A"/>
    <s v=""/>
  </r>
  <r>
    <x v="162"/>
    <d v="2017-08-03T00:00:00"/>
    <x v="1"/>
    <s v="CTR - ZONA CENTRO"/>
    <s v="DIST - DISTRIBUIDORES"/>
    <n v="1"/>
    <x v="78"/>
    <n v="1"/>
    <x v="147"/>
    <x v="5"/>
    <x v="5"/>
    <m/>
    <x v="0"/>
    <x v="78"/>
    <n v="6133613"/>
    <m/>
    <n v="22577282"/>
    <n v="0"/>
    <x v="0"/>
    <x v="0"/>
    <x v="2"/>
    <x v="0"/>
    <n v="0"/>
    <x v="0"/>
    <x v="0"/>
    <s v="CB 160F DLX                                       NARANJA N"/>
    <e v="#N/A"/>
    <s v=""/>
  </r>
  <r>
    <x v="162"/>
    <d v="2017-08-03T00:00:00"/>
    <x v="1"/>
    <s v="CTR - ZONA CENTRO"/>
    <s v="DIST - DISTRIBUIDORES"/>
    <n v="1"/>
    <x v="78"/>
    <n v="1"/>
    <x v="147"/>
    <x v="5"/>
    <x v="9"/>
    <m/>
    <x v="0"/>
    <x v="78"/>
    <n v="6133613"/>
    <m/>
    <n v="22577282"/>
    <n v="0"/>
    <x v="0"/>
    <x v="0"/>
    <x v="18"/>
    <x v="0"/>
    <n v="0"/>
    <x v="0"/>
    <x v="0"/>
    <s v="CB 160F DLX                                       BLANCO PE"/>
    <e v="#N/A"/>
    <s v=""/>
  </r>
  <r>
    <x v="162"/>
    <d v="2017-08-03T00:00:00"/>
    <x v="1"/>
    <s v="CTR - ZONA CENTRO"/>
    <s v="DIST - DISTRIBUIDORES"/>
    <n v="1"/>
    <x v="78"/>
    <n v="1"/>
    <x v="147"/>
    <x v="5"/>
    <x v="7"/>
    <m/>
    <x v="0"/>
    <x v="78"/>
    <n v="6133613"/>
    <m/>
    <n v="22577282"/>
    <n v="0"/>
    <x v="0"/>
    <x v="0"/>
    <x v="13"/>
    <x v="0"/>
    <n v="0"/>
    <x v="0"/>
    <x v="0"/>
    <s v="CB 160F DLX                                       ROJO SPOR"/>
    <e v="#N/A"/>
    <s v=""/>
  </r>
  <r>
    <x v="162"/>
    <d v="2017-08-03T00:00:00"/>
    <x v="1"/>
    <s v="CTR - ZONA CENTRO"/>
    <s v="DIST - DISTRIBUIDORES"/>
    <n v="1"/>
    <x v="78"/>
    <n v="1"/>
    <x v="147"/>
    <x v="6"/>
    <x v="0"/>
    <m/>
    <x v="0"/>
    <x v="78"/>
    <n v="3521008"/>
    <m/>
    <n v="22577282"/>
    <n v="0"/>
    <x v="0"/>
    <x v="0"/>
    <x v="7"/>
    <x v="0"/>
    <n v="0"/>
    <x v="0"/>
    <x v="0"/>
    <s v="DIO  110                                          BLANCO NE"/>
    <e v="#N/A"/>
    <s v=""/>
  </r>
  <r>
    <x v="162"/>
    <d v="2017-08-03T00:00:00"/>
    <x v="1"/>
    <s v="CTR - ZONA CENTRO"/>
    <s v="DIST - DISTRIBUIDORES"/>
    <n v="1"/>
    <x v="78"/>
    <n v="1"/>
    <x v="147"/>
    <x v="6"/>
    <x v="6"/>
    <m/>
    <x v="0"/>
    <x v="78"/>
    <n v="3521008"/>
    <m/>
    <n v="22577282"/>
    <n v="0"/>
    <x v="0"/>
    <x v="0"/>
    <x v="0"/>
    <x v="0"/>
    <n v="0"/>
    <x v="0"/>
    <x v="0"/>
    <s v="DIO  110                                          ROJO     "/>
    <e v="#N/A"/>
    <s v=""/>
  </r>
  <r>
    <x v="162"/>
    <d v="2017-08-03T00:00:00"/>
    <x v="1"/>
    <s v="CTR - ZONA CENTRO"/>
    <s v="DIST - DISTRIBUIDORES"/>
    <n v="1"/>
    <x v="78"/>
    <n v="1"/>
    <x v="147"/>
    <x v="10"/>
    <x v="15"/>
    <m/>
    <x v="0"/>
    <x v="78"/>
    <n v="3067227"/>
    <m/>
    <n v="22577282"/>
    <n v="0"/>
    <x v="0"/>
    <x v="0"/>
    <x v="0"/>
    <x v="0"/>
    <n v="0"/>
    <x v="0"/>
    <x v="0"/>
    <s v="DREAM  NEO                                        NEGRO ROJ"/>
    <e v="#N/A"/>
    <s v=""/>
  </r>
  <r>
    <x v="162"/>
    <d v="2017-08-03T00:00:00"/>
    <x v="1"/>
    <s v="CTR - ZONA CENTRO"/>
    <s v="DIST - DISTRIBUIDORES"/>
    <n v="1"/>
    <x v="78"/>
    <n v="1"/>
    <x v="147"/>
    <x v="8"/>
    <x v="7"/>
    <m/>
    <x v="0"/>
    <x v="78"/>
    <n v="5453782"/>
    <m/>
    <n v="22577282"/>
    <n v="0"/>
    <x v="0"/>
    <x v="0"/>
    <x v="0"/>
    <x v="0"/>
    <n v="0"/>
    <x v="0"/>
    <x v="0"/>
    <s v="CB 160F STD                                       ROJO SPOR"/>
    <e v="#N/A"/>
    <s v=""/>
  </r>
  <r>
    <x v="162"/>
    <d v="2017-08-03T00:00:00"/>
    <x v="1"/>
    <s v="CTR - ZONA CENTRO"/>
    <s v="DIST - DISTRIBUIDORES"/>
    <n v="2"/>
    <x v="78"/>
    <n v="2"/>
    <x v="147"/>
    <x v="8"/>
    <x v="8"/>
    <m/>
    <x v="0"/>
    <x v="78"/>
    <n v="5453782"/>
    <m/>
    <n v="22577282"/>
    <n v="0"/>
    <x v="0"/>
    <x v="0"/>
    <x v="0"/>
    <x v="0"/>
    <n v="0"/>
    <x v="0"/>
    <x v="0"/>
    <s v="CB 160F STD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2"/>
    <x v="15"/>
    <m/>
    <x v="104"/>
    <x v="78"/>
    <n v="5789916"/>
    <m/>
    <n v="22577282"/>
    <n v="0"/>
    <x v="0"/>
    <x v="32"/>
    <x v="11"/>
    <x v="0"/>
    <n v="0"/>
    <x v="0"/>
    <x v="0"/>
    <s v="*XR 150L                                          NEGRO ROJ"/>
    <e v="#N/A"/>
    <s v=""/>
  </r>
  <r>
    <x v="163"/>
    <d v="2017-08-03T00:00:00"/>
    <x v="0"/>
    <s v="CTR - ZONA CENTRO"/>
    <s v="DIST - DISTRIBUIDORES"/>
    <n v="1"/>
    <x v="78"/>
    <n v="1"/>
    <x v="148"/>
    <x v="2"/>
    <x v="13"/>
    <m/>
    <x v="104"/>
    <x v="78"/>
    <n v="5789916"/>
    <m/>
    <n v="22577282"/>
    <n v="0"/>
    <x v="0"/>
    <x v="32"/>
    <x v="8"/>
    <x v="0"/>
    <n v="0"/>
    <x v="0"/>
    <x v="0"/>
    <s v="*XR 150L                                          NEGRO BLA"/>
    <e v="#N/A"/>
    <s v=""/>
  </r>
  <r>
    <x v="163"/>
    <d v="2017-08-03T00:00:00"/>
    <x v="0"/>
    <s v="CTR - ZONA CENTRO"/>
    <s v="DIST - DISTRIBUIDORES"/>
    <n v="1"/>
    <x v="78"/>
    <n v="1"/>
    <x v="148"/>
    <x v="3"/>
    <x v="3"/>
    <m/>
    <x v="104"/>
    <x v="78"/>
    <n v="7554622"/>
    <m/>
    <n v="22577282"/>
    <n v="0"/>
    <x v="0"/>
    <x v="32"/>
    <x v="0"/>
    <x v="0"/>
    <n v="0"/>
    <x v="0"/>
    <x v="0"/>
    <s v="CB 190R                                           NEGRO ONI"/>
    <e v="#N/A"/>
    <s v=""/>
  </r>
  <r>
    <x v="163"/>
    <d v="2017-08-03T00:00:00"/>
    <x v="0"/>
    <s v="CTR - ZONA CENTRO"/>
    <s v="DIST - DISTRIBUIDORES"/>
    <n v="1"/>
    <x v="78"/>
    <n v="1"/>
    <x v="148"/>
    <x v="4"/>
    <x v="4"/>
    <m/>
    <x v="104"/>
    <x v="78"/>
    <n v="7730252"/>
    <m/>
    <n v="22577282"/>
    <n v="0"/>
    <x v="0"/>
    <x v="32"/>
    <x v="4"/>
    <x v="0"/>
    <n v="0"/>
    <x v="0"/>
    <x v="0"/>
    <s v="CB 190 REPSOL                                     NARANJA B"/>
    <e v="#N/A"/>
    <s v=""/>
  </r>
  <r>
    <x v="163"/>
    <d v="2017-08-03T00:00:00"/>
    <x v="0"/>
    <s v="CTR - ZONA CENTRO"/>
    <s v="DIST - DISTRIBUIDORES"/>
    <n v="1"/>
    <x v="78"/>
    <n v="1"/>
    <x v="148"/>
    <x v="5"/>
    <x v="5"/>
    <m/>
    <x v="104"/>
    <x v="78"/>
    <n v="6133613"/>
    <m/>
    <n v="22577282"/>
    <n v="0"/>
    <x v="0"/>
    <x v="32"/>
    <x v="2"/>
    <x v="0"/>
    <n v="0"/>
    <x v="0"/>
    <x v="0"/>
    <s v="CB 160F DLX                                       NARANJA N"/>
    <e v="#N/A"/>
    <s v=""/>
  </r>
  <r>
    <x v="163"/>
    <d v="2017-08-03T00:00:00"/>
    <x v="0"/>
    <s v="CTR - ZONA CENTRO"/>
    <s v="DIST - DISTRIBUIDORES"/>
    <n v="1"/>
    <x v="78"/>
    <n v="1"/>
    <x v="148"/>
    <x v="5"/>
    <x v="8"/>
    <m/>
    <x v="104"/>
    <x v="78"/>
    <n v="6133613"/>
    <m/>
    <n v="22577282"/>
    <n v="0"/>
    <x v="0"/>
    <x v="32"/>
    <x v="0"/>
    <x v="0"/>
    <n v="0"/>
    <x v="0"/>
    <x v="0"/>
    <s v="CB 160F DLX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6"/>
    <x v="6"/>
    <m/>
    <x v="104"/>
    <x v="78"/>
    <n v="3521008"/>
    <m/>
    <n v="22577282"/>
    <n v="0"/>
    <x v="0"/>
    <x v="32"/>
    <x v="0"/>
    <x v="0"/>
    <n v="0"/>
    <x v="0"/>
    <x v="0"/>
    <s v="DIO  110                                          ROJO     "/>
    <e v="#N/A"/>
    <s v=""/>
  </r>
  <r>
    <x v="163"/>
    <d v="2017-08-03T00:00:00"/>
    <x v="0"/>
    <s v="CTR - ZONA CENTRO"/>
    <s v="DIST - DISTRIBUIDORES"/>
    <n v="1"/>
    <x v="78"/>
    <n v="1"/>
    <x v="148"/>
    <x v="8"/>
    <x v="7"/>
    <m/>
    <x v="104"/>
    <x v="78"/>
    <n v="5453782"/>
    <m/>
    <n v="22577282"/>
    <n v="0"/>
    <x v="0"/>
    <x v="32"/>
    <x v="0"/>
    <x v="0"/>
    <n v="0"/>
    <x v="0"/>
    <x v="0"/>
    <s v="CB 160F STD                                       ROJO SPOR"/>
    <e v="#N/A"/>
    <s v=""/>
  </r>
  <r>
    <x v="163"/>
    <d v="2017-08-03T00:00:00"/>
    <x v="0"/>
    <s v="CTR - ZONA CENTRO"/>
    <s v="DIST - DISTRIBUIDORES"/>
    <n v="2"/>
    <x v="78"/>
    <n v="2"/>
    <x v="148"/>
    <x v="8"/>
    <x v="8"/>
    <m/>
    <x v="104"/>
    <x v="78"/>
    <n v="5453782"/>
    <m/>
    <n v="22577282"/>
    <n v="0"/>
    <x v="0"/>
    <x v="32"/>
    <x v="0"/>
    <x v="0"/>
    <n v="0"/>
    <x v="0"/>
    <x v="0"/>
    <s v="CB 160F STD                                       NEGRO PER"/>
    <e v="#N/A"/>
    <s v=""/>
  </r>
  <r>
    <x v="164"/>
    <d v="2017-08-03T00:00:00"/>
    <x v="0"/>
    <s v="CTR - ZONA CENTRO"/>
    <s v="DIST - DISTRIBUIDORES"/>
    <n v="1"/>
    <x v="79"/>
    <n v="1"/>
    <x v="149"/>
    <x v="5"/>
    <x v="5"/>
    <m/>
    <x v="0"/>
    <x v="79"/>
    <n v="6133613"/>
    <m/>
    <n v="2155795"/>
    <n v="0"/>
    <x v="1"/>
    <x v="0"/>
    <x v="2"/>
    <x v="0"/>
    <n v="0"/>
    <x v="0"/>
    <x v="0"/>
    <s v="CB 160F DLX                                       NARANJA N"/>
    <e v="#N/A"/>
    <s v=""/>
  </r>
  <r>
    <x v="164"/>
    <d v="2017-08-03T00:00:00"/>
    <x v="0"/>
    <s v="CTR - ZONA CENTRO"/>
    <s v="DIST - DISTRIBUIDORES"/>
    <n v="1"/>
    <x v="79"/>
    <n v="1"/>
    <x v="149"/>
    <x v="5"/>
    <x v="8"/>
    <m/>
    <x v="0"/>
    <x v="79"/>
    <n v="6133613"/>
    <m/>
    <n v="2155795"/>
    <n v="0"/>
    <x v="1"/>
    <x v="0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2"/>
    <x v="15"/>
    <m/>
    <x v="110"/>
    <x v="80"/>
    <n v="5789916"/>
    <m/>
    <n v="45161471"/>
    <n v="0"/>
    <x v="0"/>
    <x v="1"/>
    <x v="11"/>
    <x v="0"/>
    <n v="0"/>
    <x v="0"/>
    <x v="0"/>
    <s v="*XR 150L                                          NEGRO ROJ"/>
    <e v="#N/A"/>
    <s v=""/>
  </r>
  <r>
    <x v="165"/>
    <d v="2017-08-03T00:00:00"/>
    <x v="0"/>
    <s v="CTR - ZONA CENTRO"/>
    <s v="DIST - DISTRIBUIDORES"/>
    <n v="1"/>
    <x v="80"/>
    <n v="1"/>
    <x v="150"/>
    <x v="2"/>
    <x v="13"/>
    <m/>
    <x v="110"/>
    <x v="80"/>
    <n v="5789916"/>
    <m/>
    <n v="45161471"/>
    <n v="0"/>
    <x v="0"/>
    <x v="1"/>
    <x v="8"/>
    <x v="0"/>
    <n v="0"/>
    <x v="0"/>
    <x v="0"/>
    <s v="*XR 150L                                          NEGRO BLA"/>
    <e v="#N/A"/>
    <s v=""/>
  </r>
  <r>
    <x v="165"/>
    <d v="2017-08-03T00:00:00"/>
    <x v="0"/>
    <s v="CTR - ZONA CENTRO"/>
    <s v="DIST - DISTRIBUIDORES"/>
    <n v="1"/>
    <x v="80"/>
    <n v="1"/>
    <x v="150"/>
    <x v="5"/>
    <x v="7"/>
    <m/>
    <x v="110"/>
    <x v="80"/>
    <n v="6133613"/>
    <m/>
    <n v="45161471"/>
    <n v="0"/>
    <x v="0"/>
    <x v="1"/>
    <x v="13"/>
    <x v="0"/>
    <n v="0"/>
    <x v="0"/>
    <x v="0"/>
    <s v="CB 160F DLX                                       ROJO SPOR"/>
    <e v="#N/A"/>
    <s v=""/>
  </r>
  <r>
    <x v="165"/>
    <d v="2017-08-03T00:00:00"/>
    <x v="0"/>
    <s v="CTR - ZONA CENTRO"/>
    <s v="DIST - DISTRIBUIDORES"/>
    <n v="1"/>
    <x v="80"/>
    <n v="1"/>
    <x v="150"/>
    <x v="5"/>
    <x v="8"/>
    <m/>
    <x v="110"/>
    <x v="80"/>
    <n v="6133613"/>
    <m/>
    <n v="45161471"/>
    <n v="0"/>
    <x v="0"/>
    <x v="1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6"/>
    <x v="6"/>
    <m/>
    <x v="110"/>
    <x v="80"/>
    <n v="3521008"/>
    <m/>
    <n v="45161471"/>
    <n v="0"/>
    <x v="0"/>
    <x v="1"/>
    <x v="0"/>
    <x v="0"/>
    <n v="0"/>
    <x v="0"/>
    <x v="0"/>
    <s v="DIO  110                                          ROJO     "/>
    <e v="#N/A"/>
    <s v=""/>
  </r>
  <r>
    <x v="165"/>
    <d v="2017-08-03T00:00:00"/>
    <x v="0"/>
    <s v="CTR - ZONA CENTRO"/>
    <s v="DIST - DISTRIBUIDORES"/>
    <n v="1"/>
    <x v="80"/>
    <n v="1"/>
    <x v="150"/>
    <x v="9"/>
    <x v="1"/>
    <m/>
    <x v="110"/>
    <x v="80"/>
    <n v="3696639"/>
    <m/>
    <n v="45161471"/>
    <n v="0"/>
    <x v="0"/>
    <x v="1"/>
    <x v="2"/>
    <x v="0"/>
    <n v="0"/>
    <x v="0"/>
    <x v="0"/>
    <s v="CB 110 DLX                                        NEGRO    "/>
    <e v="#N/A"/>
    <s v=""/>
  </r>
  <r>
    <x v="166"/>
    <d v="2017-08-03T00:00:00"/>
    <x v="0"/>
    <s v="NTE - ZONA NORTE"/>
    <s v="DIST - DISTRIBUIDORES"/>
    <n v="1"/>
    <x v="81"/>
    <n v="1"/>
    <x v="151"/>
    <x v="1"/>
    <x v="7"/>
    <m/>
    <x v="59"/>
    <x v="81"/>
    <n v="3360504"/>
    <m/>
    <n v="21260126"/>
    <n v="0"/>
    <x v="0"/>
    <x v="21"/>
    <x v="9"/>
    <x v="0"/>
    <n v="0"/>
    <x v="0"/>
    <x v="0"/>
    <s v="*CB-110                                           ROJO SPOR"/>
    <e v="#N/A"/>
    <s v=""/>
  </r>
  <r>
    <x v="166"/>
    <d v="2017-08-03T00:00:00"/>
    <x v="0"/>
    <s v="NTE - ZONA NORTE"/>
    <s v="DIST - DISTRIBUIDORES"/>
    <n v="1"/>
    <x v="81"/>
    <n v="1"/>
    <x v="151"/>
    <x v="1"/>
    <x v="1"/>
    <m/>
    <x v="59"/>
    <x v="81"/>
    <n v="3360504"/>
    <m/>
    <n v="21260126"/>
    <n v="0"/>
    <x v="0"/>
    <x v="21"/>
    <x v="1"/>
    <x v="0"/>
    <n v="0"/>
    <x v="0"/>
    <x v="0"/>
    <s v="*CB-110                                           NEGRO    "/>
    <e v="#N/A"/>
    <s v=""/>
  </r>
  <r>
    <x v="166"/>
    <d v="2017-08-03T00:00:00"/>
    <x v="0"/>
    <s v="NTE - ZONA NORTE"/>
    <s v="DIST - DISTRIBUIDORES"/>
    <n v="3"/>
    <x v="81"/>
    <n v="3"/>
    <x v="151"/>
    <x v="2"/>
    <x v="15"/>
    <m/>
    <x v="59"/>
    <x v="81"/>
    <n v="5789916"/>
    <m/>
    <n v="21260126"/>
    <n v="0"/>
    <x v="0"/>
    <x v="21"/>
    <x v="11"/>
    <x v="0"/>
    <n v="0"/>
    <x v="0"/>
    <x v="0"/>
    <s v="*XR 150L                                          NEGRO ROJ"/>
    <e v="#N/A"/>
    <s v=""/>
  </r>
  <r>
    <x v="166"/>
    <d v="2017-08-03T00:00:00"/>
    <x v="0"/>
    <s v="NTE - ZONA NORTE"/>
    <s v="DIST - DISTRIBUIDORES"/>
    <n v="2"/>
    <x v="81"/>
    <n v="2"/>
    <x v="151"/>
    <x v="2"/>
    <x v="13"/>
    <m/>
    <x v="59"/>
    <x v="81"/>
    <n v="5789916"/>
    <m/>
    <n v="21260126"/>
    <n v="0"/>
    <x v="0"/>
    <x v="21"/>
    <x v="8"/>
    <x v="0"/>
    <n v="0"/>
    <x v="0"/>
    <x v="0"/>
    <s v="*XR 150L                                          NEGRO BLA"/>
    <e v="#N/A"/>
    <s v=""/>
  </r>
  <r>
    <x v="166"/>
    <d v="2017-08-03T00:00:00"/>
    <x v="0"/>
    <s v="NTE - ZONA NORTE"/>
    <s v="DIST - DISTRIBUIDORES"/>
    <n v="1"/>
    <x v="81"/>
    <n v="1"/>
    <x v="151"/>
    <x v="2"/>
    <x v="1"/>
    <m/>
    <x v="59"/>
    <x v="81"/>
    <n v="5789916"/>
    <m/>
    <n v="21260126"/>
    <n v="0"/>
    <x v="0"/>
    <x v="21"/>
    <x v="2"/>
    <x v="0"/>
    <n v="0"/>
    <x v="0"/>
    <x v="0"/>
    <s v="*XR 150L 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12"/>
    <x v="19"/>
    <m/>
    <x v="111"/>
    <x v="82"/>
    <n v="3588235"/>
    <m/>
    <n v="27045038"/>
    <n v="0"/>
    <x v="0"/>
    <x v="33"/>
    <x v="16"/>
    <x v="0"/>
    <n v="0"/>
    <x v="0"/>
    <x v="0"/>
    <s v="*CB1 PRO                                          PEARL PRO"/>
    <e v="#N/A"/>
    <s v=""/>
  </r>
  <r>
    <x v="167"/>
    <d v="2017-08-03T00:00:00"/>
    <x v="0"/>
    <s v="NTE - ZONA NORTE"/>
    <s v="DIST - DISTRIBUIDORES"/>
    <n v="1"/>
    <x v="82"/>
    <n v="1"/>
    <x v="152"/>
    <x v="3"/>
    <x v="3"/>
    <m/>
    <x v="111"/>
    <x v="82"/>
    <n v="7554622"/>
    <m/>
    <n v="27045038"/>
    <n v="0"/>
    <x v="0"/>
    <x v="33"/>
    <x v="0"/>
    <x v="0"/>
    <n v="0"/>
    <x v="0"/>
    <x v="0"/>
    <s v="CB 190R                                           NEGRO ONI"/>
    <e v="#N/A"/>
    <s v=""/>
  </r>
  <r>
    <x v="167"/>
    <d v="2017-08-03T00:00:00"/>
    <x v="0"/>
    <s v="NTE - ZONA NORTE"/>
    <s v="DIST - DISTRIBUIDORES"/>
    <n v="1"/>
    <x v="82"/>
    <n v="1"/>
    <x v="152"/>
    <x v="5"/>
    <x v="5"/>
    <m/>
    <x v="111"/>
    <x v="82"/>
    <n v="6133613"/>
    <m/>
    <n v="27045038"/>
    <n v="0"/>
    <x v="0"/>
    <x v="33"/>
    <x v="2"/>
    <x v="0"/>
    <n v="0"/>
    <x v="0"/>
    <x v="0"/>
    <s v="CB 160F DLX                                       NARANJA N"/>
    <e v="#N/A"/>
    <s v=""/>
  </r>
  <r>
    <x v="167"/>
    <d v="2017-08-03T00:00:00"/>
    <x v="0"/>
    <s v="NTE - ZONA NORTE"/>
    <s v="DIST - DISTRIBUIDORES"/>
    <n v="1"/>
    <x v="82"/>
    <n v="1"/>
    <x v="152"/>
    <x v="5"/>
    <x v="9"/>
    <m/>
    <x v="111"/>
    <x v="82"/>
    <n v="6133613"/>
    <m/>
    <n v="27045038"/>
    <n v="0"/>
    <x v="0"/>
    <x v="33"/>
    <x v="18"/>
    <x v="0"/>
    <n v="0"/>
    <x v="0"/>
    <x v="0"/>
    <s v="CB 160F DLX                                       BLANCO PE"/>
    <e v="#N/A"/>
    <s v=""/>
  </r>
  <r>
    <x v="167"/>
    <d v="2017-08-03T00:00:00"/>
    <x v="0"/>
    <s v="NTE - ZONA NORTE"/>
    <s v="DIST - DISTRIBUIDORES"/>
    <n v="1"/>
    <x v="82"/>
    <n v="1"/>
    <x v="152"/>
    <x v="7"/>
    <x v="1"/>
    <m/>
    <x v="111"/>
    <x v="82"/>
    <n v="3941176"/>
    <m/>
    <n v="27045038"/>
    <n v="0"/>
    <x v="0"/>
    <x v="33"/>
    <x v="0"/>
    <x v="0"/>
    <n v="0"/>
    <x v="0"/>
    <x v="0"/>
    <s v="WAVE 110S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9"/>
    <x v="6"/>
    <m/>
    <x v="111"/>
    <x v="82"/>
    <n v="3696639"/>
    <m/>
    <n v="27045038"/>
    <n v="0"/>
    <x v="0"/>
    <x v="33"/>
    <x v="14"/>
    <x v="0"/>
    <n v="0"/>
    <x v="0"/>
    <x v="0"/>
    <s v="CB 110 DLX                                        ROJO     "/>
    <e v="#N/A"/>
    <s v=""/>
  </r>
  <r>
    <x v="167"/>
    <d v="2017-08-03T00:00:00"/>
    <x v="0"/>
    <s v="NTE - ZONA NORTE"/>
    <s v="DIST - DISTRIBUIDORES"/>
    <n v="1"/>
    <x v="82"/>
    <n v="1"/>
    <x v="152"/>
    <x v="9"/>
    <x v="1"/>
    <m/>
    <x v="111"/>
    <x v="82"/>
    <n v="3696639"/>
    <m/>
    <n v="27045038"/>
    <n v="0"/>
    <x v="0"/>
    <x v="33"/>
    <x v="2"/>
    <x v="0"/>
    <n v="0"/>
    <x v="0"/>
    <x v="0"/>
    <s v="CB 110 DLX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2"/>
    <x v="15"/>
    <m/>
    <x v="112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8"/>
    <d v="2017-08-03T00:00:00"/>
    <x v="1"/>
    <s v="CTR - ZONA CENTRO"/>
    <s v="DIST - DISTRIBUIDORES"/>
    <n v="2"/>
    <x v="83"/>
    <n v="2"/>
    <x v="153"/>
    <x v="2"/>
    <x v="13"/>
    <m/>
    <x v="112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8"/>
    <d v="2017-08-03T00:00:00"/>
    <x v="1"/>
    <s v="CTR - ZONA CENTRO"/>
    <s v="DIST - DISTRIBUIDORES"/>
    <n v="2"/>
    <x v="83"/>
    <n v="2"/>
    <x v="153"/>
    <x v="2"/>
    <x v="1"/>
    <m/>
    <x v="112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8"/>
    <d v="2017-08-03T00:00:00"/>
    <x v="1"/>
    <s v="CTR - ZONA CENTRO"/>
    <s v="DIST - DISTRIBUIDORES"/>
    <n v="1"/>
    <x v="83"/>
    <n v="1"/>
    <x v="153"/>
    <x v="3"/>
    <x v="3"/>
    <m/>
    <x v="112"/>
    <x v="83"/>
    <n v="7554622"/>
    <m/>
    <s v="FACTURAS VENCIDAS"/>
    <n v="0"/>
    <x v="1"/>
    <x v="45"/>
    <x v="0"/>
    <x v="0"/>
    <n v="0"/>
    <x v="0"/>
    <x v="0"/>
    <s v="CB 190R                                           NEGRO ONI"/>
    <e v="#N/A"/>
    <s v=""/>
  </r>
  <r>
    <x v="168"/>
    <d v="2017-08-03T00:00:00"/>
    <x v="1"/>
    <s v="CTR - ZONA CENTRO"/>
    <s v="DIST - DISTRIBUIDORES"/>
    <n v="1"/>
    <x v="83"/>
    <n v="1"/>
    <x v="153"/>
    <x v="7"/>
    <x v="6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8"/>
    <d v="2017-08-03T00:00:00"/>
    <x v="1"/>
    <s v="CTR - ZONA CENTRO"/>
    <s v="DIST - DISTRIBUIDORES"/>
    <n v="1"/>
    <x v="83"/>
    <n v="1"/>
    <x v="153"/>
    <x v="7"/>
    <x v="1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9"/>
    <x v="1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8"/>
    <d v="2017-08-03T00:00:00"/>
    <x v="1"/>
    <s v="CTR - ZONA CENTRO"/>
    <s v="DIST - DISTRIBUIDORES"/>
    <n v="1"/>
    <x v="83"/>
    <n v="1"/>
    <x v="153"/>
    <x v="9"/>
    <x v="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0"/>
    <x v="1"/>
    <m/>
    <x v="113"/>
    <x v="83"/>
    <n v="11496063"/>
    <m/>
    <s v="FACTURAS VENCIDAS"/>
    <n v="0"/>
    <x v="1"/>
    <x v="45"/>
    <x v="0"/>
    <x v="0"/>
    <n v="0"/>
    <x v="0"/>
    <x v="0"/>
    <s v="*XR-250 TORNADO pt MD34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2"/>
    <x v="15"/>
    <m/>
    <x v="113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9"/>
    <d v="2017-08-03T00:00:00"/>
    <x v="1"/>
    <s v="CTR - ZONA CENTRO"/>
    <s v="DIST - DISTRIBUIDORES"/>
    <n v="2"/>
    <x v="83"/>
    <n v="2"/>
    <x v="154"/>
    <x v="2"/>
    <x v="13"/>
    <m/>
    <x v="113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9"/>
    <d v="2017-08-03T00:00:00"/>
    <x v="1"/>
    <s v="CTR - ZONA CENTRO"/>
    <s v="DIST - DISTRIBUIDORES"/>
    <n v="2"/>
    <x v="83"/>
    <n v="2"/>
    <x v="154"/>
    <x v="2"/>
    <x v="1"/>
    <m/>
    <x v="113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9"/>
    <d v="2017-08-03T00:00:00"/>
    <x v="1"/>
    <s v="CTR - ZONA CENTRO"/>
    <s v="DIST - DISTRIBUIDORES"/>
    <n v="1"/>
    <x v="83"/>
    <n v="1"/>
    <x v="154"/>
    <x v="7"/>
    <x v="6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7"/>
    <x v="1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9"/>
    <x v="1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9"/>
    <d v="2017-08-03T00:00:00"/>
    <x v="1"/>
    <s v="CTR - ZONA CENTRO"/>
    <s v="DIST - DISTRIBUIDORES"/>
    <n v="1"/>
    <x v="83"/>
    <n v="1"/>
    <x v="154"/>
    <x v="9"/>
    <x v="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9"/>
    <x v="1"/>
    <m/>
    <x v="113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1"/>
    <x v="23"/>
    <m/>
    <x v="114"/>
    <x v="83"/>
    <n v="3360504"/>
    <m/>
    <s v="FACTURAS VENCIDAS"/>
    <n v="0"/>
    <x v="1"/>
    <x v="45"/>
    <x v="0"/>
    <x v="0"/>
    <n v="0"/>
    <x v="0"/>
    <x v="0"/>
    <s v="*CB-110                                           VERDE CAN"/>
    <e v="#N/A"/>
    <s v=""/>
  </r>
  <r>
    <x v="170"/>
    <d v="2017-08-03T00:00:00"/>
    <x v="1"/>
    <s v="CTR - ZONA CENTRO"/>
    <s v="DIST - DISTRIBUIDORES"/>
    <n v="2"/>
    <x v="83"/>
    <n v="2"/>
    <x v="155"/>
    <x v="2"/>
    <x v="15"/>
    <m/>
    <x v="114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0"/>
    <d v="2017-08-03T00:00:00"/>
    <x v="1"/>
    <s v="CTR - ZONA CENTRO"/>
    <s v="DIST - DISTRIBUIDORES"/>
    <n v="2"/>
    <x v="83"/>
    <n v="2"/>
    <x v="155"/>
    <x v="2"/>
    <x v="13"/>
    <m/>
    <x v="114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0"/>
    <d v="2017-08-03T00:00:00"/>
    <x v="1"/>
    <s v="CTR - ZONA CENTRO"/>
    <s v="DIST - DISTRIBUIDORES"/>
    <n v="2"/>
    <x v="83"/>
    <n v="2"/>
    <x v="155"/>
    <x v="2"/>
    <x v="1"/>
    <m/>
    <x v="114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7"/>
    <x v="6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7"/>
    <x v="1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9"/>
    <x v="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9"/>
    <x v="1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3"/>
    <x v="83"/>
    <n v="3"/>
    <x v="156"/>
    <x v="2"/>
    <x v="15"/>
    <m/>
    <x v="115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1"/>
    <d v="2017-08-03T00:00:00"/>
    <x v="1"/>
    <s v="CTR - ZONA CENTRO"/>
    <s v="DIST - DISTRIBUIDORES"/>
    <n v="2"/>
    <x v="83"/>
    <n v="2"/>
    <x v="156"/>
    <x v="2"/>
    <x v="13"/>
    <m/>
    <x v="115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1"/>
    <d v="2017-08-03T00:00:00"/>
    <x v="1"/>
    <s v="CTR - ZONA CENTRO"/>
    <s v="DIST - DISTRIBUIDORES"/>
    <n v="3"/>
    <x v="83"/>
    <n v="3"/>
    <x v="156"/>
    <x v="2"/>
    <x v="1"/>
    <m/>
    <x v="115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7"/>
    <x v="6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7"/>
    <x v="1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9"/>
    <x v="1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2"/>
    <x v="83"/>
    <n v="2"/>
    <x v="156"/>
    <x v="9"/>
    <x v="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9"/>
    <x v="1"/>
    <m/>
    <x v="115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2"/>
    <d v="2017-08-03T00:00:00"/>
    <x v="0"/>
    <s v="NTE - ZONA NORTE"/>
    <s v="DIST - DISTRIBUIDORES"/>
    <n v="3"/>
    <x v="84"/>
    <n v="3"/>
    <x v="157"/>
    <x v="2"/>
    <x v="1"/>
    <m/>
    <x v="116"/>
    <x v="84"/>
    <n v="5789916"/>
    <m/>
    <n v="38000000"/>
    <n v="107000000"/>
    <x v="0"/>
    <x v="22"/>
    <x v="2"/>
    <x v="0"/>
    <n v="0"/>
    <x v="0"/>
    <x v="0"/>
    <s v="*XR 150L                                          NEGRO    "/>
    <e v="#N/A"/>
    <s v=""/>
  </r>
  <r>
    <x v="172"/>
    <d v="2017-08-03T00:00:00"/>
    <x v="0"/>
    <s v="NTE - ZONA NORTE"/>
    <s v="DIST - DISTRIBUIDORES"/>
    <n v="1"/>
    <x v="84"/>
    <n v="1"/>
    <x v="157"/>
    <x v="10"/>
    <x v="20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2"/>
    <d v="2017-08-03T00:00:00"/>
    <x v="0"/>
    <s v="NTE - ZONA NORTE"/>
    <s v="DIST - DISTRIBUIDORES"/>
    <n v="1"/>
    <x v="84"/>
    <n v="1"/>
    <x v="157"/>
    <x v="10"/>
    <x v="12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ROJO ALFA"/>
    <e v="#N/A"/>
    <s v=""/>
  </r>
  <r>
    <x v="173"/>
    <d v="2017-08-03T00:00:00"/>
    <x v="0"/>
    <s v="NTE - ZONA NORTE"/>
    <s v="DIST - DISTRIBUIDORES"/>
    <n v="2"/>
    <x v="84"/>
    <n v="2"/>
    <x v="157"/>
    <x v="2"/>
    <x v="15"/>
    <m/>
    <x v="117"/>
    <x v="84"/>
    <n v="5789916"/>
    <m/>
    <n v="38000000"/>
    <n v="107000000"/>
    <x v="0"/>
    <x v="22"/>
    <x v="11"/>
    <x v="0"/>
    <n v="0"/>
    <x v="0"/>
    <x v="0"/>
    <s v="*XR 150L                                          NEGRO ROJ"/>
    <e v="#N/A"/>
    <s v=""/>
  </r>
  <r>
    <x v="173"/>
    <d v="2017-08-03T00:00:00"/>
    <x v="0"/>
    <s v="NTE - ZONA NORTE"/>
    <s v="DIST - DISTRIBUIDORES"/>
    <n v="2"/>
    <x v="84"/>
    <n v="2"/>
    <x v="157"/>
    <x v="10"/>
    <x v="20"/>
    <m/>
    <x v="117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1"/>
    <x v="85"/>
    <n v="1"/>
    <x v="158"/>
    <x v="0"/>
    <x v="1"/>
    <m/>
    <x v="118"/>
    <x v="85"/>
    <n v="11496063"/>
    <m/>
    <s v="NO TIENE CUPO"/>
    <n v="0"/>
    <x v="0"/>
    <x v="14"/>
    <x v="0"/>
    <x v="0"/>
    <n v="0"/>
    <x v="0"/>
    <x v="0"/>
    <s v="*XR-250 TORNADO pt MD34                           NEGRO    "/>
    <e v="#N/A"/>
    <s v=""/>
  </r>
  <r>
    <x v="174"/>
    <d v="2017-08-03T00:00:00"/>
    <x v="0"/>
    <s v="NTE - ZONA NORTE"/>
    <s v="CONC - CONCESIONARIOS"/>
    <n v="7"/>
    <x v="85"/>
    <n v="7"/>
    <x v="158"/>
    <x v="1"/>
    <x v="1"/>
    <m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74"/>
    <d v="2017-08-03T00:00:00"/>
    <x v="0"/>
    <s v="NTE - ZONA NORTE"/>
    <s v="CONC - CONCESIONARIOS"/>
    <n v="5"/>
    <x v="85"/>
    <n v="5"/>
    <x v="158"/>
    <x v="2"/>
    <x v="15"/>
    <m/>
    <x v="118"/>
    <x v="85"/>
    <n v="5789916"/>
    <m/>
    <s v="NO TIENE CUPO"/>
    <n v="0"/>
    <x v="0"/>
    <x v="14"/>
    <x v="11"/>
    <x v="0"/>
    <n v="0"/>
    <x v="0"/>
    <x v="0"/>
    <s v="*XR 150L                                          NEGRO ROJ"/>
    <e v="#N/A"/>
    <s v=""/>
  </r>
  <r>
    <x v="174"/>
    <d v="2017-08-03T00:00:00"/>
    <x v="0"/>
    <s v="NTE - ZONA NORTE"/>
    <s v="CONC - CONCESIONARIOS"/>
    <n v="15"/>
    <x v="85"/>
    <n v="15"/>
    <x v="158"/>
    <x v="2"/>
    <x v="13"/>
    <m/>
    <x v="118"/>
    <x v="85"/>
    <n v="5789916"/>
    <m/>
    <s v="NO TIENE CUPO"/>
    <n v="0"/>
    <x v="0"/>
    <x v="14"/>
    <x v="8"/>
    <x v="0"/>
    <n v="0"/>
    <x v="0"/>
    <x v="0"/>
    <s v="*XR 150L                                          NEGRO BLA"/>
    <e v="#N/A"/>
    <s v=""/>
  </r>
  <r>
    <x v="174"/>
    <d v="2017-08-03T00:00:00"/>
    <x v="0"/>
    <s v="NTE - ZONA NORTE"/>
    <s v="CONC - CONCESIONARIOS"/>
    <n v="10"/>
    <x v="85"/>
    <n v="10"/>
    <x v="158"/>
    <x v="2"/>
    <x v="1"/>
    <m/>
    <x v="118"/>
    <x v="85"/>
    <n v="5789916"/>
    <m/>
    <s v="NO TIENE CUPO"/>
    <n v="0"/>
    <x v="0"/>
    <x v="14"/>
    <x v="2"/>
    <x v="0"/>
    <n v="0"/>
    <x v="0"/>
    <x v="0"/>
    <s v="*XR 150L  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3"/>
    <x v="2"/>
    <m/>
    <x v="118"/>
    <x v="85"/>
    <n v="7554622"/>
    <m/>
    <s v="NO TIENE CUPO"/>
    <n v="0"/>
    <x v="0"/>
    <x v="14"/>
    <x v="3"/>
    <x v="0"/>
    <n v="0"/>
    <x v="0"/>
    <x v="0"/>
    <s v="CB 190R                                           ROJO NEGR"/>
    <e v="#N/A"/>
    <s v=""/>
  </r>
  <r>
    <x v="174"/>
    <d v="2017-08-03T00:00:00"/>
    <x v="0"/>
    <s v="NTE - ZONA NORTE"/>
    <s v="CONC - CONCESIONARIOS"/>
    <n v="2"/>
    <x v="85"/>
    <n v="2"/>
    <x v="158"/>
    <x v="3"/>
    <x v="3"/>
    <m/>
    <x v="118"/>
    <x v="85"/>
    <n v="7554622"/>
    <m/>
    <s v="NO TIENE CUPO"/>
    <n v="0"/>
    <x v="0"/>
    <x v="14"/>
    <x v="0"/>
    <x v="0"/>
    <n v="0"/>
    <x v="0"/>
    <x v="0"/>
    <s v="CB 190R                                           NEGRO ONI"/>
    <e v="#N/A"/>
    <s v=""/>
  </r>
  <r>
    <x v="174"/>
    <d v="2017-08-03T00:00:00"/>
    <x v="0"/>
    <s v="NTE - ZONA NORTE"/>
    <s v="CONC - CONCESIONARIOS"/>
    <n v="2"/>
    <x v="85"/>
    <n v="2"/>
    <x v="158"/>
    <x v="11"/>
    <x v="22"/>
    <m/>
    <x v="118"/>
    <x v="85"/>
    <n v="3521008"/>
    <m/>
    <s v="NO TIENE CUPO"/>
    <n v="0"/>
    <x v="0"/>
    <x v="14"/>
    <x v="19"/>
    <x v="0"/>
    <n v="0"/>
    <x v="0"/>
    <x v="0"/>
    <s v="DIO 110                                           AZUL BLAN"/>
    <e v="#N/A"/>
    <s v=""/>
  </r>
  <r>
    <x v="174"/>
    <d v="2017-08-03T00:00:00"/>
    <x v="0"/>
    <s v="NTE - ZONA NORTE"/>
    <s v="CONC - CONCESIONARIOS"/>
    <n v="1"/>
    <x v="85"/>
    <n v="1"/>
    <x v="158"/>
    <x v="11"/>
    <x v="10"/>
    <m/>
    <x v="118"/>
    <x v="85"/>
    <n v="3521008"/>
    <m/>
    <s v="NO TIENE CUPO"/>
    <n v="0"/>
    <x v="0"/>
    <x v="14"/>
    <x v="2"/>
    <x v="0"/>
    <n v="0"/>
    <x v="0"/>
    <x v="0"/>
    <s v="DIO 110                                           ROJO BLAN"/>
    <e v="#N/A"/>
    <s v=""/>
  </r>
  <r>
    <x v="174"/>
    <d v="2017-08-03T00:00:00"/>
    <x v="0"/>
    <s v="NTE - ZONA NORTE"/>
    <s v="CONC - CONCESIONARIOS"/>
    <n v="1"/>
    <x v="85"/>
    <n v="1"/>
    <x v="158"/>
    <x v="4"/>
    <x v="4"/>
    <m/>
    <x v="118"/>
    <x v="85"/>
    <n v="7730252"/>
    <m/>
    <s v="NO TIENE CUPO"/>
    <n v="0"/>
    <x v="0"/>
    <x v="14"/>
    <x v="4"/>
    <x v="0"/>
    <n v="0"/>
    <x v="0"/>
    <x v="0"/>
    <s v="CB 190 REPSOL                                     NARANJA B"/>
    <e v="#N/A"/>
    <s v=""/>
  </r>
  <r>
    <x v="174"/>
    <d v="2017-08-03T00:00:00"/>
    <x v="0"/>
    <s v="NTE - ZONA NORTE"/>
    <s v="CONC - CONCESIONARIOS"/>
    <n v="1"/>
    <x v="85"/>
    <n v="1"/>
    <x v="158"/>
    <x v="5"/>
    <x v="5"/>
    <m/>
    <x v="118"/>
    <x v="85"/>
    <n v="6133613"/>
    <m/>
    <s v="NO TIENE CUPO"/>
    <n v="0"/>
    <x v="0"/>
    <x v="14"/>
    <x v="2"/>
    <x v="0"/>
    <n v="0"/>
    <x v="0"/>
    <x v="0"/>
    <s v="CB 160F DLX                                       NARANJA N"/>
    <e v="#N/A"/>
    <s v=""/>
  </r>
  <r>
    <x v="174"/>
    <d v="2017-08-03T00:00:00"/>
    <x v="0"/>
    <s v="NTE - ZONA NORTE"/>
    <s v="CONC - CONCESIONARIOS"/>
    <n v="2"/>
    <x v="85"/>
    <n v="2"/>
    <x v="158"/>
    <x v="5"/>
    <x v="8"/>
    <m/>
    <x v="118"/>
    <x v="85"/>
    <n v="6133613"/>
    <m/>
    <s v="NO TIENE CUPO"/>
    <n v="0"/>
    <x v="0"/>
    <x v="14"/>
    <x v="0"/>
    <x v="0"/>
    <n v="0"/>
    <x v="0"/>
    <x v="0"/>
    <s v="CB 160F DLX                                       NEGRO PER"/>
    <e v="#N/A"/>
    <s v=""/>
  </r>
  <r>
    <x v="174"/>
    <d v="2017-08-03T00:00:00"/>
    <x v="0"/>
    <s v="NTE - ZONA NORTE"/>
    <s v="CONC - CONCESIONARIOS"/>
    <n v="3"/>
    <x v="85"/>
    <n v="3"/>
    <x v="158"/>
    <x v="5"/>
    <x v="7"/>
    <m/>
    <x v="118"/>
    <x v="85"/>
    <n v="6133613"/>
    <m/>
    <s v="NO TIENE CUPO"/>
    <n v="0"/>
    <x v="0"/>
    <x v="14"/>
    <x v="13"/>
    <x v="0"/>
    <n v="0"/>
    <x v="0"/>
    <x v="0"/>
    <s v="CB 160F DLX                                       ROJO SPOR"/>
    <e v="#N/A"/>
    <s v=""/>
  </r>
  <r>
    <x v="174"/>
    <d v="2017-08-03T00:00:00"/>
    <x v="0"/>
    <s v="NTE - ZONA NORTE"/>
    <s v="CONC - CONCESIONARIOS"/>
    <n v="2"/>
    <x v="85"/>
    <n v="2"/>
    <x v="158"/>
    <x v="10"/>
    <x v="12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174"/>
    <d v="2017-08-03T00:00:00"/>
    <x v="0"/>
    <s v="NTE - ZONA NORTE"/>
    <s v="CONC - CONCESIONARIOS"/>
    <n v="8"/>
    <x v="85"/>
    <n v="8"/>
    <x v="158"/>
    <x v="10"/>
    <x v="20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2"/>
    <x v="85"/>
    <n v="2"/>
    <x v="158"/>
    <x v="7"/>
    <x v="6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ROJO     "/>
    <e v="#N/A"/>
    <s v=""/>
  </r>
  <r>
    <x v="174"/>
    <d v="2017-08-03T00:00:00"/>
    <x v="0"/>
    <s v="NTE - ZONA NORTE"/>
    <s v="CONC - CONCESIONARIOS"/>
    <n v="1"/>
    <x v="85"/>
    <n v="1"/>
    <x v="158"/>
    <x v="7"/>
    <x v="1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NEGRO    "/>
    <e v="#N/A"/>
    <s v=""/>
  </r>
  <r>
    <x v="174"/>
    <d v="2017-08-03T00:00:00"/>
    <x v="0"/>
    <s v="NTE - ZONA NORTE"/>
    <s v="CONC - CONCESIONARIOS"/>
    <n v="6"/>
    <x v="85"/>
    <n v="6"/>
    <x v="158"/>
    <x v="9"/>
    <x v="1"/>
    <m/>
    <x v="118"/>
    <x v="85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9"/>
    <x v="16"/>
    <m/>
    <x v="118"/>
    <x v="85"/>
    <n v="3696639"/>
    <m/>
    <s v="NO TIENE CUPO"/>
    <n v="0"/>
    <x v="0"/>
    <x v="14"/>
    <x v="14"/>
    <x v="0"/>
    <n v="0"/>
    <x v="0"/>
    <x v="0"/>
    <s v="CB 110 DLX                                        AZUL     "/>
    <e v="#N/A"/>
    <s v=""/>
  </r>
  <r>
    <x v="174"/>
    <d v="2017-08-03T00:00:00"/>
    <x v="0"/>
    <s v="NTE - ZONA NORTE"/>
    <s v="CONC - CONCESIONARIOS"/>
    <n v="1"/>
    <x v="85"/>
    <n v="1"/>
    <x v="158"/>
    <x v="9"/>
    <x v="17"/>
    <m/>
    <x v="118"/>
    <x v="85"/>
    <n v="3696639"/>
    <m/>
    <s v="NO TIENE CUPO"/>
    <n v="0"/>
    <x v="0"/>
    <x v="14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1"/>
    <x v="86"/>
    <n v="1"/>
    <x v="159"/>
    <x v="1"/>
    <x v="7"/>
    <m/>
    <x v="119"/>
    <x v="86"/>
    <n v="3360504"/>
    <m/>
    <s v="NO TIENE CUPO"/>
    <n v="0"/>
    <x v="0"/>
    <x v="18"/>
    <x v="9"/>
    <x v="0"/>
    <n v="0"/>
    <x v="0"/>
    <x v="0"/>
    <s v="*CB-110                                           ROJO SPOR"/>
    <e v="#N/A"/>
    <s v=""/>
  </r>
  <r>
    <x v="175"/>
    <d v="2017-08-03T00:00:00"/>
    <x v="0"/>
    <s v="SURO - SUR OCCIDENTE"/>
    <s v="CONC - CONCESIONARIOS"/>
    <n v="6"/>
    <x v="86"/>
    <n v="6"/>
    <x v="159"/>
    <x v="1"/>
    <x v="1"/>
    <m/>
    <x v="119"/>
    <x v="86"/>
    <n v="3360504"/>
    <m/>
    <s v="NO TIENE CUPO"/>
    <n v="0"/>
    <x v="0"/>
    <x v="18"/>
    <x v="1"/>
    <x v="0"/>
    <n v="0"/>
    <x v="0"/>
    <x v="0"/>
    <s v="*CB-110  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1"/>
    <x v="14"/>
    <m/>
    <x v="119"/>
    <x v="86"/>
    <n v="3360504"/>
    <m/>
    <s v="NO TIENE CUPO"/>
    <n v="0"/>
    <x v="0"/>
    <x v="18"/>
    <x v="10"/>
    <x v="0"/>
    <n v="0"/>
    <x v="0"/>
    <x v="0"/>
    <s v="*CB-110                                           AZUL FIJI"/>
    <e v="#N/A"/>
    <s v=""/>
  </r>
  <r>
    <x v="175"/>
    <d v="2017-08-03T00:00:00"/>
    <x v="0"/>
    <s v="SURO - SUR OCCIDENTE"/>
    <s v="CONC - CONCESIONARIOS"/>
    <n v="4"/>
    <x v="86"/>
    <n v="4"/>
    <x v="159"/>
    <x v="15"/>
    <x v="1"/>
    <m/>
    <x v="119"/>
    <x v="86"/>
    <n v="4109244"/>
    <m/>
    <s v="NO TIENE CUPO"/>
    <n v="0"/>
    <x v="0"/>
    <x v="18"/>
    <x v="18"/>
    <x v="0"/>
    <n v="0"/>
    <x v="0"/>
    <x v="0"/>
    <s v="*WAVE 110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2"/>
    <x v="15"/>
    <m/>
    <x v="119"/>
    <x v="86"/>
    <n v="5789916"/>
    <m/>
    <s v="NO TIENE CUPO"/>
    <n v="0"/>
    <x v="0"/>
    <x v="18"/>
    <x v="11"/>
    <x v="0"/>
    <n v="0"/>
    <x v="0"/>
    <x v="0"/>
    <s v="*XR 150L                                          NEGRO ROJ"/>
    <e v="#N/A"/>
    <s v=""/>
  </r>
  <r>
    <x v="175"/>
    <d v="2017-08-03T00:00:00"/>
    <x v="0"/>
    <s v="SURO - SUR OCCIDENTE"/>
    <s v="CONC - CONCESIONARIOS"/>
    <n v="3"/>
    <x v="86"/>
    <n v="3"/>
    <x v="159"/>
    <x v="2"/>
    <x v="13"/>
    <m/>
    <x v="119"/>
    <x v="86"/>
    <n v="5789916"/>
    <m/>
    <s v="NO TIENE CUPO"/>
    <n v="0"/>
    <x v="0"/>
    <x v="18"/>
    <x v="8"/>
    <x v="0"/>
    <n v="0"/>
    <x v="0"/>
    <x v="0"/>
    <s v="*XR 150L                                          NEGRO BLA"/>
    <e v="#N/A"/>
    <s v=""/>
  </r>
  <r>
    <x v="175"/>
    <d v="2017-08-03T00:00:00"/>
    <x v="0"/>
    <s v="SURO - SUR OCCIDENTE"/>
    <s v="CONC - CONCESIONARIOS"/>
    <n v="6"/>
    <x v="86"/>
    <n v="6"/>
    <x v="159"/>
    <x v="2"/>
    <x v="1"/>
    <m/>
    <x v="119"/>
    <x v="86"/>
    <n v="5789916"/>
    <m/>
    <s v="NO TIENE CUPO"/>
    <n v="0"/>
    <x v="0"/>
    <x v="18"/>
    <x v="2"/>
    <x v="0"/>
    <n v="0"/>
    <x v="0"/>
    <x v="0"/>
    <s v="*XR 150L                                          NEGRO    "/>
    <e v="#N/A"/>
    <s v=""/>
  </r>
  <r>
    <x v="175"/>
    <d v="2017-08-03T00:00:00"/>
    <x v="0"/>
    <s v="SURO - SUR OCCIDENTE"/>
    <s v="CONC - CONCESIONARIOS"/>
    <n v="1"/>
    <x v="86"/>
    <n v="1"/>
    <x v="159"/>
    <x v="3"/>
    <x v="3"/>
    <m/>
    <x v="119"/>
    <x v="86"/>
    <n v="7554622"/>
    <m/>
    <s v="NO TIENE CUPO"/>
    <n v="0"/>
    <x v="0"/>
    <x v="18"/>
    <x v="0"/>
    <x v="0"/>
    <n v="0"/>
    <x v="0"/>
    <x v="0"/>
    <s v="CB 190R                                           NEGRO ONI"/>
    <e v="#N/A"/>
    <s v=""/>
  </r>
  <r>
    <x v="175"/>
    <d v="2017-08-03T00:00:00"/>
    <x v="0"/>
    <s v="SURO - SUR OCCIDENTE"/>
    <s v="CONC - CONCESIONARIOS"/>
    <n v="2"/>
    <x v="86"/>
    <n v="2"/>
    <x v="159"/>
    <x v="4"/>
    <x v="4"/>
    <m/>
    <x v="119"/>
    <x v="86"/>
    <n v="7730252"/>
    <m/>
    <s v="NO TIENE CUPO"/>
    <n v="0"/>
    <x v="0"/>
    <x v="18"/>
    <x v="4"/>
    <x v="0"/>
    <n v="0"/>
    <x v="0"/>
    <x v="0"/>
    <s v="CB 190 REPSOL                                     NARANJA B"/>
    <e v="#N/A"/>
    <s v=""/>
  </r>
  <r>
    <x v="175"/>
    <d v="2017-08-03T00:00:00"/>
    <x v="0"/>
    <s v="SURO - SUR OCCIDENTE"/>
    <s v="CONC - CONCESIONARIOS"/>
    <n v="10"/>
    <x v="86"/>
    <n v="10"/>
    <x v="159"/>
    <x v="5"/>
    <x v="8"/>
    <m/>
    <x v="119"/>
    <x v="86"/>
    <n v="6133613"/>
    <m/>
    <s v="NO TIENE CUPO"/>
    <n v="0"/>
    <x v="0"/>
    <x v="18"/>
    <x v="0"/>
    <x v="0"/>
    <n v="0"/>
    <x v="0"/>
    <x v="0"/>
    <s v="CB 160F DLX                                       NEGRO PER"/>
    <e v="#N/A"/>
    <s v=""/>
  </r>
  <r>
    <x v="175"/>
    <d v="2017-08-03T00:00:00"/>
    <x v="0"/>
    <s v="SURO - SUR OCCIDENTE"/>
    <s v="CONC - CONCESIONARIOS"/>
    <n v="1"/>
    <x v="86"/>
    <n v="1"/>
    <x v="159"/>
    <x v="5"/>
    <x v="7"/>
    <m/>
    <x v="119"/>
    <x v="86"/>
    <n v="6133613"/>
    <m/>
    <s v="NO TIENE CUPO"/>
    <n v="0"/>
    <x v="0"/>
    <x v="18"/>
    <x v="13"/>
    <x v="0"/>
    <n v="0"/>
    <x v="0"/>
    <x v="0"/>
    <s v="CB 160F DLX                                       ROJO SPOR"/>
    <e v="#N/A"/>
    <s v=""/>
  </r>
  <r>
    <x v="175"/>
    <d v="2017-08-03T00:00:00"/>
    <x v="0"/>
    <s v="SURO - SUR OCCIDENTE"/>
    <s v="CONC - CONCESIONARIOS"/>
    <n v="3"/>
    <x v="86"/>
    <n v="3"/>
    <x v="159"/>
    <x v="10"/>
    <x v="12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ROJO ALFA"/>
    <e v="#N/A"/>
    <s v=""/>
  </r>
  <r>
    <x v="175"/>
    <d v="2017-08-03T00:00:00"/>
    <x v="0"/>
    <s v="SURO - SUR OCCIDENTE"/>
    <s v="CONC - CONCESIONARIOS"/>
    <n v="4"/>
    <x v="86"/>
    <n v="4"/>
    <x v="159"/>
    <x v="10"/>
    <x v="20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AZU"/>
    <e v="#N/A"/>
    <s v=""/>
  </r>
  <r>
    <x v="175"/>
    <d v="2017-08-03T00:00:00"/>
    <x v="0"/>
    <s v="SURO - SUR OCCIDENTE"/>
    <s v="CONC - CONCESIONARIOS"/>
    <n v="2"/>
    <x v="86"/>
    <n v="2"/>
    <x v="159"/>
    <x v="10"/>
    <x v="15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ROJ"/>
    <e v="#N/A"/>
    <s v=""/>
  </r>
  <r>
    <x v="175"/>
    <d v="2017-08-03T00:00:00"/>
    <x v="0"/>
    <s v="SURO - SUR OCCIDENTE"/>
    <s v="CONC - CONCESIONARIOS"/>
    <n v="6"/>
    <x v="86"/>
    <n v="6"/>
    <x v="159"/>
    <x v="7"/>
    <x v="11"/>
    <m/>
    <x v="119"/>
    <x v="86"/>
    <n v="3941176"/>
    <m/>
    <s v="NO TIENE CUPO"/>
    <n v="0"/>
    <x v="0"/>
    <x v="18"/>
    <x v="7"/>
    <x v="0"/>
    <n v="0"/>
    <x v="0"/>
    <x v="0"/>
    <s v="WAVE 110S                                         BLANCO   "/>
    <e v="#N/A"/>
    <s v=""/>
  </r>
  <r>
    <x v="175"/>
    <d v="2017-08-03T00:00:00"/>
    <x v="0"/>
    <s v="SURO - SUR OCCIDENTE"/>
    <s v="CONC - CONCESIONARIOS"/>
    <n v="9"/>
    <x v="86"/>
    <n v="9"/>
    <x v="159"/>
    <x v="7"/>
    <x v="1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7"/>
    <x v="6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ROJO     "/>
    <e v="#N/A"/>
    <s v=""/>
  </r>
  <r>
    <x v="175"/>
    <d v="2017-08-03T00:00:00"/>
    <x v="0"/>
    <s v="SURO - SUR OCCIDENTE"/>
    <s v="CONC - CONCESIONARIOS"/>
    <n v="6"/>
    <x v="86"/>
    <n v="6"/>
    <x v="159"/>
    <x v="8"/>
    <x v="8"/>
    <m/>
    <x v="119"/>
    <x v="86"/>
    <n v="5453782"/>
    <m/>
    <s v="NO TIENE CUPO"/>
    <n v="0"/>
    <x v="0"/>
    <x v="18"/>
    <x v="0"/>
    <x v="0"/>
    <n v="0"/>
    <x v="0"/>
    <x v="0"/>
    <s v="CB 160F STD                                       NEGRO PER"/>
    <e v="#N/A"/>
    <s v=""/>
  </r>
  <r>
    <x v="175"/>
    <d v="2017-08-03T00:00:00"/>
    <x v="0"/>
    <s v="SURO - SUR OCCIDENTE"/>
    <s v="CONC - CONCESIONARIOS"/>
    <n v="4"/>
    <x v="86"/>
    <n v="4"/>
    <x v="159"/>
    <x v="9"/>
    <x v="17"/>
    <m/>
    <x v="119"/>
    <x v="86"/>
    <n v="3696639"/>
    <m/>
    <s v="NO TIENE CUPO"/>
    <n v="0"/>
    <x v="0"/>
    <x v="18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3"/>
    <x v="86"/>
    <n v="3"/>
    <x v="159"/>
    <x v="9"/>
    <x v="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ROJO     "/>
    <e v="#N/A"/>
    <s v=""/>
  </r>
  <r>
    <x v="175"/>
    <d v="2017-08-03T00:00:00"/>
    <x v="0"/>
    <s v="SURO - SUR OCCIDENTE"/>
    <s v="CONC - CONCESIONARIOS"/>
    <n v="5"/>
    <x v="86"/>
    <n v="5"/>
    <x v="159"/>
    <x v="9"/>
    <x v="1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AZUL     "/>
    <e v="#N/A"/>
    <s v=""/>
  </r>
  <r>
    <x v="175"/>
    <d v="2017-08-03T00:00:00"/>
    <x v="0"/>
    <s v="SURO - SUR OCCIDENTE"/>
    <s v="CONC - CONCESIONARIOS"/>
    <n v="13"/>
    <x v="86"/>
    <n v="13"/>
    <x v="159"/>
    <x v="9"/>
    <x v="1"/>
    <m/>
    <x v="119"/>
    <x v="86"/>
    <n v="3696639"/>
    <m/>
    <s v="NO TIENE CUPO"/>
    <n v="0"/>
    <x v="0"/>
    <x v="18"/>
    <x v="2"/>
    <x v="0"/>
    <n v="0"/>
    <x v="0"/>
    <x v="0"/>
    <s v="CB 110 DLX                                        NEGRO    "/>
    <e v="#N/A"/>
    <s v=""/>
  </r>
  <r>
    <x v="176"/>
    <d v="2017-08-03T00:00:00"/>
    <x v="0"/>
    <s v="SURO - SUR OCCIDENTE"/>
    <s v="CONC - CONCESIONARIOS"/>
    <n v="3"/>
    <x v="87"/>
    <n v="3"/>
    <x v="160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6"/>
    <d v="2017-08-03T00:00:00"/>
    <x v="0"/>
    <s v="SURO - SUR OCCIDENTE"/>
    <s v="CONC - CONCESIONARIOS"/>
    <n v="5"/>
    <x v="87"/>
    <n v="5"/>
    <x v="160"/>
    <x v="2"/>
    <x v="13"/>
    <m/>
    <x v="86"/>
    <x v="87"/>
    <n v="5789916"/>
    <m/>
    <s v="NO TIENE CUPO"/>
    <n v="0"/>
    <x v="0"/>
    <x v="37"/>
    <x v="8"/>
    <x v="7"/>
    <n v="28949580"/>
    <x v="1"/>
    <x v="3"/>
    <s v="*XR 150L                                          NEGRO BLA"/>
    <s v="ENTREGAS"/>
    <s v="E"/>
  </r>
  <r>
    <x v="176"/>
    <d v="2017-08-03T00:00:00"/>
    <x v="0"/>
    <s v="SURO - SUR OCCIDENTE"/>
    <s v="CONC - CONCESIONARIOS"/>
    <n v="1"/>
    <x v="87"/>
    <n v="1"/>
    <x v="160"/>
    <x v="2"/>
    <x v="1"/>
    <m/>
    <x v="86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76"/>
    <d v="2017-08-03T00:00:00"/>
    <x v="0"/>
    <s v="SURO - SUR OCCIDENTE"/>
    <s v="CONC - CONCESIONARIOS"/>
    <n v="2"/>
    <x v="87"/>
    <n v="2"/>
    <x v="160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6"/>
    <d v="2017-08-03T00:00:00"/>
    <x v="0"/>
    <s v="SURO - SUR OCCIDENTE"/>
    <s v="CONC - CONCESIONARIOS"/>
    <n v="1"/>
    <x v="87"/>
    <n v="1"/>
    <x v="160"/>
    <x v="5"/>
    <x v="8"/>
    <m/>
    <x v="86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5"/>
    <x v="9"/>
    <m/>
    <x v="86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6"/>
    <x v="6"/>
    <m/>
    <x v="86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76"/>
    <d v="2017-08-03T00:00:00"/>
    <x v="0"/>
    <s v="SURO - SUR OCCIDENTE"/>
    <s v="CONC - CONCESIONARIOS"/>
    <n v="1"/>
    <x v="87"/>
    <n v="1"/>
    <x v="160"/>
    <x v="14"/>
    <x v="3"/>
    <m/>
    <x v="86"/>
    <x v="87"/>
    <n v="7730252"/>
    <m/>
    <s v="NO TIENE CUPO"/>
    <n v="0"/>
    <x v="0"/>
    <x v="37"/>
    <x v="0"/>
    <x v="0"/>
    <n v="0"/>
    <x v="0"/>
    <x v="0"/>
    <s v="CB 190R INSTINTO R                                NEGRO ONI"/>
    <e v="#N/A"/>
    <s v=""/>
  </r>
  <r>
    <x v="176"/>
    <d v="2017-08-03T00:00:00"/>
    <x v="0"/>
    <s v="SURO - SUR OCCIDENTE"/>
    <s v="CONC - CONCESIONARIOS"/>
    <n v="2"/>
    <x v="87"/>
    <n v="2"/>
    <x v="160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6"/>
    <d v="2017-08-03T00:00:00"/>
    <x v="0"/>
    <s v="SURO - SUR OCCIDENTE"/>
    <s v="CONC - CONCESIONARIOS"/>
    <n v="1"/>
    <x v="87"/>
    <n v="1"/>
    <x v="160"/>
    <x v="10"/>
    <x v="20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6"/>
    <d v="2017-08-03T00:00:00"/>
    <x v="0"/>
    <s v="SURO - SUR OCCIDENTE"/>
    <s v="CONC - CONCESIONARIOS"/>
    <n v="2"/>
    <x v="87"/>
    <n v="2"/>
    <x v="160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6"/>
    <d v="2017-08-03T00:00:00"/>
    <x v="0"/>
    <s v="SURO - SUR OCCIDENTE"/>
    <s v="CONC - CONCESIONARIOS"/>
    <n v="1"/>
    <x v="87"/>
    <n v="1"/>
    <x v="160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6"/>
    <d v="2017-08-03T00:00:00"/>
    <x v="0"/>
    <s v="SURO - SUR OCCIDENTE"/>
    <s v="CONC - CONCESIONARIOS"/>
    <n v="3"/>
    <x v="87"/>
    <n v="3"/>
    <x v="160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8"/>
    <x v="9"/>
    <m/>
    <x v="86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3"/>
    <x v="87"/>
    <n v="3"/>
    <x v="161"/>
    <x v="2"/>
    <x v="15"/>
    <m/>
    <x v="120"/>
    <x v="87"/>
    <n v="5789916"/>
    <m/>
    <s v="NO TIENE CUPO"/>
    <n v="0"/>
    <x v="0"/>
    <x v="21"/>
    <x v="11"/>
    <x v="0"/>
    <n v="0"/>
    <x v="0"/>
    <x v="0"/>
    <s v="*XR 150L                                          NEGRO ROJ"/>
    <e v="#N/A"/>
    <s v=""/>
  </r>
  <r>
    <x v="177"/>
    <d v="2017-08-03T00:00:00"/>
    <x v="0"/>
    <s v="SURO - SUR OCCIDENTE"/>
    <s v="CONC - CONCESIONARIOS"/>
    <n v="5"/>
    <x v="87"/>
    <n v="5"/>
    <x v="161"/>
    <x v="2"/>
    <x v="13"/>
    <m/>
    <x v="120"/>
    <x v="87"/>
    <n v="5789916"/>
    <m/>
    <s v="NO TIENE CUPO"/>
    <n v="0"/>
    <x v="0"/>
    <x v="21"/>
    <x v="8"/>
    <x v="0"/>
    <n v="0"/>
    <x v="0"/>
    <x v="0"/>
    <s v="*XR 150L                                          NEGRO BLA"/>
    <e v="#N/A"/>
    <s v=""/>
  </r>
  <r>
    <x v="177"/>
    <d v="2017-08-03T00:00:00"/>
    <x v="0"/>
    <s v="SURO - SUR OCCIDENTE"/>
    <s v="CONC - CONCESIONARIOS"/>
    <n v="2"/>
    <x v="87"/>
    <n v="2"/>
    <x v="161"/>
    <x v="5"/>
    <x v="7"/>
    <m/>
    <x v="120"/>
    <x v="87"/>
    <n v="6133613"/>
    <m/>
    <s v="NO TIENE CUPO"/>
    <n v="0"/>
    <x v="0"/>
    <x v="21"/>
    <x v="13"/>
    <x v="0"/>
    <n v="0"/>
    <x v="0"/>
    <x v="0"/>
    <s v="CB 160F DLX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5"/>
    <x v="8"/>
    <m/>
    <x v="120"/>
    <x v="87"/>
    <n v="6133613"/>
    <m/>
    <s v="NO TIENE CUPO"/>
    <n v="0"/>
    <x v="0"/>
    <x v="21"/>
    <x v="0"/>
    <x v="0"/>
    <n v="0"/>
    <x v="0"/>
    <x v="0"/>
    <s v="CB 160F DLX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6"/>
    <x v="6"/>
    <m/>
    <x v="120"/>
    <x v="87"/>
    <n v="3521008"/>
    <m/>
    <s v="NO TIENE CUPO"/>
    <n v="0"/>
    <x v="0"/>
    <x v="21"/>
    <x v="0"/>
    <x v="0"/>
    <n v="0"/>
    <x v="0"/>
    <x v="0"/>
    <s v="DIO  110                                          ROJO     "/>
    <e v="#N/A"/>
    <s v=""/>
  </r>
  <r>
    <x v="177"/>
    <d v="2017-08-03T00:00:00"/>
    <x v="0"/>
    <s v="SURO - SUR OCCIDENTE"/>
    <s v="CONC - CONCESIONARIOS"/>
    <n v="1"/>
    <x v="87"/>
    <n v="1"/>
    <x v="161"/>
    <x v="14"/>
    <x v="3"/>
    <m/>
    <x v="120"/>
    <x v="87"/>
    <n v="7730252"/>
    <m/>
    <s v="NO TIENE CUPO"/>
    <n v="0"/>
    <x v="0"/>
    <x v="21"/>
    <x v="0"/>
    <x v="0"/>
    <n v="0"/>
    <x v="0"/>
    <x v="0"/>
    <s v="CB 190R INSTINTO R                                NEGRO ONI"/>
    <e v="#N/A"/>
    <s v=""/>
  </r>
  <r>
    <x v="177"/>
    <d v="2017-08-03T00:00:00"/>
    <x v="0"/>
    <s v="SURO - SUR OCCIDENTE"/>
    <s v="CONC - CONCESIONARIOS"/>
    <n v="5"/>
    <x v="87"/>
    <n v="5"/>
    <x v="161"/>
    <x v="10"/>
    <x v="12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ROJO ALFA"/>
    <e v="#N/A"/>
    <s v=""/>
  </r>
  <r>
    <x v="177"/>
    <d v="2017-08-03T00:00:00"/>
    <x v="0"/>
    <s v="SURO - SUR OCCIDENTE"/>
    <s v="CONC - CONCESIONARIOS"/>
    <n v="2"/>
    <x v="87"/>
    <n v="2"/>
    <x v="161"/>
    <x v="10"/>
    <x v="20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NEGRO AZU"/>
    <e v="#N/A"/>
    <s v=""/>
  </r>
  <r>
    <x v="177"/>
    <d v="2017-08-03T00:00:00"/>
    <x v="0"/>
    <s v="SURO - SUR OCCIDENTE"/>
    <s v="CONC - CONCESIONARIOS"/>
    <n v="1"/>
    <x v="87"/>
    <n v="1"/>
    <x v="161"/>
    <x v="8"/>
    <x v="7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8"/>
    <x v="8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8"/>
    <x v="9"/>
    <m/>
    <x v="120"/>
    <x v="87"/>
    <n v="5453782"/>
    <m/>
    <s v="NO TIENE CUPO"/>
    <n v="0"/>
    <x v="0"/>
    <x v="21"/>
    <x v="5"/>
    <x v="0"/>
    <n v="0"/>
    <x v="0"/>
    <x v="0"/>
    <s v="CB 160F STD                                       BLANCO PE"/>
    <e v="#N/A"/>
    <s v=""/>
  </r>
  <r>
    <x v="177"/>
    <d v="2017-08-03T00:00:00"/>
    <x v="0"/>
    <s v="SURO - SUR OCCIDENTE"/>
    <s v="CONC - CONCESIONARIOS"/>
    <n v="1"/>
    <x v="87"/>
    <n v="1"/>
    <x v="161"/>
    <x v="9"/>
    <x v="17"/>
    <m/>
    <x v="120"/>
    <x v="87"/>
    <n v="3696639"/>
    <m/>
    <s v="NO TIENE CUPO"/>
    <n v="0"/>
    <x v="0"/>
    <x v="21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1"/>
    <x v="87"/>
    <n v="1"/>
    <x v="161"/>
    <x v="9"/>
    <x v="1"/>
    <m/>
    <x v="120"/>
    <x v="87"/>
    <n v="3696639"/>
    <m/>
    <s v="NO TIENE CUPO"/>
    <n v="0"/>
    <x v="0"/>
    <x v="21"/>
    <x v="2"/>
    <x v="0"/>
    <n v="0"/>
    <x v="0"/>
    <x v="0"/>
    <s v="CB 110 DLX                                        NEGRO    "/>
    <e v="#N/A"/>
    <s v=""/>
  </r>
  <r>
    <x v="178"/>
    <d v="2017-08-03T00:00:00"/>
    <x v="0"/>
    <s v="SURO - SUR OCCIDENTE"/>
    <s v="CONC - CONCESIONARIOS"/>
    <n v="2"/>
    <x v="87"/>
    <n v="2"/>
    <x v="162"/>
    <x v="1"/>
    <x v="18"/>
    <m/>
    <x v="86"/>
    <x v="87"/>
    <n v="3360504"/>
    <m/>
    <s v="NO TIENE CUPO"/>
    <n v="0"/>
    <x v="0"/>
    <x v="37"/>
    <x v="15"/>
    <x v="0"/>
    <n v="0"/>
    <x v="0"/>
    <x v="0"/>
    <s v="*CB-110                                           GRIS MET "/>
    <e v="#N/A"/>
    <s v=""/>
  </r>
  <r>
    <x v="178"/>
    <d v="2017-08-03T00:00:00"/>
    <x v="0"/>
    <s v="SURO - SUR OCCIDENTE"/>
    <s v="CONC - CONCESIONARIOS"/>
    <n v="2"/>
    <x v="87"/>
    <n v="2"/>
    <x v="162"/>
    <x v="1"/>
    <x v="1"/>
    <m/>
    <x v="86"/>
    <x v="87"/>
    <n v="3360504"/>
    <m/>
    <s v="NO TIENE CUPO"/>
    <n v="0"/>
    <x v="0"/>
    <x v="37"/>
    <x v="1"/>
    <x v="0"/>
    <n v="0"/>
    <x v="0"/>
    <x v="0"/>
    <s v="*CB-110                                           NEGRO    "/>
    <e v="#N/A"/>
    <s v=""/>
  </r>
  <r>
    <x v="178"/>
    <d v="2017-08-03T00:00:00"/>
    <x v="0"/>
    <s v="SURO - SUR OCCIDENTE"/>
    <s v="CONC - CONCESIONARIOS"/>
    <n v="1"/>
    <x v="87"/>
    <n v="1"/>
    <x v="162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3"/>
    <x v="3"/>
    <m/>
    <x v="86"/>
    <x v="87"/>
    <n v="7554622"/>
    <m/>
    <s v="NO TIENE CUPO"/>
    <n v="0"/>
    <x v="0"/>
    <x v="37"/>
    <x v="0"/>
    <x v="0"/>
    <n v="0"/>
    <x v="0"/>
    <x v="0"/>
    <s v="CB 190R                                           NEGRO ONI"/>
    <e v="#N/A"/>
    <s v=""/>
  </r>
  <r>
    <x v="178"/>
    <d v="2017-08-03T00:00:00"/>
    <x v="0"/>
    <s v="SURO - SUR OCCIDENTE"/>
    <s v="CONC - CONCESIONARIOS"/>
    <n v="1"/>
    <x v="87"/>
    <n v="1"/>
    <x v="162"/>
    <x v="4"/>
    <x v="4"/>
    <m/>
    <x v="86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8"/>
    <d v="2017-08-03T00:00:00"/>
    <x v="0"/>
    <s v="SURO - SUR OCCIDENTE"/>
    <s v="CONC - CONCESIONARIOS"/>
    <n v="1"/>
    <x v="87"/>
    <n v="1"/>
    <x v="162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8"/>
    <d v="2017-08-03T00:00:00"/>
    <x v="0"/>
    <s v="SURO - SUR OCCIDENTE"/>
    <s v="CONC - CONCESIONARIOS"/>
    <n v="1"/>
    <x v="87"/>
    <n v="1"/>
    <x v="162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7"/>
    <x v="6"/>
    <m/>
    <x v="86"/>
    <x v="87"/>
    <n v="3941176"/>
    <m/>
    <s v="NO TIENE CUPO"/>
    <n v="0"/>
    <x v="0"/>
    <x v="37"/>
    <x v="0"/>
    <x v="0"/>
    <n v="0"/>
    <x v="0"/>
    <x v="0"/>
    <s v="WAVE 110S                                         ROJO     "/>
    <e v="#N/A"/>
    <s v=""/>
  </r>
  <r>
    <x v="178"/>
    <d v="2017-08-03T00:00:00"/>
    <x v="0"/>
    <s v="SURO - SUR OCCIDENTE"/>
    <s v="CONC - CONCESIONARIOS"/>
    <n v="1"/>
    <x v="87"/>
    <n v="1"/>
    <x v="162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8"/>
    <d v="2017-08-03T00:00:00"/>
    <x v="0"/>
    <s v="SURO - SUR OCCIDENTE"/>
    <s v="CONC - CONCESIONARIOS"/>
    <n v="2"/>
    <x v="87"/>
    <n v="2"/>
    <x v="162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8"/>
    <d v="2017-08-03T00:00:00"/>
    <x v="0"/>
    <s v="SURO - SUR OCCIDENTE"/>
    <s v="CONC - CONCESIONARIOS"/>
    <n v="2"/>
    <x v="87"/>
    <n v="2"/>
    <x v="162"/>
    <x v="9"/>
    <x v="1"/>
    <m/>
    <x v="86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79"/>
    <d v="2017-08-03T00:00:00"/>
    <x v="0"/>
    <s v="SURO - SUR OCCIDENTE"/>
    <s v="CONC - CONCESIONARIOS"/>
    <n v="3"/>
    <x v="87"/>
    <n v="3"/>
    <x v="163"/>
    <x v="2"/>
    <x v="15"/>
    <m/>
    <x v="121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9"/>
    <d v="2017-08-03T00:00:00"/>
    <x v="0"/>
    <s v="SURO - SUR OCCIDENTE"/>
    <s v="CONC - CONCESIONARIOS"/>
    <n v="2"/>
    <x v="87"/>
    <n v="2"/>
    <x v="163"/>
    <x v="2"/>
    <x v="13"/>
    <m/>
    <x v="121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79"/>
    <d v="2017-08-03T00:00:00"/>
    <x v="0"/>
    <s v="SURO - SUR OCCIDENTE"/>
    <s v="CONC - CONCESIONARIOS"/>
    <n v="2"/>
    <x v="87"/>
    <n v="2"/>
    <x v="163"/>
    <x v="2"/>
    <x v="1"/>
    <m/>
    <x v="121"/>
    <x v="87"/>
    <n v="5789916"/>
    <m/>
    <s v="NO TIENE CUPO"/>
    <n v="0"/>
    <x v="0"/>
    <x v="37"/>
    <x v="2"/>
    <x v="3"/>
    <n v="5789916"/>
    <x v="1"/>
    <x v="3"/>
    <s v="*XR 150L                                          NEGRO    "/>
    <s v="ENTREGAS"/>
    <s v="E"/>
  </r>
  <r>
    <x v="179"/>
    <d v="2017-08-03T00:00:00"/>
    <x v="0"/>
    <s v="SURO - SUR OCCIDENTE"/>
    <s v="CONC - CONCESIONARIOS"/>
    <n v="1"/>
    <x v="87"/>
    <n v="1"/>
    <x v="163"/>
    <x v="4"/>
    <x v="4"/>
    <m/>
    <x v="121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9"/>
    <d v="2017-08-03T00:00:00"/>
    <x v="0"/>
    <s v="SURO - SUR OCCIDENTE"/>
    <s v="CONC - CONCESIONARIOS"/>
    <n v="1"/>
    <x v="87"/>
    <n v="1"/>
    <x v="163"/>
    <x v="5"/>
    <x v="7"/>
    <m/>
    <x v="121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5"/>
    <x v="8"/>
    <m/>
    <x v="121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9"/>
    <d v="2017-08-03T00:00:00"/>
    <x v="0"/>
    <s v="SURO - SUR OCCIDENTE"/>
    <s v="CONC - CONCESIONARIOS"/>
    <n v="2"/>
    <x v="87"/>
    <n v="2"/>
    <x v="163"/>
    <x v="10"/>
    <x v="12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9"/>
    <d v="2017-08-03T00:00:00"/>
    <x v="0"/>
    <s v="SURO - SUR OCCIDENTE"/>
    <s v="CONC - CONCESIONARIOS"/>
    <n v="1"/>
    <x v="87"/>
    <n v="1"/>
    <x v="163"/>
    <x v="10"/>
    <x v="20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9"/>
    <d v="2017-08-03T00:00:00"/>
    <x v="0"/>
    <s v="SURO - SUR OCCIDENTE"/>
    <s v="CONC - CONCESIONARIOS"/>
    <n v="2"/>
    <x v="87"/>
    <n v="2"/>
    <x v="163"/>
    <x v="10"/>
    <x v="15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9"/>
    <d v="2017-08-03T00:00:00"/>
    <x v="0"/>
    <s v="SURO - SUR OCCIDENTE"/>
    <s v="CONC - CONCESIONARIOS"/>
    <n v="1"/>
    <x v="87"/>
    <n v="1"/>
    <x v="163"/>
    <x v="7"/>
    <x v="1"/>
    <m/>
    <x v="121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79"/>
    <d v="2017-08-03T00:00:00"/>
    <x v="0"/>
    <s v="SURO - SUR OCCIDENTE"/>
    <s v="CONC - CONCESIONARIOS"/>
    <n v="1"/>
    <x v="87"/>
    <n v="1"/>
    <x v="163"/>
    <x v="8"/>
    <x v="7"/>
    <m/>
    <x v="121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9"/>
    <x v="16"/>
    <m/>
    <x v="121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79"/>
    <d v="2017-08-03T00:00:00"/>
    <x v="0"/>
    <s v="SURO - SUR OCCIDENTE"/>
    <s v="CONC - CONCESIONARIOS"/>
    <n v="1"/>
    <x v="87"/>
    <n v="1"/>
    <x v="163"/>
    <x v="9"/>
    <x v="1"/>
    <m/>
    <x v="121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80"/>
    <d v="2017-08-03T00:00:00"/>
    <x v="0"/>
    <s v="NTE - ZONA NORTE"/>
    <s v="CONC - CONCESIONARIOS"/>
    <n v="8"/>
    <x v="85"/>
    <n v="1"/>
    <x v="158"/>
    <x v="1"/>
    <x v="1"/>
    <d v="2017-08-04T00:00:00"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81"/>
    <d v="2017-08-03T00:00:00"/>
    <x v="0"/>
    <s v="SURO - SUR OCCIDENTE"/>
    <s v="CONC - CONCESIONARIOS"/>
    <n v="5"/>
    <x v="87"/>
    <n v="5"/>
    <x v="164"/>
    <x v="2"/>
    <x v="15"/>
    <m/>
    <x v="82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81"/>
    <d v="2017-08-03T00:00:00"/>
    <x v="0"/>
    <s v="SURO - SUR OCCIDENTE"/>
    <s v="CONC - CONCESIONARIOS"/>
    <n v="2"/>
    <x v="87"/>
    <n v="2"/>
    <x v="164"/>
    <x v="2"/>
    <x v="13"/>
    <m/>
    <x v="82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81"/>
    <d v="2017-08-03T00:00:00"/>
    <x v="0"/>
    <s v="SURO - SUR OCCIDENTE"/>
    <s v="CONC - CONCESIONARIOS"/>
    <n v="1"/>
    <x v="87"/>
    <n v="1"/>
    <x v="164"/>
    <x v="2"/>
    <x v="1"/>
    <m/>
    <x v="82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81"/>
    <d v="2017-08-03T00:00:00"/>
    <x v="0"/>
    <s v="SURO - SUR OCCIDENTE"/>
    <s v="CONC - CONCESIONARIOS"/>
    <n v="2"/>
    <x v="87"/>
    <n v="2"/>
    <x v="164"/>
    <x v="4"/>
    <x v="4"/>
    <m/>
    <x v="82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81"/>
    <d v="2017-08-03T00:00:00"/>
    <x v="0"/>
    <s v="SURO - SUR OCCIDENTE"/>
    <s v="CONC - CONCESIONARIOS"/>
    <n v="2"/>
    <x v="87"/>
    <n v="2"/>
    <x v="164"/>
    <x v="5"/>
    <x v="7"/>
    <m/>
    <x v="82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5"/>
    <x v="8"/>
    <m/>
    <x v="82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81"/>
    <d v="2017-08-03T00:00:00"/>
    <x v="0"/>
    <s v="SURO - SUR OCCIDENTE"/>
    <s v="CONC - CONCESIONARIOS"/>
    <n v="2"/>
    <x v="87"/>
    <n v="2"/>
    <x v="164"/>
    <x v="5"/>
    <x v="9"/>
    <m/>
    <x v="82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6"/>
    <x v="6"/>
    <m/>
    <x v="82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81"/>
    <d v="2017-08-03T00:00:00"/>
    <x v="0"/>
    <s v="SURO - SUR OCCIDENTE"/>
    <s v="CONC - CONCESIONARIOS"/>
    <n v="3"/>
    <x v="87"/>
    <n v="3"/>
    <x v="164"/>
    <x v="10"/>
    <x v="12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81"/>
    <d v="2017-08-03T00:00:00"/>
    <x v="0"/>
    <s v="SURO - SUR OCCIDENTE"/>
    <s v="CONC - CONCESIONARIOS"/>
    <n v="3"/>
    <x v="87"/>
    <n v="3"/>
    <x v="164"/>
    <x v="10"/>
    <x v="15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81"/>
    <d v="2017-08-03T00:00:00"/>
    <x v="0"/>
    <s v="SURO - SUR OCCIDENTE"/>
    <s v="CONC - CONCESIONARIOS"/>
    <n v="3"/>
    <x v="87"/>
    <n v="3"/>
    <x v="164"/>
    <x v="10"/>
    <x v="20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81"/>
    <d v="2017-08-03T00:00:00"/>
    <x v="0"/>
    <s v="SURO - SUR OCCIDENTE"/>
    <s v="CONC - CONCESIONARIOS"/>
    <n v="1"/>
    <x v="87"/>
    <n v="1"/>
    <x v="164"/>
    <x v="7"/>
    <x v="1"/>
    <m/>
    <x v="82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81"/>
    <d v="2017-08-03T00:00:00"/>
    <x v="0"/>
    <s v="SURO - SUR OCCIDENTE"/>
    <s v="CONC - CONCESIONARIOS"/>
    <n v="1"/>
    <x v="87"/>
    <n v="1"/>
    <x v="164"/>
    <x v="8"/>
    <x v="7"/>
    <m/>
    <x v="82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8"/>
    <x v="9"/>
    <m/>
    <x v="82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9"/>
    <x v="16"/>
    <m/>
    <x v="82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82"/>
    <d v="2017-08-03T00:00:00"/>
    <x v="0"/>
    <s v="NTE - ZONA NORTE"/>
    <s v="CONC - CONCESIONARIOS"/>
    <n v="4"/>
    <x v="10"/>
    <n v="2"/>
    <x v="29"/>
    <x v="10"/>
    <x v="20"/>
    <d v="2017-08-04T00:00:00"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83"/>
    <d v="2017-08-03T00:00:00"/>
    <x v="0"/>
    <s v="SURO - SUR OCCIDENTE"/>
    <s v="DIST - DISTRIBUIDORES"/>
    <n v="2"/>
    <x v="88"/>
    <n v="2"/>
    <x v="165"/>
    <x v="2"/>
    <x v="15"/>
    <m/>
    <x v="122"/>
    <x v="88"/>
    <n v="5789916"/>
    <m/>
    <n v="15423685"/>
    <n v="0"/>
    <x v="0"/>
    <x v="32"/>
    <x v="11"/>
    <x v="0"/>
    <n v="0"/>
    <x v="0"/>
    <x v="0"/>
    <s v="*XR 150L                                          NEGRO ROJ"/>
    <e v="#N/A"/>
    <s v=""/>
  </r>
  <r>
    <x v="183"/>
    <d v="2017-08-03T00:00:00"/>
    <x v="0"/>
    <s v="SURO - SUR OCCIDENTE"/>
    <s v="DIST - DISTRIBUIDORES"/>
    <n v="1"/>
    <x v="88"/>
    <n v="1"/>
    <x v="165"/>
    <x v="9"/>
    <x v="1"/>
    <m/>
    <x v="122"/>
    <x v="88"/>
    <n v="3696639"/>
    <m/>
    <n v="15423685"/>
    <n v="0"/>
    <x v="0"/>
    <x v="32"/>
    <x v="2"/>
    <x v="0"/>
    <n v="0"/>
    <x v="0"/>
    <x v="0"/>
    <s v="CB 110 DLX                                        NEGRO    "/>
    <e v="#N/A"/>
    <s v=""/>
  </r>
  <r>
    <x v="184"/>
    <d v="2017-08-03T00:00:00"/>
    <x v="1"/>
    <s v="SURO - SUR OCCIDENTE"/>
    <s v="DIST - DISTRIBUIDORES"/>
    <n v="1"/>
    <x v="60"/>
    <n v="1"/>
    <x v="112"/>
    <x v="17"/>
    <x v="1"/>
    <m/>
    <x v="84"/>
    <x v="60"/>
    <n v="9762992"/>
    <m/>
    <n v="954027"/>
    <n v="0"/>
    <x v="1"/>
    <x v="38"/>
    <x v="20"/>
    <x v="0"/>
    <n v="0"/>
    <x v="0"/>
    <x v="0"/>
    <s v="CB 250 TWISTER                                    NEGRO    "/>
    <e v="#N/A"/>
    <s v=""/>
  </r>
  <r>
    <x v="185"/>
    <d v="2017-08-03T00:00:00"/>
    <x v="0"/>
    <s v="SURO - SUR OCCIDENTE"/>
    <s v="DIST - DISTRIBUIDORES"/>
    <n v="2"/>
    <x v="54"/>
    <n v="2"/>
    <x v="105"/>
    <x v="1"/>
    <x v="7"/>
    <m/>
    <x v="84"/>
    <x v="54"/>
    <n v="3360504"/>
    <m/>
    <n v="0"/>
    <n v="143290932"/>
    <x v="0"/>
    <x v="38"/>
    <x v="9"/>
    <x v="0"/>
    <n v="0"/>
    <x v="0"/>
    <x v="0"/>
    <s v="*CB-110                                           ROJO SPOR"/>
    <e v="#N/A"/>
    <s v=""/>
  </r>
  <r>
    <x v="185"/>
    <d v="2017-08-03T00:00:00"/>
    <x v="0"/>
    <s v="SURO - SUR OCCIDENTE"/>
    <s v="DIST - DISTRIBUIDORES"/>
    <n v="4"/>
    <x v="54"/>
    <n v="4"/>
    <x v="105"/>
    <x v="1"/>
    <x v="1"/>
    <m/>
    <x v="84"/>
    <x v="54"/>
    <n v="3360504"/>
    <m/>
    <n v="0"/>
    <n v="143290932"/>
    <x v="0"/>
    <x v="38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0"/>
    <x v="0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6"/>
    <d v="2017-08-03T00:00:00"/>
    <x v="0"/>
    <s v="NTE - ZONA NORTE"/>
    <s v="CONC - CONCESIONARIOS"/>
    <n v="1"/>
    <x v="89"/>
    <n v="1"/>
    <x v="166"/>
    <x v="0"/>
    <x v="1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1"/>
    <x v="1"/>
    <m/>
    <x v="123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2"/>
    <x v="89"/>
    <n v="2"/>
    <x v="166"/>
    <x v="2"/>
    <x v="15"/>
    <m/>
    <x v="123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6"/>
    <d v="2017-08-03T00:00:00"/>
    <x v="0"/>
    <s v="NTE - ZONA NORTE"/>
    <s v="CONC - CONCESIONARIOS"/>
    <n v="1"/>
    <x v="89"/>
    <n v="1"/>
    <x v="166"/>
    <x v="2"/>
    <x v="13"/>
    <m/>
    <x v="123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6"/>
    <d v="2017-08-03T00:00:00"/>
    <x v="0"/>
    <s v="NTE - ZONA NORTE"/>
    <s v="CONC - CONCESIONARIOS"/>
    <n v="1"/>
    <x v="89"/>
    <n v="1"/>
    <x v="166"/>
    <x v="3"/>
    <x v="3"/>
    <m/>
    <x v="123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5"/>
    <x v="8"/>
    <m/>
    <x v="123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14"/>
    <x v="3"/>
    <m/>
    <x v="123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10"/>
    <x v="20"/>
    <m/>
    <x v="123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6"/>
    <d v="2017-08-03T00:00:00"/>
    <x v="0"/>
    <s v="NTE - ZONA NORTE"/>
    <s v="CONC - CONCESIONARIOS"/>
    <n v="1"/>
    <x v="89"/>
    <n v="1"/>
    <x v="166"/>
    <x v="8"/>
    <x v="7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6"/>
    <d v="2017-08-03T00:00:00"/>
    <x v="0"/>
    <s v="NTE - ZONA NORTE"/>
    <s v="CONC - CONCESIONARIOS"/>
    <n v="2"/>
    <x v="89"/>
    <n v="2"/>
    <x v="166"/>
    <x v="8"/>
    <x v="8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8"/>
    <x v="9"/>
    <m/>
    <x v="123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6"/>
    <d v="2017-08-03T00:00:00"/>
    <x v="0"/>
    <s v="NTE - ZONA NORTE"/>
    <s v="CONC - CONCESIONARIOS"/>
    <n v="1"/>
    <x v="89"/>
    <n v="1"/>
    <x v="166"/>
    <x v="9"/>
    <x v="17"/>
    <m/>
    <x v="123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86"/>
    <d v="2017-08-03T00:00:00"/>
    <x v="0"/>
    <s v="NTE - ZONA NORTE"/>
    <s v="CONC - CONCESIONARIOS"/>
    <n v="1"/>
    <x v="89"/>
    <n v="1"/>
    <x v="166"/>
    <x v="9"/>
    <x v="1"/>
    <m/>
    <x v="123"/>
    <x v="89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1"/>
    <x v="1"/>
    <m/>
    <x v="124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2"/>
    <x v="15"/>
    <m/>
    <x v="124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7"/>
    <d v="2017-08-03T00:00:00"/>
    <x v="0"/>
    <s v="NTE - ZONA NORTE"/>
    <s v="CONC - CONCESIONARIOS"/>
    <n v="1"/>
    <x v="89"/>
    <n v="1"/>
    <x v="167"/>
    <x v="3"/>
    <x v="3"/>
    <m/>
    <x v="124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4"/>
    <x v="4"/>
    <m/>
    <x v="124"/>
    <x v="89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87"/>
    <d v="2017-08-03T00:00:00"/>
    <x v="0"/>
    <s v="NTE - ZONA NORTE"/>
    <s v="CONC - CONCESIONARIOS"/>
    <n v="1"/>
    <x v="89"/>
    <n v="1"/>
    <x v="167"/>
    <x v="5"/>
    <x v="7"/>
    <m/>
    <x v="124"/>
    <x v="89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5"/>
    <x v="8"/>
    <m/>
    <x v="124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14"/>
    <x v="3"/>
    <m/>
    <x v="124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10"/>
    <x v="20"/>
    <m/>
    <x v="124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7"/>
    <d v="2017-08-03T00:00:00"/>
    <x v="0"/>
    <s v="NTE - ZONA NORTE"/>
    <s v="CONC - CONCESIONARIOS"/>
    <n v="1"/>
    <x v="89"/>
    <n v="1"/>
    <x v="167"/>
    <x v="8"/>
    <x v="7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8"/>
    <x v="8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8"/>
    <x v="9"/>
    <m/>
    <x v="124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7"/>
    <d v="2017-08-03T00:00:00"/>
    <x v="0"/>
    <s v="NTE - ZONA NORTE"/>
    <s v="CONC - CONCESIONARIOS"/>
    <n v="1"/>
    <x v="89"/>
    <n v="1"/>
    <x v="167"/>
    <x v="9"/>
    <x v="16"/>
    <m/>
    <x v="124"/>
    <x v="89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88"/>
    <d v="2017-08-03T00:00:00"/>
    <x v="0"/>
    <s v="NTE - ZONA NORTE"/>
    <s v="CONC - CONCESIONARIOS"/>
    <n v="1"/>
    <x v="89"/>
    <n v="1"/>
    <x v="168"/>
    <x v="0"/>
    <x v="1"/>
    <m/>
    <x v="125"/>
    <x v="89"/>
    <n v="11496063"/>
    <m/>
    <s v="NO TIENE CUPO"/>
    <n v="0"/>
    <x v="0"/>
    <x v="46"/>
    <x v="0"/>
    <x v="0"/>
    <n v="0"/>
    <x v="0"/>
    <x v="0"/>
    <s v="*XR-250 TORNADO pt MD34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8"/>
    <m/>
    <x v="125"/>
    <x v="89"/>
    <n v="3360504"/>
    <m/>
    <s v="NO TIENE CUPO"/>
    <n v="0"/>
    <x v="0"/>
    <x v="46"/>
    <x v="15"/>
    <x v="0"/>
    <n v="0"/>
    <x v="0"/>
    <x v="0"/>
    <s v="*CB-110                                           GRIS MET "/>
    <e v="#N/A"/>
    <s v=""/>
  </r>
  <r>
    <x v="188"/>
    <d v="2017-08-03T00:00:00"/>
    <x v="0"/>
    <s v="NTE - ZONA NORTE"/>
    <s v="CONC - CONCESIONARIOS"/>
    <n v="1"/>
    <x v="89"/>
    <n v="1"/>
    <x v="168"/>
    <x v="1"/>
    <x v="1"/>
    <m/>
    <x v="125"/>
    <x v="89"/>
    <n v="3360504"/>
    <m/>
    <s v="NO TIENE CUPO"/>
    <n v="0"/>
    <x v="0"/>
    <x v="46"/>
    <x v="1"/>
    <x v="0"/>
    <n v="0"/>
    <x v="0"/>
    <x v="0"/>
    <s v="*CB-110 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4"/>
    <m/>
    <x v="125"/>
    <x v="89"/>
    <n v="3360504"/>
    <m/>
    <s v="NO TIENE CUPO"/>
    <n v="0"/>
    <x v="0"/>
    <x v="46"/>
    <x v="10"/>
    <x v="0"/>
    <n v="0"/>
    <x v="0"/>
    <x v="0"/>
    <s v="*CB-110                                           AZUL FIJI"/>
    <e v="#N/A"/>
    <s v=""/>
  </r>
  <r>
    <x v="188"/>
    <d v="2017-08-03T00:00:00"/>
    <x v="0"/>
    <s v="NTE - ZONA NORTE"/>
    <s v="CONC - CONCESIONARIOS"/>
    <n v="1"/>
    <x v="89"/>
    <n v="1"/>
    <x v="168"/>
    <x v="13"/>
    <x v="21"/>
    <m/>
    <x v="125"/>
    <x v="89"/>
    <n v="5168067"/>
    <m/>
    <s v="NO TIENE CUPO"/>
    <n v="0"/>
    <x v="0"/>
    <x v="46"/>
    <x v="17"/>
    <x v="0"/>
    <n v="0"/>
    <x v="0"/>
    <x v="0"/>
    <s v="*INVICTA                                          AZUL NEON"/>
    <e v="#N/A"/>
    <s v=""/>
  </r>
  <r>
    <x v="188"/>
    <d v="2017-08-03T00:00:00"/>
    <x v="0"/>
    <s v="NTE - ZONA NORTE"/>
    <s v="CONC - CONCESIONARIOS"/>
    <n v="2"/>
    <x v="89"/>
    <n v="2"/>
    <x v="168"/>
    <x v="2"/>
    <x v="15"/>
    <m/>
    <x v="125"/>
    <x v="89"/>
    <n v="5789916"/>
    <m/>
    <s v="NO TIENE CUPO"/>
    <n v="0"/>
    <x v="0"/>
    <x v="46"/>
    <x v="11"/>
    <x v="0"/>
    <n v="0"/>
    <x v="0"/>
    <x v="0"/>
    <s v="*XR 150L  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2"/>
    <x v="13"/>
    <m/>
    <x v="125"/>
    <x v="89"/>
    <n v="5789916"/>
    <m/>
    <s v="NO TIENE CUPO"/>
    <n v="0"/>
    <x v="0"/>
    <x v="46"/>
    <x v="8"/>
    <x v="0"/>
    <n v="0"/>
    <x v="0"/>
    <x v="0"/>
    <s v="*XR 150L                                          NEGRO BLA"/>
    <e v="#N/A"/>
    <s v=""/>
  </r>
  <r>
    <x v="188"/>
    <d v="2017-08-03T00:00:00"/>
    <x v="0"/>
    <s v="NTE - ZONA NORTE"/>
    <s v="CONC - CONCESIONARIOS"/>
    <n v="1"/>
    <x v="89"/>
    <n v="1"/>
    <x v="168"/>
    <x v="2"/>
    <x v="1"/>
    <m/>
    <x v="125"/>
    <x v="89"/>
    <n v="5789916"/>
    <m/>
    <s v="NO TIENE CUPO"/>
    <n v="0"/>
    <x v="0"/>
    <x v="46"/>
    <x v="2"/>
    <x v="0"/>
    <n v="0"/>
    <x v="0"/>
    <x v="0"/>
    <s v="*XR 150L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8"/>
    <x v="25"/>
    <m/>
    <x v="125"/>
    <x v="89"/>
    <n v="5764706"/>
    <m/>
    <s v="NO TIENE CUPO"/>
    <n v="0"/>
    <x v="0"/>
    <x v="46"/>
    <x v="0"/>
    <x v="0"/>
    <n v="0"/>
    <x v="0"/>
    <x v="0"/>
    <s v="CLICK 125i                                        BLANCO RO"/>
    <e v="#N/A"/>
    <s v=""/>
  </r>
  <r>
    <x v="188"/>
    <d v="2017-08-03T00:00:00"/>
    <x v="0"/>
    <s v="NTE - ZONA NORTE"/>
    <s v="CONC - CONCESIONARIOS"/>
    <n v="1"/>
    <x v="89"/>
    <n v="1"/>
    <x v="168"/>
    <x v="3"/>
    <x v="2"/>
    <m/>
    <x v="125"/>
    <x v="89"/>
    <n v="7554622"/>
    <m/>
    <s v="NO TIENE CUPO"/>
    <n v="0"/>
    <x v="0"/>
    <x v="46"/>
    <x v="3"/>
    <x v="0"/>
    <n v="0"/>
    <x v="0"/>
    <x v="0"/>
    <s v="CB 190R                                           ROJO NEGR"/>
    <e v="#N/A"/>
    <s v=""/>
  </r>
  <r>
    <x v="188"/>
    <d v="2017-08-03T00:00:00"/>
    <x v="0"/>
    <s v="NTE - ZONA NORTE"/>
    <s v="CONC - CONCESIONARIOS"/>
    <n v="1"/>
    <x v="89"/>
    <n v="1"/>
    <x v="168"/>
    <x v="3"/>
    <x v="3"/>
    <m/>
    <x v="125"/>
    <x v="89"/>
    <n v="7554622"/>
    <m/>
    <s v="NO TIENE CUPO"/>
    <n v="0"/>
    <x v="0"/>
    <x v="46"/>
    <x v="0"/>
    <x v="0"/>
    <n v="0"/>
    <x v="0"/>
    <x v="0"/>
    <s v="CB 190R                                           NEGRO ONI"/>
    <e v="#N/A"/>
    <s v=""/>
  </r>
  <r>
    <x v="188"/>
    <d v="2017-08-03T00:00:00"/>
    <x v="0"/>
    <s v="NTE - ZONA NORTE"/>
    <s v="CONC - CONCESIONARIOS"/>
    <n v="1"/>
    <x v="89"/>
    <n v="1"/>
    <x v="168"/>
    <x v="5"/>
    <x v="7"/>
    <m/>
    <x v="125"/>
    <x v="89"/>
    <n v="6133613"/>
    <m/>
    <s v="NO TIENE CUPO"/>
    <n v="0"/>
    <x v="0"/>
    <x v="46"/>
    <x v="13"/>
    <x v="0"/>
    <n v="0"/>
    <x v="0"/>
    <x v="0"/>
    <s v="CB 160F DLX                                       ROJO SPOR"/>
    <e v="#N/A"/>
    <s v=""/>
  </r>
  <r>
    <x v="188"/>
    <d v="2017-08-03T00:00:00"/>
    <x v="0"/>
    <s v="NTE - ZONA NORTE"/>
    <s v="CONC - CONCESIONARIOS"/>
    <n v="1"/>
    <x v="89"/>
    <n v="1"/>
    <x v="168"/>
    <x v="5"/>
    <x v="8"/>
    <m/>
    <x v="125"/>
    <x v="89"/>
    <n v="6133613"/>
    <m/>
    <s v="NO TIENE CUPO"/>
    <n v="0"/>
    <x v="0"/>
    <x v="46"/>
    <x v="0"/>
    <x v="0"/>
    <n v="0"/>
    <x v="0"/>
    <x v="0"/>
    <s v="CB 160F DLX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5"/>
    <x v="5"/>
    <m/>
    <x v="125"/>
    <x v="89"/>
    <n v="6133613"/>
    <m/>
    <s v="NO TIENE CUPO"/>
    <n v="0"/>
    <x v="0"/>
    <x v="46"/>
    <x v="2"/>
    <x v="0"/>
    <n v="0"/>
    <x v="0"/>
    <x v="0"/>
    <s v="CB 160F DLX                                       NARANJA N"/>
    <e v="#N/A"/>
    <s v=""/>
  </r>
  <r>
    <x v="188"/>
    <d v="2017-08-03T00:00:00"/>
    <x v="0"/>
    <s v="NTE - ZONA NORTE"/>
    <s v="CONC - CONCESIONARIOS"/>
    <n v="1"/>
    <x v="89"/>
    <n v="1"/>
    <x v="168"/>
    <x v="5"/>
    <x v="9"/>
    <m/>
    <x v="125"/>
    <x v="89"/>
    <n v="6133613"/>
    <m/>
    <s v="NO TIENE CUPO"/>
    <n v="0"/>
    <x v="0"/>
    <x v="46"/>
    <x v="18"/>
    <x v="0"/>
    <n v="0"/>
    <x v="0"/>
    <x v="0"/>
    <s v="CB 160F DLX                                       BLANCO PE"/>
    <e v="#N/A"/>
    <s v=""/>
  </r>
  <r>
    <x v="188"/>
    <d v="2017-08-03T00:00:00"/>
    <x v="0"/>
    <s v="NTE - ZONA NORTE"/>
    <s v="CONC - CONCESIONARIOS"/>
    <n v="2"/>
    <x v="89"/>
    <n v="2"/>
    <x v="168"/>
    <x v="14"/>
    <x v="3"/>
    <m/>
    <x v="125"/>
    <x v="89"/>
    <n v="7730252"/>
    <m/>
    <s v="NO TIENE CUPO"/>
    <n v="0"/>
    <x v="0"/>
    <x v="46"/>
    <x v="0"/>
    <x v="0"/>
    <n v="0"/>
    <x v="0"/>
    <x v="0"/>
    <s v="CB 190R INSTINTO R                                NEGRO ONI"/>
    <e v="#N/A"/>
    <s v=""/>
  </r>
  <r>
    <x v="188"/>
    <d v="2017-08-03T00:00:00"/>
    <x v="0"/>
    <s v="NTE - ZONA NORTE"/>
    <s v="CONC - CONCESIONARIOS"/>
    <n v="2"/>
    <x v="89"/>
    <n v="2"/>
    <x v="168"/>
    <x v="10"/>
    <x v="20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AZU"/>
    <e v="#N/A"/>
    <s v=""/>
  </r>
  <r>
    <x v="188"/>
    <d v="2017-08-03T00:00:00"/>
    <x v="0"/>
    <s v="NTE - ZONA NORTE"/>
    <s v="CONC - CONCESIONARIOS"/>
    <n v="1"/>
    <x v="89"/>
    <n v="1"/>
    <x v="168"/>
    <x v="10"/>
    <x v="15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8"/>
    <x v="7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ROJO SPOR"/>
    <e v="#N/A"/>
    <s v=""/>
  </r>
  <r>
    <x v="188"/>
    <d v="2017-08-03T00:00:00"/>
    <x v="0"/>
    <s v="NTE - ZONA NORTE"/>
    <s v="CONC - CONCESIONARIOS"/>
    <n v="2"/>
    <x v="89"/>
    <n v="2"/>
    <x v="168"/>
    <x v="8"/>
    <x v="8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8"/>
    <x v="9"/>
    <m/>
    <x v="125"/>
    <x v="89"/>
    <n v="5453782"/>
    <m/>
    <s v="NO TIENE CUPO"/>
    <n v="0"/>
    <x v="0"/>
    <x v="46"/>
    <x v="5"/>
    <x v="0"/>
    <n v="0"/>
    <x v="0"/>
    <x v="0"/>
    <s v="CB 160F STD                                       BLANCO PE"/>
    <e v="#N/A"/>
    <s v=""/>
  </r>
  <r>
    <x v="188"/>
    <d v="2017-08-03T00:00:00"/>
    <x v="0"/>
    <s v="NTE - ZONA NORTE"/>
    <s v="CONC - CONCESIONARIOS"/>
    <n v="1"/>
    <x v="89"/>
    <n v="1"/>
    <x v="168"/>
    <x v="9"/>
    <x v="1"/>
    <m/>
    <x v="125"/>
    <x v="89"/>
    <n v="3696639"/>
    <m/>
    <s v="NO TIENE CUPO"/>
    <n v="0"/>
    <x v="0"/>
    <x v="46"/>
    <x v="2"/>
    <x v="0"/>
    <n v="0"/>
    <x v="0"/>
    <x v="0"/>
    <s v="CB 110 DLX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0"/>
    <x v="0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9"/>
    <d v="2017-08-03T00:00:00"/>
    <x v="0"/>
    <s v="NTE - ZONA NORTE"/>
    <s v="CONC - CONCESIONARIOS"/>
    <n v="1"/>
    <x v="89"/>
    <n v="1"/>
    <x v="169"/>
    <x v="0"/>
    <x v="1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1"/>
    <x v="1"/>
    <m/>
    <x v="92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2"/>
    <x v="15"/>
    <m/>
    <x v="92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9"/>
    <d v="2017-08-03T00:00:00"/>
    <x v="0"/>
    <s v="NTE - ZONA NORTE"/>
    <s v="CONC - CONCESIONARIOS"/>
    <n v="1"/>
    <x v="89"/>
    <n v="1"/>
    <x v="169"/>
    <x v="2"/>
    <x v="13"/>
    <m/>
    <x v="92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3"/>
    <x v="3"/>
    <m/>
    <x v="92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1"/>
    <x v="13"/>
    <m/>
    <x v="92"/>
    <x v="89"/>
    <n v="3521008"/>
    <m/>
    <s v="NO TIENE CUPO"/>
    <n v="0"/>
    <x v="0"/>
    <x v="15"/>
    <x v="12"/>
    <x v="0"/>
    <n v="0"/>
    <x v="0"/>
    <x v="0"/>
    <s v="DIO 110 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5"/>
    <x v="8"/>
    <m/>
    <x v="92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14"/>
    <x v="3"/>
    <m/>
    <x v="92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0"/>
    <x v="20"/>
    <m/>
    <x v="92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9"/>
    <d v="2017-08-03T00:00:00"/>
    <x v="0"/>
    <s v="NTE - ZONA NORTE"/>
    <s v="CONC - CONCESIONARIOS"/>
    <n v="1"/>
    <x v="89"/>
    <n v="1"/>
    <x v="169"/>
    <x v="8"/>
    <x v="7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9"/>
    <d v="2017-08-03T00:00:00"/>
    <x v="0"/>
    <s v="NTE - ZONA NORTE"/>
    <s v="CONC - CONCESIONARIOS"/>
    <n v="1"/>
    <x v="89"/>
    <n v="1"/>
    <x v="169"/>
    <x v="8"/>
    <x v="8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8"/>
    <x v="9"/>
    <m/>
    <x v="92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9"/>
    <d v="2017-08-03T00:00:00"/>
    <x v="0"/>
    <s v="NTE - ZONA NORTE"/>
    <s v="CONC - CONCESIONARIOS"/>
    <n v="1"/>
    <x v="89"/>
    <n v="1"/>
    <x v="169"/>
    <x v="9"/>
    <x v="17"/>
    <m/>
    <x v="92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90"/>
    <d v="2017-08-04T00:00:00"/>
    <x v="1"/>
    <s v="NTE - ZONA NORTE"/>
    <s v="DIST - DISTRIBUIDORES"/>
    <n v="1"/>
    <x v="90"/>
    <n v="1"/>
    <x v="170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0"/>
    <d v="2017-08-04T00:00:00"/>
    <x v="1"/>
    <s v="NTE - ZONA NORTE"/>
    <s v="DIST - DISTRIBUIDORES"/>
    <n v="5"/>
    <x v="90"/>
    <n v="5"/>
    <x v="170"/>
    <x v="1"/>
    <x v="1"/>
    <m/>
    <x v="13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0"/>
    <d v="2017-08-04T00:00:00"/>
    <x v="1"/>
    <s v="NTE - ZONA NORTE"/>
    <s v="DIST - DISTRIBUIDORES"/>
    <n v="1"/>
    <x v="90"/>
    <n v="1"/>
    <x v="170"/>
    <x v="1"/>
    <x v="14"/>
    <m/>
    <x v="13"/>
    <x v="90"/>
    <n v="3360504"/>
    <m/>
    <n v="20422454"/>
    <n v="0"/>
    <x v="0"/>
    <x v="10"/>
    <x v="10"/>
    <x v="0"/>
    <n v="0"/>
    <x v="0"/>
    <x v="0"/>
    <s v="*CB-110                                           AZUL FIJI"/>
    <e v="#N/A"/>
    <s v=""/>
  </r>
  <r>
    <x v="190"/>
    <d v="2017-08-04T00:00:00"/>
    <x v="1"/>
    <s v="NTE - ZONA NORTE"/>
    <s v="DIST - DISTRIBUIDORES"/>
    <n v="5"/>
    <x v="90"/>
    <n v="5"/>
    <x v="170"/>
    <x v="2"/>
    <x v="15"/>
    <m/>
    <x v="13"/>
    <x v="90"/>
    <n v="5789916"/>
    <m/>
    <n v="20422454"/>
    <n v="0"/>
    <x v="0"/>
    <x v="10"/>
    <x v="11"/>
    <x v="0"/>
    <n v="0"/>
    <x v="0"/>
    <x v="0"/>
    <s v="*XR 150L                                          NEGRO ROJ"/>
    <e v="#N/A"/>
    <s v=""/>
  </r>
  <r>
    <x v="190"/>
    <d v="2017-08-04T00:00:00"/>
    <x v="1"/>
    <s v="NTE - ZONA NORTE"/>
    <s v="DIST - DISTRIBUIDORES"/>
    <n v="2"/>
    <x v="90"/>
    <n v="2"/>
    <x v="170"/>
    <x v="2"/>
    <x v="13"/>
    <m/>
    <x v="13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2"/>
    <x v="1"/>
    <m/>
    <x v="13"/>
    <x v="90"/>
    <n v="5789916"/>
    <m/>
    <n v="20422454"/>
    <n v="0"/>
    <x v="0"/>
    <x v="10"/>
    <x v="2"/>
    <x v="0"/>
    <n v="0"/>
    <x v="0"/>
    <x v="0"/>
    <s v="*XR 150L                                          NEGRO    "/>
    <e v="#N/A"/>
    <s v=""/>
  </r>
  <r>
    <x v="190"/>
    <d v="2017-08-04T00:00:00"/>
    <x v="1"/>
    <s v="NTE - ZONA NORTE"/>
    <s v="DIST - DISTRIBUIDORES"/>
    <n v="2"/>
    <x v="90"/>
    <n v="2"/>
    <x v="170"/>
    <x v="3"/>
    <x v="3"/>
    <m/>
    <x v="13"/>
    <x v="90"/>
    <n v="7554622"/>
    <m/>
    <n v="20422454"/>
    <n v="0"/>
    <x v="0"/>
    <x v="10"/>
    <x v="0"/>
    <x v="0"/>
    <n v="0"/>
    <x v="0"/>
    <x v="0"/>
    <s v="CB 190R                                           NEGRO ONI"/>
    <e v="#N/A"/>
    <s v=""/>
  </r>
  <r>
    <x v="190"/>
    <d v="2017-08-04T00:00:00"/>
    <x v="1"/>
    <s v="NTE - ZONA NORTE"/>
    <s v="DIST - DISTRIBUIDORES"/>
    <n v="2"/>
    <x v="90"/>
    <n v="2"/>
    <x v="170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5"/>
    <x v="8"/>
    <m/>
    <x v="13"/>
    <x v="90"/>
    <n v="6133613"/>
    <m/>
    <n v="20422454"/>
    <n v="0"/>
    <x v="0"/>
    <x v="10"/>
    <x v="0"/>
    <x v="0"/>
    <n v="0"/>
    <x v="0"/>
    <x v="0"/>
    <s v="CB 160F DLX                                       NEGRO PER"/>
    <e v="#N/A"/>
    <s v=""/>
  </r>
  <r>
    <x v="190"/>
    <d v="2017-08-04T00:00:00"/>
    <x v="1"/>
    <s v="NTE - ZONA NORTE"/>
    <s v="DIST - DISTRIBUIDORES"/>
    <n v="1"/>
    <x v="90"/>
    <n v="1"/>
    <x v="170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0"/>
    <d v="2017-08-04T00:00:00"/>
    <x v="1"/>
    <s v="NTE - ZONA NORTE"/>
    <s v="DIST - DISTRIBUIDORES"/>
    <n v="2"/>
    <x v="90"/>
    <n v="2"/>
    <x v="170"/>
    <x v="6"/>
    <x v="0"/>
    <m/>
    <x v="13"/>
    <x v="90"/>
    <n v="3521008"/>
    <m/>
    <n v="20422454"/>
    <n v="0"/>
    <x v="0"/>
    <x v="10"/>
    <x v="7"/>
    <x v="0"/>
    <n v="0"/>
    <x v="0"/>
    <x v="0"/>
    <s v="DIO  110                                          BLANCO NE"/>
    <e v="#N/A"/>
    <s v=""/>
  </r>
  <r>
    <x v="190"/>
    <d v="2017-08-04T00:00:00"/>
    <x v="1"/>
    <s v="NTE - ZONA NORTE"/>
    <s v="DIST - DISTRIBUIDORES"/>
    <n v="1"/>
    <x v="90"/>
    <n v="1"/>
    <x v="170"/>
    <x v="6"/>
    <x v="16"/>
    <m/>
    <x v="13"/>
    <x v="90"/>
    <n v="3521008"/>
    <m/>
    <n v="20422454"/>
    <n v="0"/>
    <x v="0"/>
    <x v="10"/>
    <x v="0"/>
    <x v="0"/>
    <n v="0"/>
    <x v="0"/>
    <x v="0"/>
    <s v="DIO  110                                          AZUL     "/>
    <e v="#N/A"/>
    <s v=""/>
  </r>
  <r>
    <x v="190"/>
    <d v="2017-08-04T00:00:00"/>
    <x v="1"/>
    <s v="NTE - ZONA NORTE"/>
    <s v="DIST - DISTRIBUIDORES"/>
    <n v="3"/>
    <x v="90"/>
    <n v="3"/>
    <x v="170"/>
    <x v="10"/>
    <x v="15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ROJ"/>
    <e v="#N/A"/>
    <s v=""/>
  </r>
  <r>
    <x v="190"/>
    <d v="2017-08-04T00:00:00"/>
    <x v="1"/>
    <s v="NTE - ZONA NORTE"/>
    <s v="DIST - DISTRIBUIDORES"/>
    <n v="5"/>
    <x v="90"/>
    <n v="5"/>
    <x v="170"/>
    <x v="10"/>
    <x v="20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AZU"/>
    <e v="#N/A"/>
    <s v=""/>
  </r>
  <r>
    <x v="190"/>
    <d v="2017-08-04T00:00:00"/>
    <x v="1"/>
    <s v="NTE - ZONA NORTE"/>
    <s v="DIST - DISTRIBUIDORES"/>
    <n v="2"/>
    <x v="90"/>
    <n v="2"/>
    <x v="170"/>
    <x v="10"/>
    <x v="12"/>
    <m/>
    <x v="13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0"/>
    <d v="2017-08-04T00:00:00"/>
    <x v="1"/>
    <s v="NTE - ZONA NORTE"/>
    <s v="DIST - DISTRIBUIDORES"/>
    <n v="1"/>
    <x v="90"/>
    <n v="1"/>
    <x v="170"/>
    <x v="7"/>
    <x v="6"/>
    <m/>
    <x v="13"/>
    <x v="90"/>
    <n v="3941176"/>
    <m/>
    <n v="20422454"/>
    <n v="0"/>
    <x v="0"/>
    <x v="10"/>
    <x v="0"/>
    <x v="0"/>
    <n v="0"/>
    <x v="0"/>
    <x v="0"/>
    <s v="WAVE 110S                                         ROJO     "/>
    <e v="#N/A"/>
    <s v=""/>
  </r>
  <r>
    <x v="190"/>
    <d v="2017-08-04T00:00:00"/>
    <x v="1"/>
    <s v="NTE - ZONA NORTE"/>
    <s v="DIST - DISTRIBUIDORES"/>
    <n v="1"/>
    <x v="90"/>
    <n v="1"/>
    <x v="170"/>
    <x v="7"/>
    <x v="11"/>
    <m/>
    <x v="13"/>
    <x v="90"/>
    <n v="3941176"/>
    <m/>
    <n v="20422454"/>
    <n v="0"/>
    <x v="0"/>
    <x v="10"/>
    <x v="7"/>
    <x v="0"/>
    <n v="0"/>
    <x v="0"/>
    <x v="0"/>
    <s v="WAVE 110S                                         BLANCO   "/>
    <e v="#N/A"/>
    <s v=""/>
  </r>
  <r>
    <x v="190"/>
    <d v="2017-08-04T00:00:00"/>
    <x v="1"/>
    <s v="NTE - ZONA NORTE"/>
    <s v="DIST - DISTRIBUIDORES"/>
    <n v="1"/>
    <x v="90"/>
    <n v="1"/>
    <x v="170"/>
    <x v="9"/>
    <x v="6"/>
    <m/>
    <x v="13"/>
    <x v="90"/>
    <n v="3696639"/>
    <m/>
    <n v="20422454"/>
    <n v="0"/>
    <x v="0"/>
    <x v="10"/>
    <x v="14"/>
    <x v="0"/>
    <n v="0"/>
    <x v="0"/>
    <x v="0"/>
    <s v="CB 110 DLX                                        ROJO     "/>
    <e v="#N/A"/>
    <s v=""/>
  </r>
  <r>
    <x v="190"/>
    <d v="2017-08-04T00:00:00"/>
    <x v="1"/>
    <s v="NTE - ZONA NORTE"/>
    <s v="DIST - DISTRIBUIDORES"/>
    <n v="3"/>
    <x v="90"/>
    <n v="3"/>
    <x v="170"/>
    <x v="9"/>
    <x v="1"/>
    <m/>
    <x v="13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1"/>
    <d v="2017-08-04T00:00:00"/>
    <x v="0"/>
    <s v="NTE - ZONA NORTE"/>
    <s v="DIST - DISTRIBUIDORES"/>
    <n v="1"/>
    <x v="90"/>
    <n v="1"/>
    <x v="171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1"/>
    <d v="2017-08-04T00:00:00"/>
    <x v="0"/>
    <s v="NTE - ZONA NORTE"/>
    <s v="DIST - DISTRIBUIDORES"/>
    <n v="1"/>
    <x v="90"/>
    <n v="1"/>
    <x v="171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1"/>
    <d v="2017-08-04T00:00:00"/>
    <x v="0"/>
    <s v="NTE - ZONA NORTE"/>
    <s v="DIST - DISTRIBUIDORES"/>
    <n v="1"/>
    <x v="90"/>
    <n v="1"/>
    <x v="171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1"/>
    <x v="7"/>
    <m/>
    <x v="126"/>
    <x v="90"/>
    <n v="3360504"/>
    <m/>
    <n v="20422454"/>
    <n v="0"/>
    <x v="0"/>
    <x v="22"/>
    <x v="9"/>
    <x v="0"/>
    <n v="0"/>
    <x v="0"/>
    <x v="0"/>
    <s v="*CB-110                                           ROJO SPOR"/>
    <e v="#N/A"/>
    <s v=""/>
  </r>
  <r>
    <x v="192"/>
    <d v="2017-08-04T00:00:00"/>
    <x v="1"/>
    <s v="NTE - ZONA NORTE"/>
    <s v="DIST - DISTRIBUIDORES"/>
    <n v="3"/>
    <x v="90"/>
    <n v="3"/>
    <x v="172"/>
    <x v="1"/>
    <x v="1"/>
    <m/>
    <x v="126"/>
    <x v="90"/>
    <n v="3360504"/>
    <m/>
    <n v="20422454"/>
    <n v="0"/>
    <x v="0"/>
    <x v="22"/>
    <x v="1"/>
    <x v="0"/>
    <n v="0"/>
    <x v="0"/>
    <x v="0"/>
    <s v="*CB-110 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2"/>
    <x v="15"/>
    <m/>
    <x v="126"/>
    <x v="90"/>
    <n v="5789916"/>
    <m/>
    <n v="20422454"/>
    <n v="0"/>
    <x v="0"/>
    <x v="22"/>
    <x v="11"/>
    <x v="0"/>
    <n v="0"/>
    <x v="0"/>
    <x v="0"/>
    <s v="*XR 150L                                          NEGRO ROJ"/>
    <e v="#N/A"/>
    <s v=""/>
  </r>
  <r>
    <x v="192"/>
    <d v="2017-08-04T00:00:00"/>
    <x v="1"/>
    <s v="NTE - ZONA NORTE"/>
    <s v="DIST - DISTRIBUIDORES"/>
    <n v="1"/>
    <x v="90"/>
    <n v="1"/>
    <x v="172"/>
    <x v="2"/>
    <x v="13"/>
    <m/>
    <x v="126"/>
    <x v="90"/>
    <n v="5789916"/>
    <m/>
    <n v="20422454"/>
    <n v="0"/>
    <x v="0"/>
    <x v="22"/>
    <x v="8"/>
    <x v="0"/>
    <n v="0"/>
    <x v="0"/>
    <x v="0"/>
    <s v="*XR 150L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2"/>
    <x v="1"/>
    <m/>
    <x v="126"/>
    <x v="90"/>
    <n v="5789916"/>
    <m/>
    <n v="20422454"/>
    <n v="0"/>
    <x v="0"/>
    <x v="22"/>
    <x v="2"/>
    <x v="0"/>
    <n v="0"/>
    <x v="0"/>
    <x v="0"/>
    <s v="*XR 150L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11"/>
    <x v="13"/>
    <m/>
    <x v="126"/>
    <x v="90"/>
    <n v="3521008"/>
    <m/>
    <n v="20422454"/>
    <n v="0"/>
    <x v="0"/>
    <x v="22"/>
    <x v="12"/>
    <x v="0"/>
    <n v="0"/>
    <x v="0"/>
    <x v="0"/>
    <s v="DIO 110 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6"/>
    <x v="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6"/>
    <x v="1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AZUL     "/>
    <e v="#N/A"/>
    <s v=""/>
  </r>
  <r>
    <x v="192"/>
    <d v="2017-08-04T00:00:00"/>
    <x v="1"/>
    <s v="NTE - ZONA NORTE"/>
    <s v="DIST - DISTRIBUIDORES"/>
    <n v="2"/>
    <x v="90"/>
    <n v="2"/>
    <x v="172"/>
    <x v="10"/>
    <x v="15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ROJ"/>
    <e v="#N/A"/>
    <s v=""/>
  </r>
  <r>
    <x v="192"/>
    <d v="2017-08-04T00:00:00"/>
    <x v="1"/>
    <s v="NTE - ZONA NORTE"/>
    <s v="DIST - DISTRIBUIDORES"/>
    <n v="2"/>
    <x v="90"/>
    <n v="2"/>
    <x v="172"/>
    <x v="10"/>
    <x v="20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AZU"/>
    <e v="#N/A"/>
    <s v=""/>
  </r>
  <r>
    <x v="192"/>
    <d v="2017-08-04T00:00:00"/>
    <x v="1"/>
    <s v="NTE - ZONA NORTE"/>
    <s v="DIST - DISTRIBUIDORES"/>
    <n v="1"/>
    <x v="90"/>
    <n v="1"/>
    <x v="172"/>
    <x v="10"/>
    <x v="12"/>
    <m/>
    <x v="126"/>
    <x v="90"/>
    <n v="3067227"/>
    <m/>
    <n v="20422454"/>
    <n v="0"/>
    <x v="0"/>
    <x v="22"/>
    <x v="0"/>
    <x v="0"/>
    <n v="0"/>
    <x v="0"/>
    <x v="0"/>
    <s v="DREAM  NEO                                        ROJO ALFA"/>
    <e v="#N/A"/>
    <s v=""/>
  </r>
  <r>
    <x v="192"/>
    <d v="2017-08-04T00:00:00"/>
    <x v="1"/>
    <s v="NTE - ZONA NORTE"/>
    <s v="DIST - DISTRIBUIDORES"/>
    <n v="1"/>
    <x v="90"/>
    <n v="1"/>
    <x v="172"/>
    <x v="7"/>
    <x v="6"/>
    <m/>
    <x v="126"/>
    <x v="90"/>
    <n v="3941176"/>
    <m/>
    <n v="20422454"/>
    <n v="0"/>
    <x v="0"/>
    <x v="22"/>
    <x v="0"/>
    <x v="0"/>
    <n v="0"/>
    <x v="0"/>
    <x v="0"/>
    <s v="WAVE 110S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7"/>
    <x v="1"/>
    <m/>
    <x v="126"/>
    <x v="90"/>
    <n v="3941176"/>
    <m/>
    <n v="20422454"/>
    <n v="0"/>
    <x v="0"/>
    <x v="22"/>
    <x v="0"/>
    <x v="0"/>
    <n v="0"/>
    <x v="0"/>
    <x v="0"/>
    <s v="WAVE 110S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9"/>
    <x v="6"/>
    <m/>
    <x v="126"/>
    <x v="90"/>
    <n v="3696639"/>
    <m/>
    <n v="20422454"/>
    <n v="0"/>
    <x v="0"/>
    <x v="22"/>
    <x v="14"/>
    <x v="0"/>
    <n v="0"/>
    <x v="0"/>
    <x v="0"/>
    <s v="CB 110 DLX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9"/>
    <x v="1"/>
    <m/>
    <x v="126"/>
    <x v="90"/>
    <n v="3696639"/>
    <m/>
    <n v="20422454"/>
    <n v="0"/>
    <x v="0"/>
    <x v="22"/>
    <x v="2"/>
    <x v="0"/>
    <n v="0"/>
    <x v="0"/>
    <x v="0"/>
    <s v="CB 110 DLX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1"/>
    <x v="1"/>
    <m/>
    <x v="127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3"/>
    <d v="2017-08-04T00:00:00"/>
    <x v="1"/>
    <s v="NTE - ZONA NORTE"/>
    <s v="DIST - DISTRIBUIDORES"/>
    <n v="2"/>
    <x v="90"/>
    <n v="2"/>
    <x v="173"/>
    <x v="2"/>
    <x v="13"/>
    <m/>
    <x v="127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1"/>
    <x v="13"/>
    <m/>
    <x v="127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0"/>
    <x v="12"/>
    <m/>
    <x v="127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3"/>
    <d v="2017-08-04T00:00:00"/>
    <x v="1"/>
    <s v="NTE - ZONA NORTE"/>
    <s v="DIST - DISTRIBUIDORES"/>
    <n v="1"/>
    <x v="90"/>
    <n v="1"/>
    <x v="173"/>
    <x v="7"/>
    <x v="1"/>
    <m/>
    <x v="127"/>
    <x v="90"/>
    <n v="3941176"/>
    <m/>
    <n v="20422454"/>
    <n v="0"/>
    <x v="0"/>
    <x v="10"/>
    <x v="0"/>
    <x v="0"/>
    <n v="0"/>
    <x v="0"/>
    <x v="0"/>
    <s v="WAVE 110S 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8"/>
    <x v="8"/>
    <m/>
    <x v="127"/>
    <x v="90"/>
    <n v="5453782"/>
    <m/>
    <n v="20422454"/>
    <n v="0"/>
    <x v="0"/>
    <x v="10"/>
    <x v="0"/>
    <x v="0"/>
    <n v="0"/>
    <x v="0"/>
    <x v="0"/>
    <s v="CB 160F STD                                       NEGRO PER"/>
    <e v="#N/A"/>
    <s v=""/>
  </r>
  <r>
    <x v="193"/>
    <d v="2017-08-04T00:00:00"/>
    <x v="1"/>
    <s v="NTE - ZONA NORTE"/>
    <s v="DIST - DISTRIBUIDORES"/>
    <n v="1"/>
    <x v="90"/>
    <n v="1"/>
    <x v="173"/>
    <x v="9"/>
    <x v="1"/>
    <m/>
    <x v="127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4"/>
    <d v="2017-08-04T00:00:00"/>
    <x v="1"/>
    <s v="NTE - ZONA NORTE"/>
    <s v="DIST - DISTRIBUIDORES"/>
    <n v="1"/>
    <x v="90"/>
    <n v="1"/>
    <x v="174"/>
    <x v="4"/>
    <x v="4"/>
    <m/>
    <x v="128"/>
    <x v="90"/>
    <n v="7730252"/>
    <m/>
    <n v="20422454"/>
    <n v="0"/>
    <x v="0"/>
    <x v="34"/>
    <x v="4"/>
    <x v="0"/>
    <n v="0"/>
    <x v="0"/>
    <x v="0"/>
    <s v="CB 190 REPSOL                                     NARANJA B"/>
    <e v="#N/A"/>
    <s v=""/>
  </r>
  <r>
    <x v="194"/>
    <d v="2017-08-04T00:00:00"/>
    <x v="1"/>
    <s v="NTE - ZONA NORTE"/>
    <s v="DIST - DISTRIBUIDORES"/>
    <n v="2"/>
    <x v="90"/>
    <n v="2"/>
    <x v="174"/>
    <x v="5"/>
    <x v="8"/>
    <m/>
    <x v="128"/>
    <x v="90"/>
    <n v="6133613"/>
    <m/>
    <n v="20422454"/>
    <n v="0"/>
    <x v="0"/>
    <x v="34"/>
    <x v="0"/>
    <x v="0"/>
    <n v="0"/>
    <x v="0"/>
    <x v="0"/>
    <s v="CB 160F DLX                                       NEGRO PER"/>
    <e v="#N/A"/>
    <s v=""/>
  </r>
  <r>
    <x v="194"/>
    <d v="2017-08-04T00:00:00"/>
    <x v="1"/>
    <s v="NTE - ZONA NORTE"/>
    <s v="DIST - DISTRIBUIDORES"/>
    <n v="1"/>
    <x v="90"/>
    <n v="1"/>
    <x v="174"/>
    <x v="10"/>
    <x v="20"/>
    <m/>
    <x v="128"/>
    <x v="90"/>
    <n v="3067227"/>
    <m/>
    <n v="20422454"/>
    <n v="0"/>
    <x v="0"/>
    <x v="34"/>
    <x v="0"/>
    <x v="0"/>
    <n v="0"/>
    <x v="0"/>
    <x v="0"/>
    <s v="DREAM  NEO                                        NEGRO AZU"/>
    <e v="#N/A"/>
    <s v=""/>
  </r>
  <r>
    <x v="194"/>
    <d v="2017-08-04T00:00:00"/>
    <x v="1"/>
    <s v="NTE - ZONA NORTE"/>
    <s v="DIST - DISTRIBUIDORES"/>
    <n v="1"/>
    <x v="90"/>
    <n v="1"/>
    <x v="174"/>
    <x v="10"/>
    <x v="12"/>
    <m/>
    <x v="128"/>
    <x v="90"/>
    <n v="3067227"/>
    <m/>
    <n v="20422454"/>
    <n v="0"/>
    <x v="0"/>
    <x v="34"/>
    <x v="0"/>
    <x v="0"/>
    <n v="0"/>
    <x v="0"/>
    <x v="0"/>
    <s v="DREAM  NEO                                        ROJO ALFA"/>
    <e v="#N/A"/>
    <s v=""/>
  </r>
  <r>
    <x v="194"/>
    <d v="2017-08-04T00:00:00"/>
    <x v="1"/>
    <s v="NTE - ZONA NORTE"/>
    <s v="DIST - DISTRIBUIDORES"/>
    <n v="1"/>
    <x v="90"/>
    <n v="1"/>
    <x v="174"/>
    <x v="7"/>
    <x v="1"/>
    <m/>
    <x v="128"/>
    <x v="90"/>
    <n v="3941176"/>
    <m/>
    <n v="20422454"/>
    <n v="0"/>
    <x v="0"/>
    <x v="34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2"/>
    <x v="91"/>
    <n v="2"/>
    <x v="175"/>
    <x v="1"/>
    <x v="18"/>
    <m/>
    <x v="129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5"/>
    <d v="2017-08-04T00:00:00"/>
    <x v="0"/>
    <s v="SURO - SUR OCCIDENTE"/>
    <s v="CONC - CONCESIONARIOS"/>
    <n v="3"/>
    <x v="91"/>
    <n v="3"/>
    <x v="175"/>
    <x v="1"/>
    <x v="1"/>
    <m/>
    <x v="129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1"/>
    <x v="14"/>
    <m/>
    <x v="129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5"/>
    <d v="2017-08-04T00:00:00"/>
    <x v="0"/>
    <s v="SURO - SUR OCCIDENTE"/>
    <s v="CONC - CONCESIONARIOS"/>
    <n v="1"/>
    <x v="91"/>
    <n v="1"/>
    <x v="175"/>
    <x v="2"/>
    <x v="15"/>
    <m/>
    <x v="129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5"/>
    <d v="2017-08-04T00:00:00"/>
    <x v="0"/>
    <s v="SURO - SUR OCCIDENTE"/>
    <s v="CONC - CONCESIONARIOS"/>
    <n v="1"/>
    <x v="91"/>
    <n v="1"/>
    <x v="175"/>
    <x v="2"/>
    <x v="1"/>
    <m/>
    <x v="129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4"/>
    <x v="4"/>
    <m/>
    <x v="129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5"/>
    <d v="2017-08-04T00:00:00"/>
    <x v="0"/>
    <s v="SURO - SUR OCCIDENTE"/>
    <s v="CONC - CONCESIONARIOS"/>
    <n v="1"/>
    <x v="91"/>
    <n v="1"/>
    <x v="175"/>
    <x v="6"/>
    <x v="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5"/>
    <d v="2017-08-04T00:00:00"/>
    <x v="0"/>
    <s v="SURO - SUR OCCIDENTE"/>
    <s v="CONC - CONCESIONARIOS"/>
    <n v="1"/>
    <x v="91"/>
    <n v="1"/>
    <x v="175"/>
    <x v="6"/>
    <x v="1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5"/>
    <d v="2017-08-04T00:00:00"/>
    <x v="0"/>
    <s v="SURO - SUR OCCIDENTE"/>
    <s v="CONC - CONCESIONARIOS"/>
    <n v="1"/>
    <x v="91"/>
    <n v="1"/>
    <x v="175"/>
    <x v="14"/>
    <x v="3"/>
    <m/>
    <x v="129"/>
    <x v="91"/>
    <n v="7730252"/>
    <m/>
    <n v="211189076"/>
    <n v="0"/>
    <x v="0"/>
    <x v="5"/>
    <x v="0"/>
    <x v="0"/>
    <n v="0"/>
    <x v="0"/>
    <x v="0"/>
    <s v="CB 190R INSTINTO R                                NEGRO ONI"/>
    <e v="#N/A"/>
    <s v=""/>
  </r>
  <r>
    <x v="195"/>
    <d v="2017-08-04T00:00:00"/>
    <x v="0"/>
    <s v="SURO - SUR OCCIDENTE"/>
    <s v="CONC - CONCESIONARIOS"/>
    <n v="1"/>
    <x v="91"/>
    <n v="1"/>
    <x v="175"/>
    <x v="10"/>
    <x v="12"/>
    <m/>
    <x v="129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5"/>
    <d v="2017-08-04T00:00:00"/>
    <x v="0"/>
    <s v="SURO - SUR OCCIDENTE"/>
    <s v="CONC - CONCESIONARIOS"/>
    <n v="2"/>
    <x v="91"/>
    <n v="2"/>
    <x v="175"/>
    <x v="10"/>
    <x v="15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5"/>
    <d v="2017-08-04T00:00:00"/>
    <x v="0"/>
    <s v="SURO - SUR OCCIDENTE"/>
    <s v="CONC - CONCESIONARIOS"/>
    <n v="2"/>
    <x v="91"/>
    <n v="2"/>
    <x v="175"/>
    <x v="10"/>
    <x v="20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5"/>
    <d v="2017-08-04T00:00:00"/>
    <x v="0"/>
    <s v="SURO - SUR OCCIDENTE"/>
    <s v="CONC - CONCESIONARIOS"/>
    <n v="2"/>
    <x v="91"/>
    <n v="2"/>
    <x v="175"/>
    <x v="7"/>
    <x v="1"/>
    <m/>
    <x v="129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9"/>
    <x v="17"/>
    <m/>
    <x v="129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5"/>
    <d v="2017-08-04T00:00:00"/>
    <x v="0"/>
    <s v="SURO - SUR OCCIDENTE"/>
    <s v="CONC - CONCESIONARIOS"/>
    <n v="1"/>
    <x v="91"/>
    <n v="1"/>
    <x v="175"/>
    <x v="9"/>
    <x v="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5"/>
    <d v="2017-08-04T00:00:00"/>
    <x v="0"/>
    <s v="SURO - SUR OCCIDENTE"/>
    <s v="CONC - CONCESIONARIOS"/>
    <n v="2"/>
    <x v="91"/>
    <n v="2"/>
    <x v="175"/>
    <x v="9"/>
    <x v="1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2"/>
    <x v="91"/>
    <n v="2"/>
    <x v="176"/>
    <x v="1"/>
    <x v="18"/>
    <m/>
    <x v="130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6"/>
    <d v="2017-08-04T00:00:00"/>
    <x v="0"/>
    <s v="SURO - SUR OCCIDENTE"/>
    <s v="CONC - CONCESIONARIOS"/>
    <n v="1"/>
    <x v="91"/>
    <n v="1"/>
    <x v="176"/>
    <x v="1"/>
    <x v="7"/>
    <m/>
    <x v="130"/>
    <x v="91"/>
    <n v="3360504"/>
    <m/>
    <n v="211189076"/>
    <n v="0"/>
    <x v="0"/>
    <x v="5"/>
    <x v="9"/>
    <x v="0"/>
    <n v="0"/>
    <x v="0"/>
    <x v="0"/>
    <s v="*CB-110                                           ROJO SPOR"/>
    <e v="#N/A"/>
    <s v=""/>
  </r>
  <r>
    <x v="196"/>
    <d v="2017-08-04T00:00:00"/>
    <x v="0"/>
    <s v="SURO - SUR OCCIDENTE"/>
    <s v="CONC - CONCESIONARIOS"/>
    <n v="3"/>
    <x v="91"/>
    <n v="3"/>
    <x v="176"/>
    <x v="1"/>
    <x v="1"/>
    <m/>
    <x v="130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1"/>
    <x v="23"/>
    <m/>
    <x v="130"/>
    <x v="91"/>
    <n v="3360504"/>
    <m/>
    <n v="211189076"/>
    <n v="0"/>
    <x v="0"/>
    <x v="5"/>
    <x v="0"/>
    <x v="0"/>
    <n v="0"/>
    <x v="0"/>
    <x v="0"/>
    <s v="*CB-110                                           VERDE CAN"/>
    <e v="#N/A"/>
    <s v=""/>
  </r>
  <r>
    <x v="196"/>
    <d v="2017-08-04T00:00:00"/>
    <x v="0"/>
    <s v="SURO - SUR OCCIDENTE"/>
    <s v="CONC - CONCESIONARIOS"/>
    <n v="2"/>
    <x v="91"/>
    <n v="2"/>
    <x v="176"/>
    <x v="1"/>
    <x v="14"/>
    <m/>
    <x v="130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6"/>
    <d v="2017-08-04T00:00:00"/>
    <x v="0"/>
    <s v="SURO - SUR OCCIDENTE"/>
    <s v="CONC - CONCESIONARIOS"/>
    <n v="1"/>
    <x v="91"/>
    <n v="1"/>
    <x v="176"/>
    <x v="2"/>
    <x v="15"/>
    <m/>
    <x v="130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2"/>
    <x v="13"/>
    <m/>
    <x v="130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6"/>
    <d v="2017-08-04T00:00:00"/>
    <x v="0"/>
    <s v="SURO - SUR OCCIDENTE"/>
    <s v="CONC - CONCESIONARIOS"/>
    <n v="1"/>
    <x v="91"/>
    <n v="1"/>
    <x v="176"/>
    <x v="2"/>
    <x v="1"/>
    <m/>
    <x v="130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3"/>
    <x v="2"/>
    <m/>
    <x v="130"/>
    <x v="91"/>
    <n v="7554622"/>
    <m/>
    <n v="211189076"/>
    <n v="0"/>
    <x v="0"/>
    <x v="5"/>
    <x v="3"/>
    <x v="0"/>
    <n v="0"/>
    <x v="0"/>
    <x v="0"/>
    <s v="CB 190R                                           ROJO NEGR"/>
    <e v="#N/A"/>
    <s v=""/>
  </r>
  <r>
    <x v="196"/>
    <d v="2017-08-04T00:00:00"/>
    <x v="0"/>
    <s v="SURO - SUR OCCIDENTE"/>
    <s v="CONC - CONCESIONARIOS"/>
    <n v="1"/>
    <x v="91"/>
    <n v="1"/>
    <x v="176"/>
    <x v="3"/>
    <x v="3"/>
    <m/>
    <x v="130"/>
    <x v="91"/>
    <n v="7554622"/>
    <m/>
    <n v="211189076"/>
    <n v="0"/>
    <x v="0"/>
    <x v="5"/>
    <x v="0"/>
    <x v="0"/>
    <n v="0"/>
    <x v="0"/>
    <x v="0"/>
    <s v="CB 190R                                           NEGRO ONI"/>
    <e v="#N/A"/>
    <s v=""/>
  </r>
  <r>
    <x v="196"/>
    <d v="2017-08-04T00:00:00"/>
    <x v="0"/>
    <s v="SURO - SUR OCCIDENTE"/>
    <s v="CONC - CONCESIONARIOS"/>
    <n v="1"/>
    <x v="91"/>
    <n v="1"/>
    <x v="176"/>
    <x v="4"/>
    <x v="4"/>
    <m/>
    <x v="130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6"/>
    <d v="2017-08-04T00:00:00"/>
    <x v="0"/>
    <s v="SURO - SUR OCCIDENTE"/>
    <s v="CONC - CONCESIONARIOS"/>
    <n v="1"/>
    <x v="91"/>
    <n v="1"/>
    <x v="176"/>
    <x v="5"/>
    <x v="5"/>
    <m/>
    <x v="130"/>
    <x v="91"/>
    <n v="6133613"/>
    <m/>
    <n v="211189076"/>
    <n v="0"/>
    <x v="0"/>
    <x v="5"/>
    <x v="2"/>
    <x v="0"/>
    <n v="0"/>
    <x v="0"/>
    <x v="0"/>
    <s v="CB 160F DLX                                       NARANJA N"/>
    <e v="#N/A"/>
    <s v=""/>
  </r>
  <r>
    <x v="196"/>
    <d v="2017-08-04T00:00:00"/>
    <x v="0"/>
    <s v="SURO - SUR OCCIDENTE"/>
    <s v="CONC - CONCESIONARIOS"/>
    <n v="1"/>
    <x v="91"/>
    <n v="1"/>
    <x v="176"/>
    <x v="10"/>
    <x v="15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10"/>
    <x v="20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6"/>
    <d v="2017-08-04T00:00:00"/>
    <x v="0"/>
    <s v="SURO - SUR OCCIDENTE"/>
    <s v="CONC - CONCESIONARIOS"/>
    <n v="1"/>
    <x v="91"/>
    <n v="1"/>
    <x v="176"/>
    <x v="8"/>
    <x v="8"/>
    <m/>
    <x v="130"/>
    <x v="91"/>
    <n v="5453782"/>
    <m/>
    <n v="211189076"/>
    <n v="0"/>
    <x v="0"/>
    <x v="5"/>
    <x v="0"/>
    <x v="0"/>
    <n v="0"/>
    <x v="0"/>
    <x v="0"/>
    <s v="CB 160F STD                                       NEGRO PER"/>
    <e v="#N/A"/>
    <s v=""/>
  </r>
  <r>
    <x v="196"/>
    <d v="2017-08-04T00:00:00"/>
    <x v="0"/>
    <s v="SURO - SUR OCCIDENTE"/>
    <s v="CONC - CONCESIONARIOS"/>
    <n v="3"/>
    <x v="91"/>
    <n v="3"/>
    <x v="176"/>
    <x v="9"/>
    <x v="17"/>
    <m/>
    <x v="130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6"/>
    <d v="2017-08-04T00:00:00"/>
    <x v="0"/>
    <s v="SURO - SUR OCCIDENTE"/>
    <s v="CONC - CONCESIONARIOS"/>
    <n v="1"/>
    <x v="91"/>
    <n v="1"/>
    <x v="176"/>
    <x v="9"/>
    <x v="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6"/>
    <d v="2017-08-04T00:00:00"/>
    <x v="0"/>
    <s v="SURO - SUR OCCIDENTE"/>
    <s v="CONC - CONCESIONARIOS"/>
    <n v="3"/>
    <x v="91"/>
    <n v="3"/>
    <x v="176"/>
    <x v="9"/>
    <x v="1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5"/>
    <x v="91"/>
    <n v="5"/>
    <x v="176"/>
    <x v="9"/>
    <x v="1"/>
    <m/>
    <x v="130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1"/>
    <x v="18"/>
    <m/>
    <x v="31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7"/>
    <d v="2017-08-04T00:00:00"/>
    <x v="0"/>
    <s v="SURO - SUR OCCIDENTE"/>
    <s v="CONC - CONCESIONARIOS"/>
    <n v="3"/>
    <x v="91"/>
    <n v="3"/>
    <x v="177"/>
    <x v="1"/>
    <x v="1"/>
    <m/>
    <x v="31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7"/>
    <d v="2017-08-04T00:00:00"/>
    <x v="0"/>
    <s v="SURO - SUR OCCIDENTE"/>
    <s v="CONC - CONCESIONARIOS"/>
    <n v="2"/>
    <x v="91"/>
    <n v="2"/>
    <x v="177"/>
    <x v="1"/>
    <x v="14"/>
    <m/>
    <x v="31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7"/>
    <d v="2017-08-04T00:00:00"/>
    <x v="0"/>
    <s v="SURO - SUR OCCIDENTE"/>
    <s v="CONC - CONCESIONARIOS"/>
    <n v="3"/>
    <x v="91"/>
    <n v="3"/>
    <x v="177"/>
    <x v="2"/>
    <x v="15"/>
    <m/>
    <x v="31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7"/>
    <d v="2017-08-04T00:00:00"/>
    <x v="0"/>
    <s v="SURO - SUR OCCIDENTE"/>
    <s v="CONC - CONCESIONARIOS"/>
    <n v="2"/>
    <x v="91"/>
    <n v="2"/>
    <x v="177"/>
    <x v="2"/>
    <x v="13"/>
    <m/>
    <x v="31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7"/>
    <d v="2017-08-04T00:00:00"/>
    <x v="0"/>
    <s v="SURO - SUR OCCIDENTE"/>
    <s v="CONC - CONCESIONARIOS"/>
    <n v="1"/>
    <x v="91"/>
    <n v="1"/>
    <x v="177"/>
    <x v="2"/>
    <x v="1"/>
    <m/>
    <x v="31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4"/>
    <x v="4"/>
    <m/>
    <x v="31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7"/>
    <d v="2017-08-04T00:00:00"/>
    <x v="0"/>
    <s v="SURO - SUR OCCIDENTE"/>
    <s v="CONC - CONCESIONARIOS"/>
    <n v="1"/>
    <x v="91"/>
    <n v="1"/>
    <x v="177"/>
    <x v="5"/>
    <x v="7"/>
    <m/>
    <x v="31"/>
    <x v="91"/>
    <n v="6133613"/>
    <m/>
    <n v="211189076"/>
    <n v="0"/>
    <x v="0"/>
    <x v="5"/>
    <x v="13"/>
    <x v="0"/>
    <n v="0"/>
    <x v="0"/>
    <x v="0"/>
    <s v="CB 160F DLX                                       ROJO SPOR"/>
    <e v="#N/A"/>
    <s v=""/>
  </r>
  <r>
    <x v="197"/>
    <d v="2017-08-04T00:00:00"/>
    <x v="0"/>
    <s v="SURO - SUR OCCIDENTE"/>
    <s v="CONC - CONCESIONARIOS"/>
    <n v="1"/>
    <x v="91"/>
    <n v="1"/>
    <x v="177"/>
    <x v="5"/>
    <x v="8"/>
    <m/>
    <x v="31"/>
    <x v="91"/>
    <n v="6133613"/>
    <m/>
    <n v="211189076"/>
    <n v="0"/>
    <x v="0"/>
    <x v="5"/>
    <x v="0"/>
    <x v="0"/>
    <n v="0"/>
    <x v="0"/>
    <x v="0"/>
    <s v="CB 160F DLX                                       NEGRO PER"/>
    <e v="#N/A"/>
    <s v=""/>
  </r>
  <r>
    <x v="197"/>
    <d v="2017-08-04T00:00:00"/>
    <x v="0"/>
    <s v="SURO - SUR OCCIDENTE"/>
    <s v="CONC - CONCESIONARIOS"/>
    <n v="1"/>
    <x v="91"/>
    <n v="1"/>
    <x v="177"/>
    <x v="6"/>
    <x v="6"/>
    <m/>
    <x v="31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6"/>
    <x v="16"/>
    <m/>
    <x v="31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7"/>
    <d v="2017-08-04T00:00:00"/>
    <x v="0"/>
    <s v="SURO - SUR OCCIDENTE"/>
    <s v="CONC - CONCESIONARIOS"/>
    <n v="2"/>
    <x v="91"/>
    <n v="2"/>
    <x v="177"/>
    <x v="10"/>
    <x v="12"/>
    <m/>
    <x v="31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7"/>
    <d v="2017-08-04T00:00:00"/>
    <x v="0"/>
    <s v="SURO - SUR OCCIDENTE"/>
    <s v="CONC - CONCESIONARIOS"/>
    <n v="3"/>
    <x v="91"/>
    <n v="3"/>
    <x v="177"/>
    <x v="10"/>
    <x v="20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7"/>
    <d v="2017-08-04T00:00:00"/>
    <x v="0"/>
    <s v="SURO - SUR OCCIDENTE"/>
    <s v="CONC - CONCESIONARIOS"/>
    <n v="2"/>
    <x v="91"/>
    <n v="2"/>
    <x v="177"/>
    <x v="10"/>
    <x v="15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7"/>
    <d v="2017-08-04T00:00:00"/>
    <x v="0"/>
    <s v="SURO - SUR OCCIDENTE"/>
    <s v="CONC - CONCESIONARIOS"/>
    <n v="1"/>
    <x v="91"/>
    <n v="1"/>
    <x v="177"/>
    <x v="7"/>
    <x v="6"/>
    <m/>
    <x v="31"/>
    <x v="91"/>
    <n v="3941176"/>
    <m/>
    <n v="211189076"/>
    <n v="0"/>
    <x v="0"/>
    <x v="5"/>
    <x v="0"/>
    <x v="0"/>
    <n v="0"/>
    <x v="0"/>
    <x v="0"/>
    <s v="WAVE 110S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7"/>
    <x v="1"/>
    <m/>
    <x v="31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7"/>
    <x v="11"/>
    <m/>
    <x v="31"/>
    <x v="91"/>
    <n v="3941176"/>
    <m/>
    <n v="211189076"/>
    <n v="0"/>
    <x v="0"/>
    <x v="5"/>
    <x v="7"/>
    <x v="0"/>
    <n v="0"/>
    <x v="0"/>
    <x v="0"/>
    <s v="WAVE 110S                                         BLANCO   "/>
    <e v="#N/A"/>
    <s v=""/>
  </r>
  <r>
    <x v="197"/>
    <d v="2017-08-04T00:00:00"/>
    <x v="0"/>
    <s v="SURO - SUR OCCIDENTE"/>
    <s v="CONC - CONCESIONARIOS"/>
    <n v="2"/>
    <x v="91"/>
    <n v="2"/>
    <x v="177"/>
    <x v="9"/>
    <x v="17"/>
    <m/>
    <x v="31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7"/>
    <d v="2017-08-04T00:00:00"/>
    <x v="0"/>
    <s v="SURO - SUR OCCIDENTE"/>
    <s v="CONC - CONCESIONARIOS"/>
    <n v="2"/>
    <x v="91"/>
    <n v="2"/>
    <x v="177"/>
    <x v="9"/>
    <x v="16"/>
    <m/>
    <x v="31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7"/>
    <d v="2017-08-04T00:00:00"/>
    <x v="0"/>
    <s v="SURO - SUR OCCIDENTE"/>
    <s v="CONC - CONCESIONARIOS"/>
    <n v="3"/>
    <x v="91"/>
    <n v="3"/>
    <x v="177"/>
    <x v="9"/>
    <x v="1"/>
    <m/>
    <x v="31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8"/>
    <d v="2017-08-04T00:00:00"/>
    <x v="0"/>
    <s v="NTE - ZONA NORTE"/>
    <s v="DIST - DISTRIBUIDORES"/>
    <n v="1"/>
    <x v="92"/>
    <n v="1"/>
    <x v="178"/>
    <x v="0"/>
    <x v="10"/>
    <m/>
    <x v="131"/>
    <x v="92"/>
    <n v="11496063"/>
    <m/>
    <n v="26693551"/>
    <n v="0"/>
    <x v="0"/>
    <x v="23"/>
    <x v="6"/>
    <x v="0"/>
    <n v="0"/>
    <x v="0"/>
    <x v="0"/>
    <s v="*XR-250 TORNADO pt MD34                           ROJO BLAN"/>
    <e v="#N/A"/>
    <s v=""/>
  </r>
  <r>
    <x v="199"/>
    <d v="2017-08-01T00:00:00"/>
    <x v="0"/>
    <s v="CTR - ZONA CENTRO"/>
    <s v="CONC - CONCESIONARIOS"/>
    <n v="1"/>
    <x v="0"/>
    <n v="1"/>
    <x v="0"/>
    <x v="19"/>
    <x v="26"/>
    <m/>
    <x v="0"/>
    <x v="0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00"/>
    <d v="2017-08-01T00:00:00"/>
    <x v="0"/>
    <s v="CTR - ZONA CENTRO"/>
    <s v="CONC - CONCESIONARIOS"/>
    <n v="1"/>
    <x v="0"/>
    <n v="1"/>
    <x v="1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0"/>
    <d v="2017-08-01T00:00:00"/>
    <x v="0"/>
    <s v="CTR - ZONA CENTRO"/>
    <s v="CONC - CONCESIONARIOS"/>
    <n v="1"/>
    <x v="0"/>
    <n v="1"/>
    <x v="1"/>
    <x v="21"/>
    <x v="6"/>
    <m/>
    <x v="0"/>
    <x v="0"/>
    <n v="10228346"/>
    <m/>
    <s v="NO TIENE CUPO"/>
    <n v="0"/>
    <x v="0"/>
    <x v="0"/>
    <x v="22"/>
    <x v="0"/>
    <n v="0"/>
    <x v="0"/>
    <x v="0"/>
    <s v="CBR 250RD                                         ROJO     "/>
    <e v="#N/A"/>
    <s v=""/>
  </r>
  <r>
    <x v="200"/>
    <d v="2017-08-01T00:00:00"/>
    <x v="0"/>
    <s v="CTR - ZONA CENTRO"/>
    <s v="CONC - CONCESIONARIOS"/>
    <n v="1"/>
    <x v="0"/>
    <n v="1"/>
    <x v="1"/>
    <x v="19"/>
    <x v="1"/>
    <m/>
    <x v="0"/>
    <x v="0"/>
    <n v="9210084"/>
    <m/>
    <s v="NO TIENE CUPO"/>
    <n v="0"/>
    <x v="0"/>
    <x v="0"/>
    <x v="23"/>
    <x v="0"/>
    <n v="0"/>
    <x v="0"/>
    <x v="0"/>
    <s v="XRE 190                                           NEGRO    "/>
    <e v="#N/A"/>
    <s v=""/>
  </r>
  <r>
    <x v="200"/>
    <d v="2017-08-01T00:00:00"/>
    <x v="0"/>
    <s v="CTR - ZONA CENTRO"/>
    <s v="CONC - CONCESIONARIOS"/>
    <n v="1"/>
    <x v="0"/>
    <n v="1"/>
    <x v="1"/>
    <x v="17"/>
    <x v="6"/>
    <m/>
    <x v="0"/>
    <x v="0"/>
    <n v="9762992"/>
    <m/>
    <s v="NO TIENE CUPO"/>
    <n v="0"/>
    <x v="0"/>
    <x v="0"/>
    <x v="24"/>
    <x v="0"/>
    <n v="0"/>
    <x v="0"/>
    <x v="0"/>
    <s v="CB 250 TWISTER                                    ROJO     "/>
    <e v="#N/A"/>
    <s v=""/>
  </r>
  <r>
    <x v="201"/>
    <d v="2017-08-01T00:00:00"/>
    <x v="0"/>
    <s v="CTR - ZONA CENTRO"/>
    <s v="CONC - CONCESIONARIOS"/>
    <n v="1"/>
    <x v="0"/>
    <n v="1"/>
    <x v="3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1"/>
    <d v="2017-08-01T00:00:00"/>
    <x v="0"/>
    <s v="CTR - ZONA CENTRO"/>
    <s v="CONC - CONCESIONARIOS"/>
    <n v="1"/>
    <x v="0"/>
    <n v="1"/>
    <x v="3"/>
    <x v="21"/>
    <x v="1"/>
    <m/>
    <x v="0"/>
    <x v="0"/>
    <n v="10228346"/>
    <m/>
    <s v="NO TIENE CUPO"/>
    <n v="0"/>
    <x v="0"/>
    <x v="0"/>
    <x v="25"/>
    <x v="0"/>
    <n v="0"/>
    <x v="0"/>
    <x v="0"/>
    <s v="CBR 250RD                                         NEGRO    "/>
    <e v="#N/A"/>
    <s v=""/>
  </r>
  <r>
    <x v="202"/>
    <d v="2017-08-01T00:00:00"/>
    <x v="0"/>
    <s v="CTR - ZONA CENTRO"/>
    <s v="CONC - CONCESIONARIOS"/>
    <n v="1"/>
    <x v="0"/>
    <n v="1"/>
    <x v="4"/>
    <x v="20"/>
    <x v="17"/>
    <m/>
    <x v="1"/>
    <x v="0"/>
    <n v="7352941"/>
    <m/>
    <s v="NO TIENE CUPO"/>
    <n v="0"/>
    <x v="0"/>
    <x v="1"/>
    <x v="26"/>
    <x v="0"/>
    <n v="0"/>
    <x v="0"/>
    <x v="0"/>
    <s v="PCX 150                                           GRIS     "/>
    <e v="#N/A"/>
    <s v=""/>
  </r>
  <r>
    <x v="202"/>
    <d v="2017-08-01T00:00:00"/>
    <x v="0"/>
    <s v="CTR - ZONA CENTRO"/>
    <s v="CONC - CONCESIONARIOS"/>
    <n v="1"/>
    <x v="0"/>
    <n v="1"/>
    <x v="4"/>
    <x v="17"/>
    <x v="6"/>
    <m/>
    <x v="1"/>
    <x v="0"/>
    <n v="9762992"/>
    <m/>
    <s v="NO TIENE CUPO"/>
    <n v="0"/>
    <x v="0"/>
    <x v="1"/>
    <x v="24"/>
    <x v="0"/>
    <n v="0"/>
    <x v="0"/>
    <x v="0"/>
    <s v="CB 250 TWISTER                                    ROJO     "/>
    <e v="#N/A"/>
    <s v=""/>
  </r>
  <r>
    <x v="203"/>
    <d v="2017-08-01T00:00:00"/>
    <x v="0"/>
    <s v="SURO - SUR OCCIDENTE"/>
    <s v="CONC - CONCESIONARIOS"/>
    <n v="1"/>
    <x v="8"/>
    <n v="1"/>
    <x v="18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3"/>
    <d v="2017-08-01T00:00:00"/>
    <x v="0"/>
    <s v="SURO - SUR OCCIDENTE"/>
    <s v="CONC - CONCESIONARIOS"/>
    <n v="2"/>
    <x v="8"/>
    <n v="2"/>
    <x v="18"/>
    <x v="17"/>
    <x v="1"/>
    <m/>
    <x v="3"/>
    <x v="8"/>
    <n v="9762992"/>
    <m/>
    <n v="802084041"/>
    <n v="0"/>
    <x v="0"/>
    <x v="3"/>
    <x v="20"/>
    <x v="0"/>
    <n v="0"/>
    <x v="0"/>
    <x v="0"/>
    <s v="CB 250 TWISTER                                    NEGRO    "/>
    <e v="#N/A"/>
    <s v=""/>
  </r>
  <r>
    <x v="204"/>
    <d v="2017-08-01T00:00:00"/>
    <x v="0"/>
    <s v="SURO - SUR OCCIDENTE"/>
    <s v="CONC - CONCESIONARIOS"/>
    <n v="1"/>
    <x v="8"/>
    <n v="1"/>
    <x v="22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5"/>
    <d v="2017-08-01T00:00:00"/>
    <x v="1"/>
    <s v="SURO - SUR OCCIDENTE"/>
    <s v="DIST - DISTRIBUIDORES"/>
    <n v="1"/>
    <x v="11"/>
    <n v="1"/>
    <x v="30"/>
    <x v="19"/>
    <x v="6"/>
    <m/>
    <x v="21"/>
    <x v="11"/>
    <n v="9210084"/>
    <m/>
    <n v="0"/>
    <n v="158000000"/>
    <x v="0"/>
    <x v="15"/>
    <x v="27"/>
    <x v="0"/>
    <n v="0"/>
    <x v="0"/>
    <x v="0"/>
    <s v="XRE 190                                           ROJO     "/>
    <e v="#N/A"/>
    <s v=""/>
  </r>
  <r>
    <x v="206"/>
    <d v="2017-08-01T00:00:00"/>
    <x v="1"/>
    <s v="SURO - SUR OCCIDENTE"/>
    <s v="DIST - DISTRIBUIDORES"/>
    <n v="1"/>
    <x v="12"/>
    <n v="1"/>
    <x v="31"/>
    <x v="19"/>
    <x v="26"/>
    <m/>
    <x v="22"/>
    <x v="12"/>
    <n v="9210084"/>
    <m/>
    <s v="FACTURAS VENCIDAS"/>
    <n v="0"/>
    <x v="1"/>
    <x v="0"/>
    <x v="0"/>
    <x v="0"/>
    <n v="0"/>
    <x v="0"/>
    <x v="0"/>
    <s v="XRE 190                                           VERDE    "/>
    <e v="#N/A"/>
    <s v=""/>
  </r>
  <r>
    <x v="207"/>
    <d v="2017-08-01T00:00:00"/>
    <x v="0"/>
    <s v="SURO - SUR OCCIDENTE"/>
    <s v="DIST - DISTRIBUIDORES"/>
    <n v="1"/>
    <x v="20"/>
    <n v="1"/>
    <x v="48"/>
    <x v="22"/>
    <x v="1"/>
    <m/>
    <x v="37"/>
    <x v="20"/>
    <n v="12039370"/>
    <m/>
    <n v="116885711"/>
    <n v="0"/>
    <x v="0"/>
    <x v="19"/>
    <x v="0"/>
    <x v="0"/>
    <n v="0"/>
    <x v="0"/>
    <x v="0"/>
    <s v="XRE  300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9"/>
    <x v="6"/>
    <m/>
    <x v="37"/>
    <x v="20"/>
    <n v="9210084"/>
    <m/>
    <n v="116885711"/>
    <n v="0"/>
    <x v="0"/>
    <x v="19"/>
    <x v="27"/>
    <x v="0"/>
    <n v="0"/>
    <x v="0"/>
    <x v="0"/>
    <s v="XRE 190                                           ROJO     "/>
    <e v="#N/A"/>
    <s v=""/>
  </r>
  <r>
    <x v="207"/>
    <d v="2017-08-01T00:00:00"/>
    <x v="0"/>
    <s v="SURO - SUR OCCIDENTE"/>
    <s v="DIST - DISTRIBUIDORES"/>
    <n v="1"/>
    <x v="20"/>
    <n v="1"/>
    <x v="48"/>
    <x v="19"/>
    <x v="1"/>
    <m/>
    <x v="37"/>
    <x v="20"/>
    <n v="9210084"/>
    <m/>
    <n v="116885711"/>
    <n v="0"/>
    <x v="0"/>
    <x v="19"/>
    <x v="23"/>
    <x v="0"/>
    <n v="0"/>
    <x v="0"/>
    <x v="0"/>
    <s v="XRE 190 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7"/>
    <x v="1"/>
    <m/>
    <x v="37"/>
    <x v="20"/>
    <n v="9762992"/>
    <m/>
    <n v="116885711"/>
    <n v="0"/>
    <x v="0"/>
    <x v="19"/>
    <x v="20"/>
    <x v="0"/>
    <n v="0"/>
    <x v="0"/>
    <x v="0"/>
    <s v="CB 250 TWISTER                                    NEGRO    "/>
    <e v="#N/A"/>
    <s v=""/>
  </r>
  <r>
    <x v="208"/>
    <d v="2017-08-01T00:00:00"/>
    <x v="1"/>
    <s v="NTE - ZONA NORTE"/>
    <s v="DIST - DISTRIBUIDORES"/>
    <n v="1"/>
    <x v="24"/>
    <n v="1"/>
    <x v="55"/>
    <x v="19"/>
    <x v="6"/>
    <m/>
    <x v="41"/>
    <x v="24"/>
    <n v="9210084"/>
    <m/>
    <n v="1252965"/>
    <n v="0"/>
    <x v="1"/>
    <x v="14"/>
    <x v="27"/>
    <x v="0"/>
    <n v="0"/>
    <x v="0"/>
    <x v="0"/>
    <s v="XRE 190                                           ROJO     "/>
    <e v="#N/A"/>
    <s v=""/>
  </r>
  <r>
    <x v="209"/>
    <d v="2017-08-01T00:00:00"/>
    <x v="0"/>
    <s v="CTR - ZONA CENTRO"/>
    <s v="DIST - DISTRIBUIDORES"/>
    <n v="1"/>
    <x v="21"/>
    <n v="1"/>
    <x v="54"/>
    <x v="19"/>
    <x v="6"/>
    <m/>
    <x v="15"/>
    <x v="21"/>
    <n v="9210084"/>
    <m/>
    <n v="264217093"/>
    <n v="852000000"/>
    <x v="0"/>
    <x v="11"/>
    <x v="27"/>
    <x v="0"/>
    <n v="0"/>
    <x v="0"/>
    <x v="0"/>
    <s v="XRE 190                                           ROJO     "/>
    <e v="#N/A"/>
    <s v=""/>
  </r>
  <r>
    <x v="210"/>
    <d v="2017-08-01T00:00:00"/>
    <x v="0"/>
    <s v="CTR - ZONA CENTRO"/>
    <s v="DIST - DISTRIBUIDORES"/>
    <n v="1"/>
    <x v="30"/>
    <n v="1"/>
    <x v="71"/>
    <x v="19"/>
    <x v="26"/>
    <m/>
    <x v="53"/>
    <x v="30"/>
    <n v="9210084"/>
    <m/>
    <n v="20739828"/>
    <n v="200000000"/>
    <x v="0"/>
    <x v="28"/>
    <x v="0"/>
    <x v="0"/>
    <n v="0"/>
    <x v="0"/>
    <x v="0"/>
    <s v="XRE 190                                           VERDE    "/>
    <e v="#N/A"/>
    <s v=""/>
  </r>
  <r>
    <x v="211"/>
    <d v="2017-08-01T00:00:00"/>
    <x v="1"/>
    <s v="NTE - ZONA NORTE"/>
    <s v="DIST - DISTRIBUIDORES"/>
    <n v="1"/>
    <x v="42"/>
    <n v="1"/>
    <x v="85"/>
    <x v="17"/>
    <x v="11"/>
    <m/>
    <x v="66"/>
    <x v="42"/>
    <n v="9762992"/>
    <m/>
    <n v="16000000"/>
    <n v="12000000"/>
    <x v="0"/>
    <x v="24"/>
    <x v="28"/>
    <x v="0"/>
    <n v="0"/>
    <x v="0"/>
    <x v="0"/>
    <s v="CB 250 TWISTER                                    BLANCO   "/>
    <e v="#N/A"/>
    <s v=""/>
  </r>
  <r>
    <x v="212"/>
    <d v="2017-08-02T00:00:00"/>
    <x v="0"/>
    <s v="SURO - SUR OCCIDENTE"/>
    <s v="DIST - DISTRIBUIDORES"/>
    <n v="1"/>
    <x v="55"/>
    <n v="1"/>
    <x v="107"/>
    <x v="19"/>
    <x v="26"/>
    <m/>
    <x v="86"/>
    <x v="55"/>
    <n v="9210084"/>
    <m/>
    <n v="0"/>
    <n v="232000000"/>
    <x v="0"/>
    <x v="37"/>
    <x v="0"/>
    <x v="0"/>
    <n v="0"/>
    <x v="0"/>
    <x v="0"/>
    <s v="XRE 190                                           VERDE    "/>
    <e v="#N/A"/>
    <s v=""/>
  </r>
  <r>
    <x v="213"/>
    <d v="2017-08-02T00:00:00"/>
    <x v="1"/>
    <s v="NTE - ZONA NORTE"/>
    <s v="CONC - CONCESIONARIOS"/>
    <n v="4"/>
    <x v="61"/>
    <n v="4"/>
    <x v="114"/>
    <x v="22"/>
    <x v="1"/>
    <m/>
    <x v="92"/>
    <x v="61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20"/>
    <x v="17"/>
    <m/>
    <x v="92"/>
    <x v="61"/>
    <n v="7352941"/>
    <m/>
    <s v="NO TIENE CUPO"/>
    <n v="0"/>
    <x v="0"/>
    <x v="15"/>
    <x v="26"/>
    <x v="0"/>
    <n v="0"/>
    <x v="0"/>
    <x v="0"/>
    <s v="PCX 150                                           GRIS     "/>
    <e v="#N/A"/>
    <s v=""/>
  </r>
  <r>
    <x v="213"/>
    <d v="2017-08-02T00:00:00"/>
    <x v="1"/>
    <s v="NTE - ZONA NORTE"/>
    <s v="CONC - CONCESIONARIOS"/>
    <n v="3"/>
    <x v="61"/>
    <n v="3"/>
    <x v="114"/>
    <x v="19"/>
    <x v="1"/>
    <m/>
    <x v="92"/>
    <x v="61"/>
    <n v="9210084"/>
    <m/>
    <s v="NO TIENE CUPO"/>
    <n v="0"/>
    <x v="0"/>
    <x v="15"/>
    <x v="23"/>
    <x v="0"/>
    <n v="0"/>
    <x v="0"/>
    <x v="0"/>
    <s v="XRE 190 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17"/>
    <x v="1"/>
    <m/>
    <x v="92"/>
    <x v="61"/>
    <n v="9762992"/>
    <m/>
    <s v="NO TIENE CUPO"/>
    <n v="0"/>
    <x v="0"/>
    <x v="15"/>
    <x v="20"/>
    <x v="0"/>
    <n v="0"/>
    <x v="0"/>
    <x v="0"/>
    <s v="CB 250 TWISTER                                    NEGRO    "/>
    <e v="#N/A"/>
    <s v=""/>
  </r>
  <r>
    <x v="213"/>
    <d v="2017-08-02T00:00:00"/>
    <x v="1"/>
    <s v="NTE - ZONA NORTE"/>
    <s v="CONC - CONCESIONARIOS"/>
    <n v="2"/>
    <x v="61"/>
    <n v="2"/>
    <x v="114"/>
    <x v="17"/>
    <x v="6"/>
    <m/>
    <x v="92"/>
    <x v="61"/>
    <n v="9762992"/>
    <m/>
    <s v="NO TIENE CUPO"/>
    <n v="0"/>
    <x v="0"/>
    <x v="15"/>
    <x v="24"/>
    <x v="0"/>
    <n v="0"/>
    <x v="0"/>
    <x v="0"/>
    <s v="CB 250 TWISTER                                    ROJO     "/>
    <e v="#N/A"/>
    <s v=""/>
  </r>
  <r>
    <x v="214"/>
    <d v="2017-08-02T00:00:00"/>
    <x v="0"/>
    <s v="CTR - ZONA CENTRO"/>
    <s v="CONC - CONCESIONARIOS"/>
    <n v="1"/>
    <x v="63"/>
    <n v="1"/>
    <x v="116"/>
    <x v="19"/>
    <x v="26"/>
    <m/>
    <x v="93"/>
    <x v="63"/>
    <n v="9210084"/>
    <m/>
    <s v="NO TIENE CUPO"/>
    <n v="0"/>
    <x v="0"/>
    <x v="29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1"/>
    <m/>
    <x v="95"/>
    <x v="64"/>
    <n v="9210084"/>
    <m/>
    <n v="68342860"/>
    <n v="0"/>
    <x v="0"/>
    <x v="41"/>
    <x v="23"/>
    <x v="0"/>
    <n v="0"/>
    <x v="0"/>
    <x v="0"/>
    <s v="XRE 190                                           NEGRO    "/>
    <e v="#N/A"/>
    <s v=""/>
  </r>
  <r>
    <x v="215"/>
    <d v="2017-08-02T00:00:00"/>
    <x v="0"/>
    <s v="CTR - ZONA CENTRO"/>
    <s v="CONC - CONCESIONARIOS"/>
    <n v="1"/>
    <x v="64"/>
    <n v="1"/>
    <x v="118"/>
    <x v="17"/>
    <x v="1"/>
    <m/>
    <x v="95"/>
    <x v="64"/>
    <n v="9762992"/>
    <m/>
    <n v="68342860"/>
    <n v="0"/>
    <x v="0"/>
    <x v="41"/>
    <x v="20"/>
    <x v="0"/>
    <n v="0"/>
    <x v="0"/>
    <x v="0"/>
    <s v="CB 250 TWISTER                                    NEGRO    "/>
    <e v="#N/A"/>
    <s v=""/>
  </r>
  <r>
    <x v="216"/>
    <d v="2017-08-02T00:00:00"/>
    <x v="0"/>
    <s v="CTR - ZONA CENTRO"/>
    <s v="CONC - CONCESIONARIOS"/>
    <n v="1"/>
    <x v="64"/>
    <n v="1"/>
    <x v="119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7"/>
    <d v="2017-08-02T00:00:00"/>
    <x v="0"/>
    <s v="CTR - ZONA CENTRO"/>
    <s v="CONC - CONCESIONARIOS"/>
    <n v="1"/>
    <x v="64"/>
    <n v="1"/>
    <x v="120"/>
    <x v="19"/>
    <x v="1"/>
    <m/>
    <x v="96"/>
    <x v="64"/>
    <n v="9210084"/>
    <m/>
    <n v="68342860"/>
    <n v="0"/>
    <x v="0"/>
    <x v="28"/>
    <x v="23"/>
    <x v="0"/>
    <n v="0"/>
    <x v="0"/>
    <x v="0"/>
    <s v="XRE 190                                           NEGRO    "/>
    <e v="#N/A"/>
    <s v=""/>
  </r>
  <r>
    <x v="218"/>
    <d v="2017-08-02T00:00:00"/>
    <x v="1"/>
    <s v="NTE - ZONA NORTE"/>
    <s v="DIST - DISTRIBUIDORES"/>
    <n v="1"/>
    <x v="46"/>
    <n v="1"/>
    <x v="96"/>
    <x v="23"/>
    <x v="28"/>
    <m/>
    <x v="47"/>
    <x v="46"/>
    <n v="12433071"/>
    <m/>
    <s v="FACTURAS VENCIDAS"/>
    <n v="0"/>
    <x v="1"/>
    <x v="24"/>
    <x v="5"/>
    <x v="0"/>
    <n v="0"/>
    <x v="0"/>
    <x v="0"/>
    <s v="XRE 300 RALLY                                     BLANCO AZ"/>
    <e v="#N/A"/>
    <s v=""/>
  </r>
  <r>
    <x v="219"/>
    <d v="2017-08-02T00:00:00"/>
    <x v="0"/>
    <s v="CTR - ZONA CENTRO"/>
    <s v="CONC - CONCESIONARIOS"/>
    <n v="1"/>
    <x v="64"/>
    <n v="1"/>
    <x v="121"/>
    <x v="19"/>
    <x v="1"/>
    <m/>
    <x v="97"/>
    <x v="64"/>
    <n v="9210084"/>
    <m/>
    <n v="68342860"/>
    <n v="0"/>
    <x v="0"/>
    <x v="42"/>
    <x v="23"/>
    <x v="0"/>
    <n v="0"/>
    <x v="0"/>
    <x v="0"/>
    <s v="XRE 190                                           NEGRO    "/>
    <e v="#N/A"/>
    <s v=""/>
  </r>
  <r>
    <x v="220"/>
    <d v="2017-08-02T00:00:00"/>
    <x v="0"/>
    <s v="CTR - ZONA CENTRO"/>
    <s v="CONC - CONCESIONARIOS"/>
    <n v="1"/>
    <x v="64"/>
    <n v="1"/>
    <x v="122"/>
    <x v="19"/>
    <x v="6"/>
    <m/>
    <x v="53"/>
    <x v="64"/>
    <n v="9210084"/>
    <m/>
    <n v="68342860"/>
    <n v="0"/>
    <x v="0"/>
    <x v="28"/>
    <x v="27"/>
    <x v="0"/>
    <n v="0"/>
    <x v="0"/>
    <x v="0"/>
    <s v="XRE 190                                           ROJO     "/>
    <e v="#N/A"/>
    <s v=""/>
  </r>
  <r>
    <x v="221"/>
    <d v="2017-08-02T00:00:00"/>
    <x v="0"/>
    <s v="CTR - ZONA CENTRO"/>
    <s v="CONC - CONCESIONARIOS"/>
    <n v="3"/>
    <x v="66"/>
    <n v="3"/>
    <x v="126"/>
    <x v="22"/>
    <x v="26"/>
    <m/>
    <x v="0"/>
    <x v="66"/>
    <n v="12039370"/>
    <m/>
    <n v="68304202"/>
    <n v="0"/>
    <x v="0"/>
    <x v="0"/>
    <x v="29"/>
    <x v="0"/>
    <n v="0"/>
    <x v="0"/>
    <x v="0"/>
    <s v="XRE  300                                          VERDE    "/>
    <e v="#N/A"/>
    <s v=""/>
  </r>
  <r>
    <x v="221"/>
    <d v="2017-08-02T00:00:00"/>
    <x v="0"/>
    <s v="CTR - ZONA CENTRO"/>
    <s v="CONC - CONCESIONARIOS"/>
    <n v="3"/>
    <x v="66"/>
    <n v="3"/>
    <x v="126"/>
    <x v="20"/>
    <x v="27"/>
    <m/>
    <x v="0"/>
    <x v="66"/>
    <n v="7352941"/>
    <m/>
    <n v="68304202"/>
    <n v="0"/>
    <x v="0"/>
    <x v="0"/>
    <x v="21"/>
    <x v="0"/>
    <n v="0"/>
    <x v="0"/>
    <x v="0"/>
    <s v="PCX 150                                           PLATEADO "/>
    <e v="#N/A"/>
    <s v=""/>
  </r>
  <r>
    <x v="221"/>
    <d v="2017-08-02T00:00:00"/>
    <x v="0"/>
    <s v="CTR - ZONA CENTRO"/>
    <s v="CONC - CONCESIONARIOS"/>
    <n v="3"/>
    <x v="66"/>
    <n v="3"/>
    <x v="126"/>
    <x v="20"/>
    <x v="17"/>
    <m/>
    <x v="0"/>
    <x v="66"/>
    <n v="7352941"/>
    <m/>
    <n v="68304202"/>
    <n v="0"/>
    <x v="0"/>
    <x v="0"/>
    <x v="26"/>
    <x v="0"/>
    <n v="0"/>
    <x v="0"/>
    <x v="0"/>
    <s v="PCX 150                                           GRIS     "/>
    <e v="#N/A"/>
    <s v=""/>
  </r>
  <r>
    <x v="221"/>
    <d v="2017-08-02T00:00:00"/>
    <x v="0"/>
    <s v="CTR - ZONA CENTRO"/>
    <s v="CONC - CONCESIONARIOS"/>
    <n v="2"/>
    <x v="66"/>
    <n v="2"/>
    <x v="126"/>
    <x v="17"/>
    <x v="1"/>
    <m/>
    <x v="0"/>
    <x v="66"/>
    <n v="9762992"/>
    <m/>
    <n v="68304202"/>
    <n v="0"/>
    <x v="0"/>
    <x v="0"/>
    <x v="20"/>
    <x v="0"/>
    <n v="0"/>
    <x v="0"/>
    <x v="0"/>
    <s v="CB 250 TWISTER                                    NEGRO    "/>
    <e v="#N/A"/>
    <s v=""/>
  </r>
  <r>
    <x v="222"/>
    <d v="2017-08-02T00:00:00"/>
    <x v="0"/>
    <s v="SURO - SUR OCCIDENTE"/>
    <s v="CONC - CONCESIONARIOS"/>
    <n v="1"/>
    <x v="13"/>
    <n v="1"/>
    <x v="132"/>
    <x v="22"/>
    <x v="26"/>
    <m/>
    <x v="102"/>
    <x v="13"/>
    <n v="12039370"/>
    <m/>
    <n v="137260504"/>
    <n v="0"/>
    <x v="0"/>
    <x v="2"/>
    <x v="29"/>
    <x v="0"/>
    <n v="0"/>
    <x v="0"/>
    <x v="0"/>
    <s v="XRE  300                                          VERDE    "/>
    <e v="#N/A"/>
    <s v=""/>
  </r>
  <r>
    <x v="222"/>
    <d v="2017-08-02T00:00:00"/>
    <x v="0"/>
    <s v="SURO - SUR OCCIDENTE"/>
    <s v="CONC - CONCESIONARIOS"/>
    <n v="1"/>
    <x v="13"/>
    <n v="1"/>
    <x v="132"/>
    <x v="19"/>
    <x v="6"/>
    <m/>
    <x v="102"/>
    <x v="13"/>
    <n v="9210084"/>
    <m/>
    <n v="137260504"/>
    <n v="0"/>
    <x v="0"/>
    <x v="2"/>
    <x v="27"/>
    <x v="0"/>
    <n v="0"/>
    <x v="0"/>
    <x v="0"/>
    <s v="XRE 190                                           ROJO     "/>
    <e v="#N/A"/>
    <s v=""/>
  </r>
  <r>
    <x v="223"/>
    <d v="2017-08-03T00:00:00"/>
    <x v="1"/>
    <s v="CTR - ZONA CENTRO"/>
    <s v="DIST - DISTRIBUIDORES"/>
    <n v="1"/>
    <x v="72"/>
    <n v="1"/>
    <x v="140"/>
    <x v="19"/>
    <x v="6"/>
    <m/>
    <x v="103"/>
    <x v="72"/>
    <n v="9210084"/>
    <m/>
    <s v="FACTURAS VENCIDAS"/>
    <n v="0"/>
    <x v="1"/>
    <x v="38"/>
    <x v="27"/>
    <x v="0"/>
    <n v="0"/>
    <x v="0"/>
    <x v="0"/>
    <s v="XRE 190                                           ROJO     "/>
    <e v="#N/A"/>
    <s v=""/>
  </r>
  <r>
    <x v="224"/>
    <d v="2017-08-03T00:00:00"/>
    <x v="1"/>
    <s v="CTR - ZONA CENTRO"/>
    <s v="DIST - DISTRIBUIDORES"/>
    <n v="1"/>
    <x v="73"/>
    <n v="1"/>
    <x v="141"/>
    <x v="22"/>
    <x v="26"/>
    <m/>
    <x v="0"/>
    <x v="73"/>
    <n v="12039370"/>
    <m/>
    <n v="0"/>
    <n v="0"/>
    <x v="1"/>
    <x v="0"/>
    <x v="29"/>
    <x v="0"/>
    <n v="0"/>
    <x v="0"/>
    <x v="0"/>
    <s v="XRE  300                                          VERDE    "/>
    <e v="#N/A"/>
    <s v=""/>
  </r>
  <r>
    <x v="224"/>
    <d v="2017-08-03T00:00:00"/>
    <x v="1"/>
    <s v="CTR - ZONA CENTRO"/>
    <s v="DIST - DISTRIBUIDORES"/>
    <n v="1"/>
    <x v="73"/>
    <n v="1"/>
    <x v="141"/>
    <x v="19"/>
    <x v="26"/>
    <m/>
    <x v="0"/>
    <x v="73"/>
    <n v="9210084"/>
    <m/>
    <n v="0"/>
    <n v="0"/>
    <x v="1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22"/>
    <x v="1"/>
    <m/>
    <x v="0"/>
    <x v="78"/>
    <n v="12039370"/>
    <m/>
    <n v="22577282"/>
    <n v="0"/>
    <x v="0"/>
    <x v="0"/>
    <x v="0"/>
    <x v="0"/>
    <n v="0"/>
    <x v="0"/>
    <x v="0"/>
    <s v="XRE  300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20"/>
    <x v="17"/>
    <m/>
    <x v="0"/>
    <x v="78"/>
    <n v="7352941"/>
    <m/>
    <n v="22577282"/>
    <n v="0"/>
    <x v="0"/>
    <x v="0"/>
    <x v="26"/>
    <x v="0"/>
    <n v="0"/>
    <x v="0"/>
    <x v="0"/>
    <s v="PCX 150                                           GRIS     "/>
    <e v="#N/A"/>
    <s v=""/>
  </r>
  <r>
    <x v="225"/>
    <d v="2017-08-03T00:00:00"/>
    <x v="0"/>
    <s v="CTR - ZONA CENTRO"/>
    <s v="DIST - DISTRIBUIDORES"/>
    <n v="1"/>
    <x v="78"/>
    <n v="1"/>
    <x v="147"/>
    <x v="19"/>
    <x v="26"/>
    <m/>
    <x v="0"/>
    <x v="78"/>
    <n v="9210084"/>
    <m/>
    <n v="22577282"/>
    <n v="0"/>
    <x v="0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19"/>
    <x v="1"/>
    <m/>
    <x v="0"/>
    <x v="78"/>
    <n v="9210084"/>
    <m/>
    <n v="22577282"/>
    <n v="0"/>
    <x v="0"/>
    <x v="0"/>
    <x v="23"/>
    <x v="0"/>
    <n v="0"/>
    <x v="0"/>
    <x v="0"/>
    <s v="XRE 190 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17"/>
    <x v="1"/>
    <m/>
    <x v="0"/>
    <x v="78"/>
    <n v="9762992"/>
    <m/>
    <n v="22577282"/>
    <n v="0"/>
    <x v="0"/>
    <x v="0"/>
    <x v="20"/>
    <x v="0"/>
    <n v="0"/>
    <x v="0"/>
    <x v="0"/>
    <s v="CB 250 TWISTER                                    NEGRO    "/>
    <e v="#N/A"/>
    <s v=""/>
  </r>
  <r>
    <x v="226"/>
    <d v="2017-08-03T00:00:00"/>
    <x v="0"/>
    <s v="CTR - ZONA CENTRO"/>
    <s v="DIST - DISTRIBUIDORES"/>
    <n v="1"/>
    <x v="78"/>
    <n v="1"/>
    <x v="148"/>
    <x v="19"/>
    <x v="26"/>
    <m/>
    <x v="104"/>
    <x v="78"/>
    <n v="9210084"/>
    <m/>
    <n v="22577282"/>
    <n v="0"/>
    <x v="0"/>
    <x v="32"/>
    <x v="0"/>
    <x v="0"/>
    <n v="0"/>
    <x v="0"/>
    <x v="0"/>
    <s v="XRE 190                                           VERDE    "/>
    <e v="#N/A"/>
    <s v=""/>
  </r>
  <r>
    <x v="227"/>
    <d v="2017-08-03T00:00:00"/>
    <x v="0"/>
    <s v="CTR - ZONA CENTRO"/>
    <s v="DIST - DISTRIBUIDORES"/>
    <n v="1"/>
    <x v="79"/>
    <n v="1"/>
    <x v="149"/>
    <x v="20"/>
    <x v="17"/>
    <m/>
    <x v="0"/>
    <x v="79"/>
    <n v="7352941"/>
    <m/>
    <n v="2155795"/>
    <n v="0"/>
    <x v="1"/>
    <x v="0"/>
    <x v="26"/>
    <x v="0"/>
    <n v="0"/>
    <x v="0"/>
    <x v="0"/>
    <s v="PCX 150                                           GRIS     "/>
    <e v="#N/A"/>
    <s v=""/>
  </r>
  <r>
    <x v="227"/>
    <d v="2017-08-03T00:00:00"/>
    <x v="0"/>
    <s v="CTR - ZONA CENTRO"/>
    <s v="DIST - DISTRIBUIDORES"/>
    <n v="1"/>
    <x v="79"/>
    <n v="1"/>
    <x v="149"/>
    <x v="19"/>
    <x v="26"/>
    <m/>
    <x v="0"/>
    <x v="79"/>
    <n v="9210084"/>
    <m/>
    <n v="2155795"/>
    <n v="0"/>
    <x v="1"/>
    <x v="0"/>
    <x v="0"/>
    <x v="0"/>
    <n v="0"/>
    <x v="0"/>
    <x v="0"/>
    <s v="XRE 190                                           VERDE    "/>
    <e v="#N/A"/>
    <s v=""/>
  </r>
  <r>
    <x v="228"/>
    <d v="2017-08-03T00:00:00"/>
    <x v="0"/>
    <s v="NTE - ZONA NORTE"/>
    <s v="DIST - DISTRIBUIDORES"/>
    <n v="1"/>
    <x v="39"/>
    <n v="1"/>
    <x v="82"/>
    <x v="20"/>
    <x v="17"/>
    <m/>
    <x v="64"/>
    <x v="39"/>
    <n v="7352941"/>
    <m/>
    <n v="5189000"/>
    <n v="159000000"/>
    <x v="0"/>
    <x v="16"/>
    <x v="26"/>
    <x v="0"/>
    <n v="0"/>
    <x v="0"/>
    <x v="0"/>
    <s v="PCX 150                                           GRIS     "/>
    <e v="#N/A"/>
    <s v=""/>
  </r>
  <r>
    <x v="229"/>
    <d v="2017-08-03T00:00:00"/>
    <x v="0"/>
    <s v="SURO - SUR OCCIDENTE"/>
    <s v="CONC - CONCESIONARIOS"/>
    <n v="1"/>
    <x v="86"/>
    <n v="1"/>
    <x v="159"/>
    <x v="22"/>
    <x v="1"/>
    <m/>
    <x v="119"/>
    <x v="86"/>
    <n v="12039370"/>
    <m/>
    <s v="NO TIENE CUPO"/>
    <n v="0"/>
    <x v="0"/>
    <x v="18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2"/>
    <x v="26"/>
    <m/>
    <x v="86"/>
    <x v="87"/>
    <n v="12039370"/>
    <m/>
    <s v="NO TIENE CUPO"/>
    <n v="0"/>
    <x v="0"/>
    <x v="37"/>
    <x v="29"/>
    <x v="0"/>
    <n v="0"/>
    <x v="0"/>
    <x v="0"/>
    <s v="XRE  300                                          VERDE    "/>
    <e v="#N/A"/>
    <s v=""/>
  </r>
  <r>
    <x v="230"/>
    <d v="2017-08-03T00:00:00"/>
    <x v="0"/>
    <s v="SURO - SUR OCCIDENTE"/>
    <s v="CONC - CONCESIONARIOS"/>
    <n v="1"/>
    <x v="87"/>
    <n v="1"/>
    <x v="160"/>
    <x v="22"/>
    <x v="1"/>
    <m/>
    <x v="86"/>
    <x v="87"/>
    <n v="12039370"/>
    <m/>
    <s v="NO TIENE CUPO"/>
    <n v="0"/>
    <x v="0"/>
    <x v="37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0"/>
    <x v="27"/>
    <m/>
    <x v="86"/>
    <x v="87"/>
    <n v="7352941"/>
    <m/>
    <s v="NO TIENE CUPO"/>
    <n v="0"/>
    <x v="0"/>
    <x v="37"/>
    <x v="21"/>
    <x v="0"/>
    <n v="0"/>
    <x v="0"/>
    <x v="0"/>
    <s v="PCX 150                                           PLATEADO "/>
    <e v="#N/A"/>
    <s v=""/>
  </r>
  <r>
    <x v="230"/>
    <d v="2017-08-03T00:00:00"/>
    <x v="0"/>
    <s v="SURO - SUR OCCIDENTE"/>
    <s v="CONC - CONCESIONARIOS"/>
    <n v="1"/>
    <x v="87"/>
    <n v="1"/>
    <x v="160"/>
    <x v="20"/>
    <x v="17"/>
    <m/>
    <x v="86"/>
    <x v="87"/>
    <n v="7352941"/>
    <m/>
    <s v="NO TIENE CUPO"/>
    <n v="0"/>
    <x v="0"/>
    <x v="37"/>
    <x v="26"/>
    <x v="0"/>
    <n v="0"/>
    <x v="0"/>
    <x v="0"/>
    <s v="PCX 150                                           GRIS     "/>
    <e v="#N/A"/>
    <s v=""/>
  </r>
  <r>
    <x v="230"/>
    <d v="2017-08-03T00:00:00"/>
    <x v="0"/>
    <s v="SURO - SUR OCCIDENTE"/>
    <s v="CONC - CONCESIONARIOS"/>
    <n v="1"/>
    <x v="87"/>
    <n v="1"/>
    <x v="160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26"/>
    <m/>
    <x v="120"/>
    <x v="87"/>
    <n v="12039370"/>
    <m/>
    <s v="NO TIENE CUPO"/>
    <n v="0"/>
    <x v="0"/>
    <x v="21"/>
    <x v="29"/>
    <x v="0"/>
    <n v="0"/>
    <x v="0"/>
    <x v="0"/>
    <s v="XRE  300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1"/>
    <m/>
    <x v="120"/>
    <x v="87"/>
    <n v="12039370"/>
    <m/>
    <s v="NO TIENE CUPO"/>
    <n v="0"/>
    <x v="0"/>
    <x v="21"/>
    <x v="0"/>
    <x v="0"/>
    <n v="0"/>
    <x v="0"/>
    <x v="0"/>
    <s v="XRE  300                                          NEGRO    "/>
    <e v="#N/A"/>
    <s v=""/>
  </r>
  <r>
    <x v="231"/>
    <d v="2017-08-03T00:00:00"/>
    <x v="0"/>
    <s v="SURO - SUR OCCIDENTE"/>
    <s v="CONC - CONCESIONARIOS"/>
    <n v="1"/>
    <x v="87"/>
    <n v="1"/>
    <x v="161"/>
    <x v="19"/>
    <x v="26"/>
    <m/>
    <x v="120"/>
    <x v="87"/>
    <n v="9210084"/>
    <m/>
    <s v="NO TIENE CUPO"/>
    <n v="0"/>
    <x v="0"/>
    <x v="21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21"/>
    <x v="6"/>
    <m/>
    <x v="86"/>
    <x v="87"/>
    <n v="10228346"/>
    <m/>
    <s v="NO TIENE CUPO"/>
    <n v="0"/>
    <x v="0"/>
    <x v="37"/>
    <x v="22"/>
    <x v="0"/>
    <n v="0"/>
    <x v="0"/>
    <x v="0"/>
    <s v="CBR 250RD                                         ROJO     "/>
    <e v="#N/A"/>
    <s v=""/>
  </r>
  <r>
    <x v="232"/>
    <d v="2017-08-03T00:00:00"/>
    <x v="0"/>
    <s v="SURO - SUR OCCIDENTE"/>
    <s v="CONC - CONCESIONARIOS"/>
    <n v="1"/>
    <x v="87"/>
    <n v="1"/>
    <x v="162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17"/>
    <x v="1"/>
    <m/>
    <x v="86"/>
    <x v="87"/>
    <n v="9762992"/>
    <m/>
    <s v="NO TIENE CUPO"/>
    <n v="0"/>
    <x v="0"/>
    <x v="37"/>
    <x v="20"/>
    <x v="0"/>
    <n v="0"/>
    <x v="0"/>
    <x v="0"/>
    <s v="CB 250 TWISTER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22"/>
    <x v="1"/>
    <m/>
    <x v="123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19"/>
    <x v="6"/>
    <m/>
    <x v="123"/>
    <x v="89"/>
    <n v="9210084"/>
    <m/>
    <s v="NO TIENE CUPO"/>
    <n v="0"/>
    <x v="0"/>
    <x v="15"/>
    <x v="27"/>
    <x v="0"/>
    <n v="0"/>
    <x v="0"/>
    <x v="0"/>
    <s v="XRE 190                                           ROJO     "/>
    <e v="#N/A"/>
    <s v=""/>
  </r>
  <r>
    <x v="234"/>
    <d v="2017-08-03T00:00:00"/>
    <x v="0"/>
    <s v="NTE - ZONA NORTE"/>
    <s v="CONC - CONCESIONARIOS"/>
    <n v="1"/>
    <x v="89"/>
    <n v="1"/>
    <x v="168"/>
    <x v="22"/>
    <x v="1"/>
    <m/>
    <x v="125"/>
    <x v="89"/>
    <n v="12039370"/>
    <m/>
    <s v="NO TIENE CUPO"/>
    <n v="0"/>
    <x v="0"/>
    <x v="46"/>
    <x v="0"/>
    <x v="0"/>
    <n v="0"/>
    <x v="0"/>
    <x v="0"/>
    <s v="XRE  300                                          NEGRO    "/>
    <e v="#N/A"/>
    <s v=""/>
  </r>
  <r>
    <x v="234"/>
    <d v="2017-08-03T00:00:00"/>
    <x v="0"/>
    <s v="NTE - ZONA NORTE"/>
    <s v="CONC - CONCESIONARIOS"/>
    <n v="1"/>
    <x v="89"/>
    <n v="1"/>
    <x v="168"/>
    <x v="19"/>
    <x v="6"/>
    <m/>
    <x v="125"/>
    <x v="89"/>
    <n v="9210084"/>
    <m/>
    <s v="NO TIENE CUPO"/>
    <n v="0"/>
    <x v="0"/>
    <x v="46"/>
    <x v="27"/>
    <x v="0"/>
    <n v="0"/>
    <x v="0"/>
    <x v="0"/>
    <s v="XRE 190                                           ROJO     "/>
    <e v="#N/A"/>
    <s v=""/>
  </r>
  <r>
    <x v="235"/>
    <d v="2017-08-03T00:00:00"/>
    <x v="0"/>
    <s v="NTE - ZONA NORTE"/>
    <s v="CONC - CONCESIONARIOS"/>
    <n v="1"/>
    <x v="89"/>
    <n v="1"/>
    <x v="169"/>
    <x v="22"/>
    <x v="1"/>
    <m/>
    <x v="92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6"/>
    <d v="2017-08-04T00:00:00"/>
    <x v="0"/>
    <s v="SURO - SUR OCCIDENTE"/>
    <s v="DIST - DISTRIBUIDORES"/>
    <n v="1"/>
    <x v="53"/>
    <n v="1"/>
    <x v="104"/>
    <x v="19"/>
    <x v="6"/>
    <m/>
    <x v="83"/>
    <x v="53"/>
    <n v="9210084"/>
    <m/>
    <n v="3160772"/>
    <n v="0"/>
    <x v="0"/>
    <x v="37"/>
    <x v="27"/>
    <x v="0"/>
    <n v="0"/>
    <x v="0"/>
    <x v="0"/>
    <s v="XRE 190                                           ROJO     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F58" firstHeaderRow="0" firstDataRow="1" firstDataCol="1" rowPageCount="2" colPageCount="1"/>
  <pivotFields count="28">
    <pivotField showAll="0" defaultSubtotal="0"/>
    <pivotField numFmtId="14" showAll="0"/>
    <pivotField multipleItemSelectionAllowed="1" showAll="0">
      <items count="8">
        <item x="0"/>
        <item m="1" x="6"/>
        <item m="1" x="3"/>
        <item m="1" x="4"/>
        <item x="1"/>
        <item m="1" x="5"/>
        <item x="2"/>
        <item t="default"/>
      </items>
    </pivotField>
    <pivotField showAll="0"/>
    <pivotField showAll="0"/>
    <pivotField showAll="0"/>
    <pivotField axis="axisRow" showAll="0" defaultSubtotal="0">
      <items count="122">
        <item sd="0" x="80"/>
        <item sd="0" x="81"/>
        <item sd="0" m="1" x="111"/>
        <item sd="0" x="56"/>
        <item sd="0" m="1" x="104"/>
        <item sd="0" x="24"/>
        <item sd="0" m="1" x="95"/>
        <item sd="0" x="72"/>
        <item sd="0" x="29"/>
        <item sd="0" x="34"/>
        <item sd="0" x="37"/>
        <item sd="0" m="1" x="121"/>
        <item sd="0" m="1" x="98"/>
        <item sd="0" m="1" x="112"/>
        <item sd="0" x="70"/>
        <item sd="0" x="52"/>
        <item sd="0" x="11"/>
        <item sd="0" x="71"/>
        <item sd="0" x="21"/>
        <item sd="0" x="83"/>
        <item sd="0" x="69"/>
        <item sd="0" m="1" x="100"/>
        <item sd="0" x="12"/>
        <item sd="0" x="36"/>
        <item sd="0" x="39"/>
        <item sd="0" x="73"/>
        <item sd="0" x="42"/>
        <item sd="0" m="1" x="97"/>
        <item sd="0" x="88"/>
        <item sd="0" x="78"/>
        <item sd="0" x="2"/>
        <item sd="0" x="3"/>
        <item sd="0" x="50"/>
        <item sd="0" x="32"/>
        <item sd="0" x="48"/>
        <item sd="0" x="40"/>
        <item sd="0" x="82"/>
        <item sd="0" x="59"/>
        <item sd="0" x="54"/>
        <item sd="0" x="25"/>
        <item sd="0" x="41"/>
        <item sd="0" x="84"/>
        <item sd="0" x="35"/>
        <item sd="0" x="4"/>
        <item sd="0" x="30"/>
        <item sd="0" x="74"/>
        <item sd="0" x="1"/>
        <item sd="0" x="77"/>
        <item sd="0" x="5"/>
        <item sd="0" x="49"/>
        <item sd="0" x="43"/>
        <item sd="0" x="44"/>
        <item sd="0" x="14"/>
        <item sd="0" m="1" x="109"/>
        <item sd="0" m="1" x="117"/>
        <item sd="0" x="57"/>
        <item sd="0" x="45"/>
        <item sd="0" x="26"/>
        <item sd="0" m="1" x="103"/>
        <item sd="0" x="92"/>
        <item sd="0" x="27"/>
        <item sd="0" m="1" x="113"/>
        <item sd="0" x="18"/>
        <item sd="0" x="22"/>
        <item sd="0" x="17"/>
        <item sd="0" m="1" x="116"/>
        <item sd="0" x="51"/>
        <item sd="0" m="1" x="105"/>
        <item sd="0" x="23"/>
        <item sd="0" x="31"/>
        <item sd="0" x="16"/>
        <item sd="0" x="28"/>
        <item sd="0" x="75"/>
        <item sd="0" x="15"/>
        <item sd="0"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sd="0" m="1" x="108"/>
        <item sd="0" x="9"/>
        <item sd="0" x="10"/>
        <item sd="0" x="65"/>
        <item sd="0" x="62"/>
        <item sd="0" x="64"/>
        <item sd="0" x="86"/>
        <item sd="0" x="90"/>
        <item sd="0" m="1" x="119"/>
        <item sd="0" x="53"/>
        <item sd="0" x="60"/>
        <item sd="0" x="20"/>
        <item sd="0" m="1" x="101"/>
        <item sd="0" m="1" x="107"/>
        <item sd="0" m="1" x="115"/>
        <item sd="0" x="46"/>
        <item sd="0" x="47"/>
        <item sd="0" x="93"/>
        <item sd="0" m="1" x="120"/>
        <item sd="0" m="1" x="114"/>
        <item sd="0" m="1" x="118"/>
        <item sd="0" m="1" x="110"/>
        <item sd="0" m="1" x="96"/>
        <item sd="0" x="38"/>
        <item sd="0" m="1" x="102"/>
        <item sd="0" m="1" x="94"/>
        <item sd="0" x="79"/>
        <item sd="0" x="76"/>
        <item sd="0" x="33"/>
        <item sd="0" m="1" x="106"/>
        <item sd="0" m="1" x="99"/>
        <item sd="0" x="55"/>
        <item x="58"/>
        <item x="68"/>
      </items>
    </pivotField>
    <pivotField dataField="1" showAll="0"/>
    <pivotField showAll="0"/>
    <pivotField axis="axisRow" multipleItemSelectionAllowed="1" showAll="0" defaultSubtotal="0">
      <items count="30">
        <item sd="0" x="12"/>
        <item sd="0" x="1"/>
        <item sd="0" x="16"/>
        <item sd="0" x="13"/>
        <item sd="0" x="15"/>
        <item sd="0" x="2"/>
        <item sd="0" x="0"/>
        <item sd="0" x="4"/>
        <item sd="0" x="3"/>
        <item sd="0" x="18"/>
        <item sd="0" x="11"/>
        <item sd="0" m="1" x="26"/>
        <item sd="0" m="1" x="29"/>
        <item sd="0" m="1" x="25"/>
        <item x="24"/>
        <item sd="0" x="8"/>
        <item sd="0" x="5"/>
        <item x="21"/>
        <item sd="0" x="17"/>
        <item x="19"/>
        <item sd="0"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multipleItemSelectionAllowed="1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numFmtId="169" showAll="0"/>
    <pivotField numFmtId="169" showAll="0"/>
    <pivotField dataField="1" showAll="0"/>
    <pivotField dataField="1" numFmtId="166" showAll="0"/>
    <pivotField axis="axisPage" multipleItemSelectionAllowed="1" showAll="0" defaultSubtotal="0">
      <items count="3">
        <item h="1" x="1"/>
        <item x="0"/>
        <item h="1" m="1" x="2"/>
      </items>
    </pivotField>
    <pivotField axis="axisRow" showAll="0" sortType="ascending" defaultSubtotal="0">
      <items count="48">
        <item sd="0" m="1" x="47"/>
        <item sd="0" x="19"/>
        <item sd="0" x="18"/>
        <item sd="0" x="17"/>
        <item sd="0" x="3"/>
        <item sd="0" x="43"/>
        <item sd="0" x="2"/>
        <item sd="0" x="10"/>
        <item sd="0" x="20"/>
        <item sd="0" x="22"/>
        <item sd="0" x="44"/>
        <item sd="0" x="14"/>
        <item sd="0" x="4"/>
        <item sd="0" x="5"/>
        <item sd="0" x="9"/>
        <item sd="0" x="8"/>
        <item sd="0" x="7"/>
        <item sd="0" x="16"/>
        <item sd="0" x="41"/>
        <item sd="0" x="40"/>
        <item sd="0" x="29"/>
        <item sd="0" x="12"/>
        <item sd="0" x="13"/>
        <item sd="0" x="11"/>
        <item sd="0" x="28"/>
        <item sd="0" x="42"/>
        <item x="30"/>
        <item sd="0" x="21"/>
        <item x="37"/>
        <item sd="0" x="39"/>
        <item sd="0" x="23"/>
        <item sd="0" x="27"/>
        <item sd="0" x="1"/>
        <item sd="0" x="0"/>
        <item sd="0" x="32"/>
        <item sd="0" x="38"/>
        <item sd="0" x="45"/>
        <item sd="0" x="15"/>
        <item sd="0" x="33"/>
        <item sd="0" x="46"/>
        <item sd="0" x="34"/>
        <item sd="0" x="24"/>
        <item sd="0" x="35"/>
        <item sd="0" x="26"/>
        <item sd="0" x="25"/>
        <item sd="0" x="6"/>
        <item sd="0" x="36"/>
        <item sd="0" x="31"/>
      </items>
    </pivotField>
    <pivotField axis="axisPage" dataField="1" multipleItemSelectionAllowed="1" showAll="0" defaultSubtotal="0">
      <items count="264">
        <item h="1" x="0"/>
        <item x="5"/>
        <item x="19"/>
        <item x="28"/>
        <item m="1" x="254"/>
        <item x="17"/>
        <item x="14"/>
        <item m="1" x="195"/>
        <item m="1" x="201"/>
        <item m="1" x="88"/>
        <item x="13"/>
        <item m="1" x="176"/>
        <item m="1" x="67"/>
        <item m="1" x="77"/>
        <item m="1" x="112"/>
        <item m="1" x="31"/>
        <item m="1" x="145"/>
        <item x="10"/>
        <item m="1" x="226"/>
        <item m="1" x="106"/>
        <item m="1" x="256"/>
        <item m="1" x="90"/>
        <item m="1" x="258"/>
        <item m="1" x="65"/>
        <item m="1" x="135"/>
        <item m="1" x="250"/>
        <item m="1" x="105"/>
        <item m="1" x="96"/>
        <item m="1" x="134"/>
        <item m="1" x="80"/>
        <item x="29"/>
        <item m="1" x="71"/>
        <item x="18"/>
        <item m="1" x="99"/>
        <item m="1" x="74"/>
        <item m="1" x="54"/>
        <item x="22"/>
        <item m="1" x="198"/>
        <item x="15"/>
        <item m="1" x="79"/>
        <item m="1" x="58"/>
        <item m="1" x="190"/>
        <item m="1" x="150"/>
        <item m="1" x="241"/>
        <item m="1" x="130"/>
        <item m="1" x="87"/>
        <item x="12"/>
        <item x="7"/>
        <item m="1" x="180"/>
        <item x="6"/>
        <item m="1" x="231"/>
        <item m="1" x="162"/>
        <item m="1" x="212"/>
        <item m="1" x="46"/>
        <item m="1" x="122"/>
        <item m="1" x="60"/>
        <item x="2"/>
        <item m="1" x="193"/>
        <item m="1" x="61"/>
        <item m="1" x="114"/>
        <item m="1" x="151"/>
        <item m="1" x="37"/>
        <item m="1" x="93"/>
        <item m="1" x="225"/>
        <item x="1"/>
        <item m="1" x="63"/>
        <item x="9"/>
        <item m="1" x="200"/>
        <item m="1" x="161"/>
        <item m="1" x="210"/>
        <item m="1" x="166"/>
        <item m="1" x="101"/>
        <item m="1" x="179"/>
        <item m="1" x="123"/>
        <item m="1" x="120"/>
        <item m="1" x="52"/>
        <item m="1" x="156"/>
        <item x="21"/>
        <item m="1" x="191"/>
        <item m="1" x="126"/>
        <item m="1" x="187"/>
        <item m="1" x="235"/>
        <item m="1" x="70"/>
        <item m="1" x="259"/>
        <item m="1" x="207"/>
        <item m="1" x="84"/>
        <item m="1" x="45"/>
        <item x="8"/>
        <item m="1" x="57"/>
        <item m="1" x="157"/>
        <item x="3"/>
        <item m="1" x="140"/>
        <item x="26"/>
        <item m="1" x="244"/>
        <item m="1" x="213"/>
        <item m="1" x="248"/>
        <item m="1" x="240"/>
        <item m="1" x="202"/>
        <item m="1" x="103"/>
        <item m="1" x="51"/>
        <item m="1" x="251"/>
        <item m="1" x="229"/>
        <item m="1" x="263"/>
        <item m="1" x="118"/>
        <item x="25"/>
        <item x="20"/>
        <item x="24"/>
        <item m="1" x="91"/>
        <item m="1" x="131"/>
        <item m="1" x="243"/>
        <item m="1" x="252"/>
        <item m="1" x="78"/>
        <item m="1" x="100"/>
        <item m="1" x="136"/>
        <item m="1" x="111"/>
        <item x="16"/>
        <item x="11"/>
        <item m="1" x="255"/>
        <item m="1" x="185"/>
        <item m="1" x="132"/>
        <item m="1" x="172"/>
        <item m="1" x="171"/>
        <item m="1" x="62"/>
        <item m="1" x="49"/>
        <item m="1" x="182"/>
        <item m="1" x="55"/>
        <item m="1" x="170"/>
        <item m="1" x="95"/>
        <item m="1" x="141"/>
        <item m="1" x="117"/>
        <item m="1" x="159"/>
        <item m="1" x="72"/>
        <item m="1" x="214"/>
        <item m="1" x="220"/>
        <item m="1" x="218"/>
        <item m="1" x="194"/>
        <item m="1" x="129"/>
        <item m="1" x="92"/>
        <item m="1" x="175"/>
        <item m="1" x="76"/>
        <item m="1" x="133"/>
        <item x="23"/>
        <item x="27"/>
        <item m="1" x="223"/>
        <item m="1" x="169"/>
        <item m="1" x="253"/>
        <item m="1" x="125"/>
        <item m="1" x="206"/>
        <item m="1" x="86"/>
        <item m="1" x="221"/>
        <item m="1" x="174"/>
        <item m="1" x="260"/>
        <item h="1" m="1" x="247"/>
        <item m="1" x="158"/>
        <item m="1" x="160"/>
        <item m="1" x="85"/>
        <item m="1" x="113"/>
        <item m="1" x="147"/>
        <item m="1" x="238"/>
        <item m="1" x="66"/>
        <item m="1" x="39"/>
        <item m="1" x="155"/>
        <item m="1" x="234"/>
        <item h="1" m="1" x="211"/>
        <item m="1" x="43"/>
        <item h="1" m="1" x="237"/>
        <item m="1" x="249"/>
        <item m="1" x="165"/>
        <item x="4"/>
        <item m="1" x="143"/>
        <item m="1" x="56"/>
        <item m="1" x="59"/>
        <item m="1" x="121"/>
        <item m="1" x="137"/>
        <item m="1" x="33"/>
        <item m="1" x="110"/>
        <item h="1" m="1" x="44"/>
        <item h="1" m="1" x="168"/>
        <item m="1" x="81"/>
        <item h="1" m="1" x="242"/>
        <item h="1" m="1" x="196"/>
        <item m="1" x="257"/>
        <item m="1" x="163"/>
        <item m="1" x="152"/>
        <item m="1" x="35"/>
        <item m="1" x="116"/>
        <item m="1" x="50"/>
        <item h="1" m="1" x="173"/>
        <item m="1" x="64"/>
        <item m="1" x="142"/>
        <item m="1" x="245"/>
        <item m="1" x="107"/>
        <item m="1" x="127"/>
        <item h="1" m="1" x="181"/>
        <item h="1" m="1" x="68"/>
        <item m="1" x="83"/>
        <item m="1" x="177"/>
        <item m="1" x="89"/>
        <item m="1" x="232"/>
        <item m="1" x="239"/>
        <item m="1" x="203"/>
        <item h="1" m="1" x="149"/>
        <item m="1" x="75"/>
        <item m="1" x="183"/>
        <item m="1" x="208"/>
        <item h="1" m="1" x="261"/>
        <item m="1" x="227"/>
        <item m="1" x="188"/>
        <item h="1" m="1" x="97"/>
        <item m="1" x="119"/>
        <item h="1" m="1" x="40"/>
        <item m="1" x="192"/>
        <item m="1" x="167"/>
        <item h="1" m="1" x="230"/>
        <item m="1" x="224"/>
        <item m="1" x="36"/>
        <item m="1" x="146"/>
        <item m="1" x="82"/>
        <item m="1" x="144"/>
        <item h="1" m="1" x="104"/>
        <item h="1" m="1" x="38"/>
        <item h="1" m="1" x="73"/>
        <item h="1" m="1" x="109"/>
        <item m="1" x="148"/>
        <item m="1" x="53"/>
        <item m="1" x="47"/>
        <item m="1" x="246"/>
        <item m="1" x="216"/>
        <item m="1" x="236"/>
        <item m="1" x="184"/>
        <item m="1" x="94"/>
        <item m="1" x="41"/>
        <item m="1" x="102"/>
        <item m="1" x="108"/>
        <item m="1" x="128"/>
        <item m="1" x="217"/>
        <item m="1" x="189"/>
        <item m="1" x="199"/>
        <item m="1" x="262"/>
        <item h="1" m="1" x="178"/>
        <item h="1" m="1" x="115"/>
        <item h="1" m="1" x="98"/>
        <item h="1" m="1" x="222"/>
        <item h="1" m="1" x="228"/>
        <item h="1" m="1" x="205"/>
        <item h="1" m="1" x="42"/>
        <item h="1" m="1" x="233"/>
        <item h="1" m="1" x="215"/>
        <item h="1" m="1" x="34"/>
        <item m="1" x="32"/>
        <item h="1" m="1" x="138"/>
        <item h="1" m="1" x="164"/>
        <item m="1" x="154"/>
        <item m="1" x="124"/>
        <item m="1" x="153"/>
        <item m="1" x="204"/>
        <item h="1" m="1" x="209"/>
        <item m="1" x="197"/>
        <item h="1" m="1" x="69"/>
        <item m="1" x="48"/>
        <item m="1" x="139"/>
        <item m="1" x="219"/>
        <item m="1" x="186"/>
        <item m="1" x="3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4">
    <field x="19"/>
    <field x="6"/>
    <field x="9"/>
    <field x="10"/>
  </rowFields>
  <rowItems count="5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r="1">
      <x v="33"/>
    </i>
    <i r="1">
      <x v="56"/>
    </i>
    <i>
      <x v="27"/>
    </i>
    <i>
      <x v="28"/>
    </i>
    <i r="1">
      <x v="15"/>
    </i>
    <i r="1">
      <x v="84"/>
    </i>
    <i r="1">
      <x v="97"/>
    </i>
    <i r="1">
      <x v="119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0" hier="-1"/>
    <pageField fld="18" hier="-1"/>
  </pageFields>
  <dataFields count="5">
    <dataField name="Suma de Cant. pendiente" fld="7" baseField="0" baseItem="0"/>
    <dataField name="Suma de Cant. Programada" fld="21" baseField="19" baseItem="1"/>
    <dataField name="Máx. de Disponibilidad" fld="20" subtotal="max" baseField="0" baseItem="0"/>
    <dataField name="Máx. de CUPO CONTADO" fld="16" subtotal="max" baseField="0" baseItem="0" numFmtId="166"/>
    <dataField name="Máx. de CUPO CREDITO" fld="17" subtotal="max" baseField="0" baseItem="0" numFmtId="166"/>
  </dataFields>
  <formats count="11">
    <format dxfId="9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98">
      <pivotArea field="19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6">
      <pivotArea field="19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4">
      <pivotArea field="20" type="button" dataOnly="0" labelOnly="1" outline="0" axis="axisPage" fieldPosition="0"/>
    </format>
    <format dxfId="93">
      <pivotArea field="2" type="button" dataOnly="0" labelOnly="1" outline="0"/>
    </format>
    <format dxfId="92">
      <pivotArea field="19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0">
      <pivotArea field="19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I23" firstHeaderRow="1" firstDataRow="2" firstDataCol="7" rowPageCount="1" colPageCount="1"/>
  <pivotFields count="28">
    <pivotField axis="axisRow" compact="0" outline="0" showAll="0" defaultSubtotal="0">
      <items count="1345">
        <item m="1" x="378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x="237"/>
        <item m="1" x="279"/>
        <item m="1" x="292"/>
        <item m="1" x="398"/>
        <item m="1" x="286"/>
        <item m="1" x="1266"/>
        <item m="1" x="528"/>
        <item m="1" x="1019"/>
        <item m="1" x="1110"/>
        <item m="1" x="259"/>
        <item m="1" x="978"/>
        <item m="1" x="646"/>
        <item m="1" x="620"/>
        <item m="1" x="837"/>
        <item m="1" x="817"/>
        <item m="1" x="604"/>
        <item m="1" x="626"/>
        <item m="1" x="1247"/>
        <item m="1" x="498"/>
        <item m="1" x="383"/>
        <item m="1" x="418"/>
        <item m="1" x="306"/>
        <item m="1" x="377"/>
        <item m="1" x="494"/>
        <item m="1" x="1125"/>
        <item m="1" x="1252"/>
        <item m="1" x="1120"/>
        <item m="1" x="798"/>
        <item m="1" x="254"/>
        <item m="1" x="368"/>
        <item m="1" x="506"/>
        <item m="1" x="659"/>
        <item m="1" x="639"/>
        <item m="1" x="278"/>
        <item m="1" x="406"/>
        <item m="1" x="518"/>
        <item m="1" x="680"/>
        <item m="1" x="1017"/>
        <item m="1" x="871"/>
        <item m="1" x="652"/>
        <item m="1" x="845"/>
        <item m="1" x="396"/>
        <item m="1" x="882"/>
        <item m="1" x="1150"/>
        <item m="1" x="1026"/>
        <item m="1" x="284"/>
        <item m="1" x="526"/>
        <item m="1" x="688"/>
        <item m="1" x="863"/>
        <item m="1" x="673"/>
        <item m="1" x="1138"/>
        <item m="1" x="662"/>
        <item m="1" x="856"/>
        <item m="1" x="291"/>
        <item m="1" x="1277"/>
        <item m="1" x="277"/>
        <item m="1" x="651"/>
        <item m="1" x="1254"/>
        <item m="1" x="261"/>
        <item m="1" x="385"/>
        <item m="1" x="1010"/>
        <item m="1" x="1137"/>
        <item m="1" x="500"/>
        <item m="1" x="1270"/>
        <item m="1" x="1016"/>
        <item m="1" x="844"/>
        <item m="1" x="838"/>
        <item m="1" x="804"/>
        <item m="1" x="481"/>
        <item m="1" x="814"/>
        <item m="1" x="475"/>
        <item m="1" x="362"/>
        <item m="1" x="357"/>
        <item m="1" x="701"/>
        <item m="1" x="796"/>
        <item m="1" x="1097"/>
        <item m="1" x="402"/>
        <item m="1" x="352"/>
        <item m="1" x="1258"/>
        <item m="1" x="854"/>
        <item m="1" x="507"/>
        <item m="1" x="1143"/>
        <item m="1" x="660"/>
        <item m="1" x="389"/>
        <item m="1" x="1025"/>
        <item m="1" x="266"/>
        <item m="1" x="283"/>
        <item m="1" x="988"/>
        <item m="1" x="627"/>
        <item m="1" x="993"/>
        <item m="1" x="831"/>
        <item m="1" x="615"/>
        <item m="1" x="1005"/>
        <item m="1" x="1133"/>
        <item m="1" x="832"/>
        <item m="1" x="636"/>
        <item m="1" x="1238"/>
        <item m="1" x="1264"/>
        <item m="1" x="271"/>
        <item m="1" x="371"/>
        <item m="1" x="496"/>
        <item m="1" x="1245"/>
        <item m="1" x="658"/>
        <item m="1" x="853"/>
        <item m="1" x="257"/>
        <item m="1" x="825"/>
        <item m="1" x="1130"/>
        <item m="1" x="265"/>
        <item m="1" x="1000"/>
        <item m="1" x="388"/>
        <item m="1" x="1257"/>
        <item m="1" x="836"/>
        <item m="1" x="512"/>
        <item m="1" x="393"/>
        <item m="1" x="381"/>
        <item m="1" x="649"/>
        <item m="1" x="1118"/>
        <item m="1" x="815"/>
        <item m="1" x="644"/>
        <item m="1" x="492"/>
        <item m="1" x="1123"/>
        <item m="1" x="1250"/>
        <item m="1" x="843"/>
        <item m="1" x="505"/>
        <item m="1" x="487"/>
        <item m="1" x="247"/>
        <item m="1" x="252"/>
        <item m="1" x="618"/>
        <item m="1" x="375"/>
        <item m="1" x="273"/>
        <item m="1" x="394"/>
        <item m="1" x="672"/>
        <item m="1" x="1265"/>
        <item m="1" x="1274"/>
        <item m="1" x="513"/>
        <item m="1" x="290"/>
        <item m="1" x="464"/>
        <item m="1" x="585"/>
        <item m="1" x="769"/>
        <item m="1" x="802"/>
        <item m="1" x="597"/>
        <item m="1" x="758"/>
        <item m="1" x="1215"/>
        <item m="1" x="351"/>
        <item m="1" x="794"/>
        <item m="1" x="1342"/>
        <item m="1" x="602"/>
        <item m="1" x="959"/>
        <item m="1" x="966"/>
        <item m="1" x="1338"/>
        <item m="1" x="1095"/>
        <item m="1" x="786"/>
        <item m="1" x="1223"/>
        <item m="1" x="682"/>
        <item m="1" x="1220"/>
        <item m="1" x="779"/>
        <item m="1" x="593"/>
        <item m="1" x="1102"/>
        <item m="1" x="607"/>
        <item m="1" x="466"/>
        <item m="1" x="355"/>
        <item m="1" x="1343"/>
        <item m="1" x="1336"/>
        <item m="1" x="520"/>
        <item m="1" x="1149"/>
        <item m="1" x="480"/>
        <item m="1" x="933"/>
        <item m="1" x="941"/>
        <item m="1" x="448"/>
        <item m="1" x="559"/>
        <item m="1" x="338"/>
        <item m="1" x="608"/>
        <item m="1" x="1081"/>
        <item m="1" x="795"/>
        <item m="1" x="750"/>
        <item m="1" x="749"/>
        <item m="1" x="792"/>
        <item m="1" x="774"/>
        <item m="1" x="335"/>
        <item m="1" x="571"/>
        <item m="1" x="1202"/>
        <item m="1" x="927"/>
        <item m="1" x="1080"/>
        <item m="1" x="589"/>
        <item m="1" x="584"/>
        <item m="1" x="1305"/>
        <item m="1" x="574"/>
        <item m="1" x="1326"/>
        <item m="1" x="698"/>
        <item m="1" x="548"/>
        <item m="1" x="754"/>
        <item m="1" x="537"/>
        <item m="1" x="712"/>
        <item m="1" x="898"/>
        <item m="1" x="1175"/>
        <item m="1" x="948"/>
        <item m="1" x="531"/>
        <item m="1" x="1054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2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compact="0" outline="0" showAll="0"/>
    <pivotField axis="axisRow" compact="0" outline="0" showAll="0" defaultSubtotal="0">
      <items count="263">
        <item m="1" x="246"/>
        <item m="1" x="255"/>
        <item x="150"/>
        <item x="151"/>
        <item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m="1" x="209"/>
        <item m="1" x="223"/>
        <item x="137"/>
        <item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m="1" x="215"/>
        <item x="31"/>
        <item x="79"/>
        <item x="82"/>
        <item m="1" x="222"/>
        <item x="141"/>
        <item x="81"/>
        <item x="85"/>
        <item m="1" x="257"/>
        <item m="1" x="201"/>
        <item m="1" x="221"/>
        <item m="1" x="226"/>
        <item x="8"/>
        <item x="9"/>
        <item x="75"/>
        <item m="1" x="213"/>
        <item x="98"/>
        <item x="99"/>
        <item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x="100"/>
        <item x="86"/>
        <item x="87"/>
        <item x="88"/>
        <item m="1" x="231"/>
        <item m="1" x="189"/>
        <item m="1" x="204"/>
        <item m="1" x="203"/>
        <item m="1" x="233"/>
        <item x="90"/>
        <item x="89"/>
        <item x="35"/>
        <item x="42"/>
        <item x="37"/>
        <item x="40"/>
        <item x="39"/>
        <item x="34"/>
        <item m="1" x="230"/>
        <item x="93"/>
        <item x="57"/>
        <item x="33"/>
        <item x="38"/>
        <item m="1" x="206"/>
        <item m="1" x="219"/>
        <item m="1" x="237"/>
        <item x="178"/>
        <item x="59"/>
        <item m="1" x="192"/>
        <item m="1" x="234"/>
        <item x="110"/>
        <item x="52"/>
        <item m="1" x="240"/>
        <item m="1" x="183"/>
        <item m="1" x="245"/>
        <item m="1" x="190"/>
        <item x="102"/>
        <item m="1" x="235"/>
        <item m="1" x="200"/>
        <item x="53"/>
        <item m="1" x="252"/>
        <item x="73"/>
        <item x="41"/>
        <item x="63"/>
        <item x="66"/>
        <item x="65"/>
        <item x="68"/>
        <item m="1" x="180"/>
        <item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x="1"/>
        <item x="4"/>
        <item x="0"/>
        <item m="1" x="239"/>
        <item x="2"/>
        <item x="5"/>
        <item x="3"/>
        <item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x="114"/>
        <item m="1" x="210"/>
        <item x="160"/>
        <item x="158"/>
        <item x="17"/>
        <item x="13"/>
        <item x="15"/>
        <item x="14"/>
        <item m="1" x="229"/>
        <item x="32"/>
        <item x="132"/>
        <item m="1" x="185"/>
        <item x="21"/>
        <item x="24"/>
        <item x="26"/>
        <item x="27"/>
        <item x="28"/>
        <item x="29"/>
        <item x="124"/>
        <item x="115"/>
        <item x="122"/>
        <item x="119"/>
        <item x="118"/>
        <item x="121"/>
        <item x="120"/>
        <item x="159"/>
        <item m="1" x="251"/>
        <item x="113"/>
        <item m="1" x="208"/>
        <item x="48"/>
        <item m="1" x="193"/>
        <item m="1" x="224"/>
        <item m="1" x="241"/>
        <item m="1" x="236"/>
        <item x="96"/>
        <item x="97"/>
        <item x="179"/>
        <item m="1" x="207"/>
        <item x="67"/>
        <item x="104"/>
        <item x="109"/>
        <item m="1" x="254"/>
        <item x="101"/>
        <item m="1" x="212"/>
        <item m="1" x="228"/>
        <item m="1" x="227"/>
        <item m="1" x="216"/>
        <item m="1" x="181"/>
        <item m="1" x="186"/>
        <item x="174"/>
        <item x="147"/>
        <item m="1" x="195"/>
        <item x="94"/>
        <item x="95"/>
        <item m="1" x="250"/>
        <item m="1" x="184"/>
        <item m="1" x="232"/>
        <item x="44"/>
        <item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</items>
    </pivotField>
    <pivotField axis="axisRow" compact="0" outline="0" showAll="0" defaultSubtotal="0">
      <items count="30">
        <item x="12"/>
        <item x="1"/>
        <item x="16"/>
        <item x="13"/>
        <item x="15"/>
        <item x="2"/>
        <item x="0"/>
        <item x="4"/>
        <item x="3"/>
        <item x="18"/>
        <item x="11"/>
        <item m="1" x="26"/>
        <item m="1" x="29"/>
        <item m="1" x="25"/>
        <item x="24"/>
        <item x="8"/>
        <item x="5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compact="0" outline="0" showAll="0" defaultSubtotal="0">
      <items count="48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</items>
    </pivotField>
    <pivotField compact="0" outline="0" showAll="0" defaultSubtotal="0"/>
    <pivotField axis="axisRow" compact="0" outline="0" showAll="0" defaultSubtotal="0">
      <items count="166">
        <item x="105"/>
        <item x="62"/>
        <item x="49"/>
        <item x="113"/>
        <item x="114"/>
        <item x="48"/>
        <item x="4"/>
        <item x="10"/>
        <item m="1" x="164"/>
        <item m="1" x="142"/>
        <item x="60"/>
        <item x="118"/>
        <item x="124"/>
        <item x="0"/>
        <item m="1" x="139"/>
        <item x="86"/>
        <item x="100"/>
        <item x="30"/>
        <item x="24"/>
        <item x="111"/>
        <item x="3"/>
        <item x="35"/>
        <item x="101"/>
        <item x="9"/>
        <item x="47"/>
        <item x="79"/>
        <item x="54"/>
        <item x="109"/>
        <item x="127"/>
        <item x="69"/>
        <item x="61"/>
        <item m="1" x="157"/>
        <item x="128"/>
        <item x="126"/>
        <item x="99"/>
        <item x="131"/>
        <item x="26"/>
        <item x="51"/>
        <item x="32"/>
        <item x="123"/>
        <item x="94"/>
        <item x="1"/>
        <item x="15"/>
        <item x="34"/>
        <item x="82"/>
        <item x="44"/>
        <item x="52"/>
        <item x="16"/>
        <item x="93"/>
        <item x="83"/>
        <item x="85"/>
        <item x="116"/>
        <item m="1" x="141"/>
        <item m="1" x="134"/>
        <item x="95"/>
        <item m="1" x="156"/>
        <item x="14"/>
        <item x="53"/>
        <item x="17"/>
        <item m="1" x="163"/>
        <item x="31"/>
        <item x="28"/>
        <item x="22"/>
        <item x="97"/>
        <item x="11"/>
        <item m="1" x="158"/>
        <item x="43"/>
        <item m="1" x="149"/>
        <item x="12"/>
        <item x="96"/>
        <item x="92"/>
        <item x="98"/>
        <item x="38"/>
        <item x="42"/>
        <item x="74"/>
        <item x="7"/>
        <item x="18"/>
        <item x="89"/>
        <item x="119"/>
        <item x="5"/>
        <item m="1" x="152"/>
        <item x="8"/>
        <item x="6"/>
        <item x="19"/>
        <item x="65"/>
        <item m="1" x="155"/>
        <item x="23"/>
        <item x="27"/>
        <item x="73"/>
        <item x="57"/>
        <item x="2"/>
        <item x="56"/>
        <item x="64"/>
        <item x="25"/>
        <item x="125"/>
        <item x="21"/>
        <item x="90"/>
        <item x="68"/>
        <item m="1" x="138"/>
        <item x="70"/>
        <item m="1" x="137"/>
        <item x="78"/>
        <item x="81"/>
        <item x="77"/>
        <item x="87"/>
        <item x="39"/>
        <item x="59"/>
        <item x="71"/>
        <item m="1" x="140"/>
        <item m="1" x="153"/>
        <item x="36"/>
        <item x="117"/>
        <item x="20"/>
        <item x="29"/>
        <item x="67"/>
        <item x="40"/>
        <item x="63"/>
        <item x="102"/>
        <item x="112"/>
        <item m="1" x="154"/>
        <item x="13"/>
        <item x="91"/>
        <item x="41"/>
        <item x="115"/>
        <item m="1" x="136"/>
        <item x="55"/>
        <item x="37"/>
        <item m="1" x="151"/>
        <item x="104"/>
        <item m="1" x="147"/>
        <item m="1" x="165"/>
        <item x="103"/>
        <item x="110"/>
        <item x="66"/>
        <item x="84"/>
        <item x="106"/>
        <item m="1" x="144"/>
        <item sd="0" x="132"/>
        <item x="50"/>
        <item x="88"/>
        <item m="1" x="161"/>
        <item x="80"/>
        <item m="1" x="135"/>
        <item m="1" x="143"/>
        <item x="75"/>
        <item x="76"/>
        <item x="72"/>
        <item m="1" x="133"/>
        <item x="33"/>
        <item x="122"/>
        <item m="1" x="145"/>
        <item x="129"/>
        <item x="130"/>
        <item m="1" x="162"/>
        <item m="1" x="150"/>
        <item m="1" x="148"/>
        <item m="1" x="146"/>
        <item m="1" x="159"/>
        <item m="1" x="160"/>
        <item x="58"/>
        <item x="45"/>
        <item x="46"/>
        <item x="108"/>
        <item x="120"/>
        <item x="121"/>
        <item x="107"/>
      </items>
    </pivotField>
    <pivotField compact="0" outline="0" showAll="0"/>
    <pivotField compact="0" numFmtId="169" outline="0" showAll="0"/>
    <pivotField compact="0" numFmtId="170" outline="0" showAll="0"/>
    <pivotField compact="0" outline="0" showAll="0"/>
    <pivotField compact="0" numFmtId="166" outline="0" showAll="0"/>
    <pivotField compact="0" outline="0" showAll="0" defaultSubtotal="0"/>
    <pivotField compact="0" outline="0" showAll="0"/>
    <pivotField compact="0" outline="0" showAll="0"/>
    <pivotField axis="axisPage" dataField="1" compact="0" outline="0" multipleItemSelectionAllowed="1" showAll="0" defaultSubtotal="0">
      <items count="29">
        <item x="3"/>
        <item x="6"/>
        <item x="5"/>
        <item x="1"/>
        <item x="7"/>
        <item m="1" x="23"/>
        <item x="0"/>
        <item x="4"/>
        <item m="1" x="8"/>
        <item m="1" x="24"/>
        <item m="1" x="27"/>
        <item x="2"/>
        <item m="1" x="16"/>
        <item m="1" x="25"/>
        <item m="1" x="9"/>
        <item m="1" x="13"/>
        <item m="1" x="10"/>
        <item m="1" x="28"/>
        <item m="1" x="12"/>
        <item m="1" x="11"/>
        <item m="1" x="19"/>
        <item m="1" x="17"/>
        <item m="1" x="15"/>
        <item m="1" x="26"/>
        <item m="1" x="14"/>
        <item m="1" x="20"/>
        <item m="1" x="18"/>
        <item m="1" x="21"/>
        <item m="1" x="22"/>
      </items>
    </pivotField>
    <pivotField compact="0" outline="0" showAll="0"/>
    <pivotField axis="axisRow" compact="0" outline="0" multipleItemSelectionAllowed="1" showAll="0" sortType="ascending">
      <items count="5">
        <item m="1" x="2"/>
        <item m="1" x="3"/>
        <item x="1"/>
        <item h="1" x="0"/>
        <item t="default"/>
      </items>
    </pivotField>
    <pivotField dataField="1" compact="0" outline="0" showAll="0" defaultSubtotal="0"/>
    <pivotField compact="0" outline="0" showAll="0"/>
    <pivotField compact="0" outline="0" showAll="0" defaultSubtotal="0"/>
    <pivotField compact="0" outline="0" showAll="0" defaultSubtotal="0"/>
  </pivotFields>
  <rowFields count="7">
    <field x="23"/>
    <field x="0"/>
    <field x="6"/>
    <field x="12"/>
    <field x="8"/>
    <field x="9"/>
    <field x="10"/>
  </rowFields>
  <rowItems count="19">
    <i>
      <x v="2"/>
      <x v="1186"/>
      <x v="33"/>
      <x v="89"/>
      <x v="49"/>
      <x v="5"/>
      <x v="13"/>
    </i>
    <i r="6">
      <x v="18"/>
    </i>
    <i r="5">
      <x v="16"/>
      <x v="30"/>
    </i>
    <i r="5">
      <x v="27"/>
      <x v="13"/>
    </i>
    <i r="6">
      <x v="46"/>
    </i>
    <i r="1">
      <x v="1212"/>
      <x v="56"/>
      <x v="88"/>
      <x v="253"/>
      <x v="5"/>
      <x v="18"/>
    </i>
    <i r="5">
      <x v="16"/>
      <x v="24"/>
    </i>
    <i r="5">
      <x v="27"/>
      <x v="46"/>
    </i>
    <i r="1">
      <x v="1246"/>
      <x v="92"/>
      <x v="34"/>
      <x v="176"/>
      <x v="1"/>
      <x v="3"/>
    </i>
    <i r="6">
      <x v="13"/>
    </i>
    <i r="6">
      <x v="24"/>
    </i>
    <i r="6">
      <x v="35"/>
    </i>
    <i r="5">
      <x v="5"/>
      <x v="15"/>
    </i>
    <i r="1">
      <x v="1284"/>
      <x v="85"/>
      <x v="15"/>
      <x v="160"/>
      <x v="5"/>
      <x v="15"/>
    </i>
    <i r="1">
      <x v="1287"/>
      <x v="85"/>
      <x v="164"/>
      <x v="262"/>
      <x v="5"/>
      <x v="13"/>
    </i>
    <i r="6">
      <x v="15"/>
    </i>
    <i r="1">
      <x v="1289"/>
      <x v="85"/>
      <x v="44"/>
      <x v="255"/>
      <x v="5"/>
      <x v="15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a de Cant. Programada" fld="21" baseField="10" baseItem="29"/>
    <dataField name="Máx. de Condición de pago" fld="24" subtotal="max" baseField="10" baseItem="3"/>
  </dataFields>
  <formats count="25">
    <format dxfId="88">
      <pivotArea type="all" dataOnly="0" outline="0" fieldPosition="0"/>
    </format>
    <format dxfId="87">
      <pivotArea field="21" type="button" dataOnly="0" labelOnly="1" outline="0" axis="axisPage" fieldPosition="0"/>
    </format>
    <format dxfId="86">
      <pivotArea dataOnly="0" labelOnly="1" outline="0" fieldPosition="0">
        <references count="1">
          <reference field="21" count="0"/>
        </references>
      </pivotArea>
    </format>
    <format dxfId="85">
      <pivotArea field="8" type="button" dataOnly="0" labelOnly="1" outline="0" axis="axisRow" fieldPosition="4"/>
    </format>
    <format dxfId="84">
      <pivotArea field="-2" type="button" dataOnly="0" labelOnly="1" outline="0" axis="axisCol" fieldPosition="0"/>
    </format>
    <format dxfId="83">
      <pivotArea outline="0" collapsedLevelsAreSubtotals="1" fieldPosition="0">
        <references count="2">
          <reference field="4294967294" count="1" selected="0">
            <x v="0"/>
          </reference>
          <reference field="23" count="0" selected="0" defaultSubtotal="1"/>
        </references>
      </pivotArea>
    </format>
    <format dxfId="8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 selected="0">
            <x v="5"/>
            <x v="16"/>
            <x v="27"/>
          </reference>
          <reference field="10" count="3" selected="0">
            <x v="18"/>
            <x v="24"/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81">
      <pivotArea dataOnly="0" labelOnly="1" outline="0" fieldPosition="0">
        <references count="6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>
            <x v="5"/>
            <x v="16"/>
            <x v="27"/>
          </reference>
          <reference field="12" count="1" selected="0">
            <x v="88"/>
          </reference>
          <reference field="23" count="0" selected="0"/>
        </references>
      </pivotArea>
    </format>
    <format dxfId="80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5"/>
          </reference>
          <reference field="10" count="1">
            <x v="18"/>
          </reference>
          <reference field="12" count="1" selected="0">
            <x v="88"/>
          </reference>
          <reference field="23" count="0" selected="0"/>
        </references>
      </pivotArea>
    </format>
    <format dxfId="79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16"/>
          </reference>
          <reference field="10" count="1">
            <x v="24"/>
          </reference>
          <reference field="12" count="1" selected="0">
            <x v="88"/>
          </reference>
          <reference field="23" count="0" selected="0"/>
        </references>
      </pivotArea>
    </format>
    <format dxfId="78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27"/>
          </reference>
          <reference field="10" count="1"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77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2" selected="0">
            <x v="1"/>
            <x v="5"/>
          </reference>
          <reference field="10" count="5" selected="0">
            <x v="3"/>
            <x v="13"/>
            <x v="15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6">
      <pivotArea dataOnly="0" labelOnly="1" outline="0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1"/>
          </reference>
          <reference field="12" count="1" selected="0">
            <x v="34"/>
          </reference>
          <reference field="23" count="0" selected="0"/>
        </references>
      </pivotArea>
    </format>
    <format dxfId="75">
      <pivotArea dataOnly="0" labelOnly="1" outline="0" offset="IV1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4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1"/>
          </reference>
          <reference field="10" count="4">
            <x v="3"/>
            <x v="13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3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34"/>
          </reference>
          <reference field="23" count="0" selected="0"/>
        </references>
      </pivotArea>
    </format>
    <format dxfId="7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71">
      <pivotArea dataOnly="0" labelOnly="1" outline="0" offset="IV2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0">
      <pivotArea dataOnly="0" labelOnly="1" outline="0" fieldPosition="0">
        <references count="7"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69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 selected="0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8">
      <pivotArea dataOnly="0" labelOnly="1" outline="0" offset="IV3:IV4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7">
      <pivotArea dataOnly="0" labelOnly="1" outline="0" fieldPosition="0">
        <references count="7"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6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44"/>
          </reference>
          <reference field="23" count="0" selected="0"/>
        </references>
      </pivotArea>
    </format>
    <format dxfId="65">
      <pivotArea dataOnly="0" labelOnly="1" outline="0" offset="IV256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4">
      <pivotArea dataOnly="0" labelOnly="1" outline="0" fieldPosition="0">
        <references count="7"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44"/>
          </reference>
          <reference field="23" count="0" selected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B16" firstHeaderRow="1" firstDataRow="1" firstDataCol="1" rowPageCount="1" colPageCount="1"/>
  <pivotFields count="28"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122">
        <item sd="0" x="80"/>
        <item sd="0" x="81"/>
        <item m="1" x="111"/>
        <item sd="0" x="56"/>
        <item sd="0" m="1" x="104"/>
        <item sd="0" x="24"/>
        <item m="1" x="95"/>
        <item sd="0" x="72"/>
        <item sd="0" x="29"/>
        <item sd="0" x="34"/>
        <item x="37"/>
        <item sd="0" m="1" x="121"/>
        <item sd="0" m="1" x="98"/>
        <item sd="0" m="1" x="112"/>
        <item sd="0" x="70"/>
        <item sd="0" x="52"/>
        <item sd="0" x="11"/>
        <item x="71"/>
        <item sd="0" x="21"/>
        <item x="83"/>
        <item sd="0" x="69"/>
        <item sd="0" m="1" x="100"/>
        <item sd="0" x="12"/>
        <item sd="0" x="36"/>
        <item x="39"/>
        <item sd="0" x="73"/>
        <item x="42"/>
        <item sd="0" m="1" x="97"/>
        <item sd="0" x="88"/>
        <item x="78"/>
        <item sd="0" x="2"/>
        <item x="3"/>
        <item sd="0" x="50"/>
        <item sd="0" x="32"/>
        <item sd="0" x="48"/>
        <item sd="0" x="40"/>
        <item x="82"/>
        <item sd="0" x="59"/>
        <item sd="0" x="54"/>
        <item sd="0" x="25"/>
        <item sd="0" x="41"/>
        <item sd="0" x="84"/>
        <item x="35"/>
        <item x="4"/>
        <item sd="0" x="30"/>
        <item x="74"/>
        <item x="1"/>
        <item sd="0" x="77"/>
        <item x="5"/>
        <item x="49"/>
        <item sd="0" x="43"/>
        <item x="44"/>
        <item x="14"/>
        <item m="1" x="109"/>
        <item sd="0" m="1" x="117"/>
        <item sd="0" x="57"/>
        <item sd="0" x="45"/>
        <item sd="0" x="26"/>
        <item sd="0" m="1" x="103"/>
        <item x="92"/>
        <item x="27"/>
        <item sd="0" m="1" x="113"/>
        <item x="18"/>
        <item sd="0" x="22"/>
        <item sd="0" x="17"/>
        <item m="1" x="116"/>
        <item x="51"/>
        <item m="1" x="105"/>
        <item sd="0" x="23"/>
        <item sd="0" x="31"/>
        <item x="16"/>
        <item sd="0" x="28"/>
        <item sd="0" x="75"/>
        <item x="15"/>
        <item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m="1" x="108"/>
        <item sd="0" x="9"/>
        <item sd="0" x="10"/>
        <item sd="0" x="65"/>
        <item sd="0" x="62"/>
        <item sd="0" x="64"/>
        <item sd="0" x="86"/>
        <item sd="0" x="90"/>
        <item m="1" x="119"/>
        <item sd="0" x="53"/>
        <item sd="0" x="60"/>
        <item sd="0" x="20"/>
        <item m="1" x="101"/>
        <item sd="0" m="1" x="107"/>
        <item sd="0" m="1" x="115"/>
        <item x="46"/>
        <item sd="0" x="47"/>
        <item x="93"/>
        <item m="1" x="120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showAll="0"/>
    <pivotField axis="axisRow" showAll="0">
      <items count="264">
        <item m="1" x="246"/>
        <item m="1" x="255"/>
        <item x="150"/>
        <item sd="0" x="151"/>
        <item sd="0"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sd="0" m="1" x="209"/>
        <item m="1" x="223"/>
        <item x="137"/>
        <item sd="0"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sd="0" m="1" x="215"/>
        <item x="31"/>
        <item sd="0" x="79"/>
        <item x="82"/>
        <item m="1" x="222"/>
        <item x="141"/>
        <item x="81"/>
        <item x="85"/>
        <item m="1" x="257"/>
        <item sd="0" m="1" x="201"/>
        <item m="1" x="221"/>
        <item m="1" x="226"/>
        <item x="8"/>
        <item x="9"/>
        <item sd="0" x="75"/>
        <item m="1" x="213"/>
        <item x="98"/>
        <item x="99"/>
        <item sd="0"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sd="0" x="100"/>
        <item x="86"/>
        <item x="87"/>
        <item x="88"/>
        <item m="1" x="231"/>
        <item m="1" x="189"/>
        <item sd="0" m="1" x="204"/>
        <item m="1" x="203"/>
        <item sd="0" m="1" x="233"/>
        <item x="90"/>
        <item x="89"/>
        <item x="35"/>
        <item x="42"/>
        <item x="37"/>
        <item x="40"/>
        <item x="39"/>
        <item x="34"/>
        <item m="1" x="230"/>
        <item x="109"/>
        <item x="93"/>
        <item x="57"/>
        <item x="33"/>
        <item x="38"/>
        <item m="1" x="206"/>
        <item sd="0" m="1" x="219"/>
        <item m="1" x="237"/>
        <item x="178"/>
        <item x="59"/>
        <item m="1" x="192"/>
        <item m="1" x="234"/>
        <item x="110"/>
        <item m="1" x="207"/>
        <item x="52"/>
        <item m="1" x="240"/>
        <item m="1" x="183"/>
        <item m="1" x="245"/>
        <item m="1" x="190"/>
        <item x="102"/>
        <item m="1" x="235"/>
        <item m="1" x="200"/>
        <item sd="0" x="53"/>
        <item m="1" x="252"/>
        <item sd="0" x="73"/>
        <item x="41"/>
        <item sd="0" x="63"/>
        <item x="66"/>
        <item x="65"/>
        <item x="68"/>
        <item x="67"/>
        <item m="1" x="180"/>
        <item sd="0"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sd="0" x="1"/>
        <item sd="0" x="4"/>
        <item x="0"/>
        <item m="1" x="239"/>
        <item x="2"/>
        <item x="5"/>
        <item sd="0" x="3"/>
        <item sd="0"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sd="0" x="114"/>
        <item m="1" x="210"/>
        <item sd="0" x="160"/>
        <item x="158"/>
        <item sd="0" x="17"/>
        <item sd="0" x="13"/>
        <item sd="0" x="15"/>
        <item sd="0" x="14"/>
        <item sd="0" m="1" x="229"/>
        <item x="32"/>
        <item sd="0" x="132"/>
        <item m="1" x="185"/>
        <item sd="0" x="21"/>
        <item sd="0" x="24"/>
        <item sd="0" x="26"/>
        <item sd="0" x="27"/>
        <item sd="0" x="28"/>
        <item x="29"/>
        <item sd="0" x="124"/>
        <item x="115"/>
        <item sd="0" x="122"/>
        <item x="119"/>
        <item x="118"/>
        <item x="121"/>
        <item x="120"/>
        <item x="159"/>
        <item m="1" x="251"/>
        <item x="104"/>
        <item x="113"/>
        <item m="1" x="208"/>
        <item x="48"/>
        <item m="1" x="193"/>
        <item m="1" x="224"/>
        <item sd="0" m="1" x="241"/>
        <item m="1" x="236"/>
        <item x="96"/>
        <item x="97"/>
        <item x="179"/>
        <item m="1" x="254"/>
        <item sd="0" x="101"/>
        <item m="1" x="212"/>
        <item m="1" x="228"/>
        <item m="1" x="227"/>
        <item m="1" x="216"/>
        <item m="1" x="181"/>
        <item sd="0" m="1" x="186"/>
        <item x="174"/>
        <item x="147"/>
        <item m="1" x="195"/>
        <item x="94"/>
        <item x="95"/>
        <item m="1" x="250"/>
        <item m="1" x="184"/>
        <item m="1" x="232"/>
        <item x="44"/>
        <item sd="0"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  <item t="default"/>
      </items>
    </pivotField>
    <pivotField axis="axisRow" showAll="0">
      <items count="31">
        <item x="12"/>
        <item x="1"/>
        <item x="16"/>
        <item x="13"/>
        <item x="15"/>
        <item x="2"/>
        <item x="0"/>
        <item x="5"/>
        <item x="8"/>
        <item x="4"/>
        <item x="3"/>
        <item x="18"/>
        <item x="11"/>
        <item m="1" x="26"/>
        <item m="1" x="29"/>
        <item m="1" x="25"/>
        <item x="24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  <item t="default"/>
      </items>
    </pivotField>
    <pivotField axis="axisRow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5"/>
        <item x="1"/>
        <item m="1" x="47"/>
        <item x="13"/>
        <item m="1" x="34"/>
        <item x="3"/>
        <item x="8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9"/>
        <item m="1" x="13"/>
        <item m="1" x="23"/>
        <item h="1" x="0"/>
        <item m="1" x="10"/>
        <item m="1" x="28"/>
        <item m="1" x="12"/>
        <item h="1" m="1" x="11"/>
        <item m="1" x="19"/>
        <item m="1" x="17"/>
        <item m="1" x="15"/>
        <item m="1" x="26"/>
        <item m="1" x="14"/>
        <item h="1" m="1" x="20"/>
        <item m="1" x="18"/>
        <item h="1" m="1" x="21"/>
        <item m="1" x="22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4">
    <field x="6"/>
    <field x="8"/>
    <field x="9"/>
    <field x="10"/>
  </rowFields>
  <rowItems count="12">
    <i>
      <x v="33"/>
    </i>
    <i>
      <x v="43"/>
    </i>
    <i r="1">
      <x v="62"/>
    </i>
    <i r="2">
      <x v="27"/>
    </i>
    <i r="3">
      <x v="14"/>
    </i>
    <i r="3">
      <x v="32"/>
    </i>
    <i r="3">
      <x v="45"/>
    </i>
    <i r="3">
      <x v="46"/>
    </i>
    <i>
      <x v="56"/>
    </i>
    <i>
      <x v="84"/>
    </i>
    <i>
      <x v="91"/>
    </i>
    <i t="grand">
      <x/>
    </i>
  </rowItems>
  <colItems count="1">
    <i/>
  </colItems>
  <pageFields count="1">
    <pageField fld="21" hier="-1"/>
  </pageFields>
  <dataFields count="1">
    <dataField name="Suma de Cant. Programada" fld="21" baseField="8" baseItem="2"/>
  </dataFields>
  <formats count="36">
    <format dxfId="63">
      <pivotArea type="all" dataOnly="0" outline="0" fieldPosition="0"/>
    </format>
    <format dxfId="62">
      <pivotArea type="all" dataOnly="0" outline="0" fieldPosition="0"/>
    </format>
    <format dxfId="61">
      <pivotArea type="all" dataOnly="0" outline="0" fieldPosition="0"/>
    </format>
    <format dxfId="60">
      <pivotArea dataOnly="0" labelOnly="1" fieldPosition="0">
        <references count="1">
          <reference field="6" count="1">
            <x v="0"/>
          </reference>
        </references>
      </pivotArea>
    </format>
    <format dxfId="59">
      <pivotArea dataOnly="0" labelOnly="1" fieldPosition="0">
        <references count="1">
          <reference field="6" count="1">
            <x v="4"/>
          </reference>
        </references>
      </pivotArea>
    </format>
    <format dxfId="58">
      <pivotArea dataOnly="0" labelOnly="1" fieldPosition="0">
        <references count="1">
          <reference field="6" count="1">
            <x v="7"/>
          </reference>
        </references>
      </pivotArea>
    </format>
    <format dxfId="57">
      <pivotArea dataOnly="0" labelOnly="1" fieldPosition="0">
        <references count="1">
          <reference field="6" count="1">
            <x v="8"/>
          </reference>
        </references>
      </pivotArea>
    </format>
    <format dxfId="56">
      <pivotArea dataOnly="0" labelOnly="1" fieldPosition="0">
        <references count="1">
          <reference field="6" count="1">
            <x v="14"/>
          </reference>
        </references>
      </pivotArea>
    </format>
    <format dxfId="55">
      <pivotArea dataOnly="0" labelOnly="1" fieldPosition="0">
        <references count="1">
          <reference field="6" count="1">
            <x v="16"/>
          </reference>
        </references>
      </pivotArea>
    </format>
    <format dxfId="54">
      <pivotArea dataOnly="0" labelOnly="1" fieldPosition="0">
        <references count="1">
          <reference field="6" count="1">
            <x v="18"/>
          </reference>
        </references>
      </pivotArea>
    </format>
    <format dxfId="53">
      <pivotArea dataOnly="0" labelOnly="1" fieldPosition="0">
        <references count="1">
          <reference field="6" count="1">
            <x v="20"/>
          </reference>
        </references>
      </pivotArea>
    </format>
    <format dxfId="52">
      <pivotArea dataOnly="0" labelOnly="1" fieldPosition="0">
        <references count="1">
          <reference field="6" count="1">
            <x v="25"/>
          </reference>
        </references>
      </pivotArea>
    </format>
    <format dxfId="51">
      <pivotArea dataOnly="0" labelOnly="1" fieldPosition="0">
        <references count="1">
          <reference field="6" count="1">
            <x v="30"/>
          </reference>
        </references>
      </pivotArea>
    </format>
    <format dxfId="50">
      <pivotArea dataOnly="0" labelOnly="1" fieldPosition="0">
        <references count="1">
          <reference field="6" count="1">
            <x v="38"/>
          </reference>
        </references>
      </pivotArea>
    </format>
    <format dxfId="49">
      <pivotArea dataOnly="0" labelOnly="1" fieldPosition="0">
        <references count="1">
          <reference field="6" count="1">
            <x v="40"/>
          </reference>
        </references>
      </pivotArea>
    </format>
    <format dxfId="48">
      <pivotArea dataOnly="0" labelOnly="1" fieldPosition="0">
        <references count="1">
          <reference field="6" count="1">
            <x v="44"/>
          </reference>
        </references>
      </pivotArea>
    </format>
    <format dxfId="47">
      <pivotArea dataOnly="0" labelOnly="1" fieldPosition="0">
        <references count="1">
          <reference field="6" count="1">
            <x v="47"/>
          </reference>
        </references>
      </pivotArea>
    </format>
    <format dxfId="46">
      <pivotArea dataOnly="0" labelOnly="1" fieldPosition="0">
        <references count="1">
          <reference field="6" count="1">
            <x v="50"/>
          </reference>
        </references>
      </pivotArea>
    </format>
    <format dxfId="45">
      <pivotArea dataOnly="0" labelOnly="1" fieldPosition="0">
        <references count="1">
          <reference field="6" count="1">
            <x v="55"/>
          </reference>
        </references>
      </pivotArea>
    </format>
    <format dxfId="44">
      <pivotArea dataOnly="0" labelOnly="1" fieldPosition="0">
        <references count="1">
          <reference field="6" count="1">
            <x v="56"/>
          </reference>
        </references>
      </pivotArea>
    </format>
    <format dxfId="43">
      <pivotArea dataOnly="0" labelOnly="1" fieldPosition="0">
        <references count="1">
          <reference field="6" count="1">
            <x v="75"/>
          </reference>
        </references>
      </pivotArea>
    </format>
    <format dxfId="42">
      <pivotArea dataOnly="0" labelOnly="1" fieldPosition="0">
        <references count="1">
          <reference field="6" count="1">
            <x v="76"/>
          </reference>
        </references>
      </pivotArea>
    </format>
    <format dxfId="41">
      <pivotArea dataOnly="0" labelOnly="1" fieldPosition="0">
        <references count="1">
          <reference field="6" count="1">
            <x v="78"/>
          </reference>
        </references>
      </pivotArea>
    </format>
    <format dxfId="40">
      <pivotArea dataOnly="0" labelOnly="1" fieldPosition="0">
        <references count="1">
          <reference field="6" count="1">
            <x v="79"/>
          </reference>
        </references>
      </pivotArea>
    </format>
    <format dxfId="39">
      <pivotArea dataOnly="0" labelOnly="1" fieldPosition="0">
        <references count="1">
          <reference field="6" count="1">
            <x v="80"/>
          </reference>
        </references>
      </pivotArea>
    </format>
    <format dxfId="38">
      <pivotArea dataOnly="0" labelOnly="1" fieldPosition="0">
        <references count="1">
          <reference field="6" count="1">
            <x v="81"/>
          </reference>
        </references>
      </pivotArea>
    </format>
    <format dxfId="37">
      <pivotArea dataOnly="0" labelOnly="1" fieldPosition="0">
        <references count="1">
          <reference field="6" count="1">
            <x v="83"/>
          </reference>
        </references>
      </pivotArea>
    </format>
    <format dxfId="36">
      <pivotArea dataOnly="0" labelOnly="1" fieldPosition="0">
        <references count="1">
          <reference field="6" count="1">
            <x v="87"/>
          </reference>
        </references>
      </pivotArea>
    </format>
    <format dxfId="35">
      <pivotArea dataOnly="0" labelOnly="1" fieldPosition="0">
        <references count="1">
          <reference field="6" count="1">
            <x v="92"/>
          </reference>
        </references>
      </pivotArea>
    </format>
    <format dxfId="34">
      <pivotArea dataOnly="0" labelOnly="1" fieldPosition="0">
        <references count="1">
          <reference field="6" count="1">
            <x v="93"/>
          </reference>
        </references>
      </pivotArea>
    </format>
    <format dxfId="33">
      <pivotArea dataOnly="0" labelOnly="1" fieldPosition="0">
        <references count="1">
          <reference field="6" count="1">
            <x v="94"/>
          </reference>
        </references>
      </pivotArea>
    </format>
    <format dxfId="32">
      <pivotArea dataOnly="0" labelOnly="1" fieldPosition="0">
        <references count="1">
          <reference field="6" count="1">
            <x v="95"/>
          </reference>
        </references>
      </pivotArea>
    </format>
    <format dxfId="31">
      <pivotArea dataOnly="0" labelOnly="1" fieldPosition="0">
        <references count="1">
          <reference field="6" count="1">
            <x v="98"/>
          </reference>
        </references>
      </pivotArea>
    </format>
    <format dxfId="30">
      <pivotArea dataOnly="0" labelOnly="1" fieldPosition="0">
        <references count="1">
          <reference field="6" count="1">
            <x v="99"/>
          </reference>
        </references>
      </pivotArea>
    </format>
    <format dxfId="29">
      <pivotArea dataOnly="0" labelOnly="1" fieldPosition="0">
        <references count="1">
          <reference field="6" count="1">
            <x v="102"/>
          </reference>
        </references>
      </pivotArea>
    </format>
    <format dxfId="28">
      <pivotArea dataOnly="0" labelOnly="1" fieldPosition="0">
        <references count="1">
          <reference field="6" count="1">
            <x v="10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B1:C3" firstHeaderRow="2" firstDataRow="2" firstDataCol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m="1" x="2"/>
        <item h="1" m="1" x="3"/>
        <item h="1" x="0"/>
        <item h="1" x="1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1">
    <field x="23"/>
  </rowFields>
  <rowItems count="1">
    <i t="grand">
      <x/>
    </i>
  </rowItems>
  <colItems count="1">
    <i/>
  </colItems>
  <dataFields count="1">
    <dataField name="Suma de Cant. Programada" fld="21" baseField="23" baseItem="2"/>
  </dataFields>
  <formats count="3"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 dinámica4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J5:Q9" firstHeaderRow="2" firstDataRow="2" firstDataCol="2" rowPageCount="2" colPageCount="1"/>
  <pivotFields count="28">
    <pivotField axis="axisRow" compact="0" outline="0" showAll="0">
      <items count="1346">
        <item m="1" x="378"/>
        <item m="1" x="838"/>
        <item m="1" x="1010"/>
        <item m="1" x="1137"/>
        <item m="1" x="1270"/>
        <item m="1" x="277"/>
        <item m="1" x="1254"/>
        <item m="1" x="261"/>
        <item m="1" x="385"/>
        <item m="1" x="500"/>
        <item m="1" x="651"/>
        <item m="1" x="844"/>
        <item m="1" x="1016"/>
        <item m="1" x="1143"/>
        <item m="1" x="1274"/>
        <item m="1" x="283"/>
        <item m="1" x="1258"/>
        <item m="1" x="266"/>
        <item m="1" x="389"/>
        <item m="1" x="507"/>
        <item m="1" x="660"/>
        <item m="1" x="854"/>
        <item m="1" x="1025"/>
        <item m="1" x="1149"/>
        <item m="1" x="290"/>
        <item m="1" x="1265"/>
        <item m="1" x="273"/>
        <item m="1" x="394"/>
        <item m="1" x="513"/>
        <item m="1" x="672"/>
        <item m="1" x="520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m="1" x="1266"/>
        <item m="1" x="279"/>
        <item m="1" x="398"/>
        <item m="1" x="1019"/>
        <item m="1" x="286"/>
        <item m="1" x="528"/>
        <item m="1" x="292"/>
        <item m="1" x="682"/>
        <item m="1" x="306"/>
        <item m="1" x="418"/>
        <item m="1" x="604"/>
        <item m="1" x="798"/>
        <item m="1" x="978"/>
        <item m="1" x="1110"/>
        <item m="1" x="368"/>
        <item m="1" x="626"/>
        <item m="1" x="1120"/>
        <item m="1" x="1247"/>
        <item m="1" x="254"/>
        <item m="1" x="377"/>
        <item m="1" x="494"/>
        <item m="1" x="646"/>
        <item m="1" x="837"/>
        <item m="1" x="620"/>
        <item m="1" x="817"/>
        <item m="1" x="1125"/>
        <item m="1" x="1252"/>
        <item m="1" x="259"/>
        <item m="1" x="383"/>
        <item m="1" x="498"/>
        <item m="1" x="506"/>
        <item m="1" x="659"/>
        <item m="1" x="639"/>
        <item m="1" x="1138"/>
        <item m="1" x="278"/>
        <item m="1" x="396"/>
        <item m="1" x="518"/>
        <item m="1" x="680"/>
        <item m="1" x="871"/>
        <item m="1" x="652"/>
        <item m="1" x="845"/>
        <item m="1" x="1017"/>
        <item m="1" x="284"/>
        <item m="1" x="402"/>
        <item m="1" x="526"/>
        <item m="1" x="688"/>
        <item m="1" x="662"/>
        <item m="1" x="856"/>
        <item m="1" x="1026"/>
        <item m="1" x="1150"/>
        <item m="1" x="1277"/>
        <item m="1" x="291"/>
        <item m="1" x="406"/>
        <item m="1" x="882"/>
        <item m="1" x="673"/>
        <item m="1" x="863"/>
        <item m="1" x="701"/>
        <item m="1" x="1097"/>
        <item m="1" x="352"/>
        <item m="1" x="357"/>
        <item m="1" x="362"/>
        <item m="1" x="475"/>
        <item m="1" x="814"/>
        <item m="1" x="796"/>
        <item m="1" x="481"/>
        <item m="1" x="804"/>
        <item m="1" x="1238"/>
        <item m="1" x="247"/>
        <item m="1" x="371"/>
        <item m="1" x="487"/>
        <item m="1" x="831"/>
        <item m="1" x="615"/>
        <item m="1" x="988"/>
        <item m="1" x="1118"/>
        <item m="1" x="1245"/>
        <item m="1" x="252"/>
        <item m="1" x="375"/>
        <item m="1" x="492"/>
        <item m="1" x="644"/>
        <item m="1" x="836"/>
        <item m="1" x="618"/>
        <item m="1" x="815"/>
        <item m="1" x="993"/>
        <item m="1" x="1123"/>
        <item m="1" x="1250"/>
        <item m="1" x="257"/>
        <item m="1" x="381"/>
        <item m="1" x="496"/>
        <item m="1" x="649"/>
        <item m="1" x="843"/>
        <item m="1" x="627"/>
        <item m="1" x="825"/>
        <item m="1" x="1000"/>
        <item m="1" x="1130"/>
        <item m="1" x="1257"/>
        <item m="1" x="265"/>
        <item m="1" x="388"/>
        <item m="1" x="505"/>
        <item m="1" x="658"/>
        <item m="1" x="853"/>
        <item m="1" x="636"/>
        <item m="1" x="832"/>
        <item m="1" x="1005"/>
        <item m="1" x="1133"/>
        <item m="1" x="1264"/>
        <item m="1" x="271"/>
        <item m="1" x="393"/>
        <item m="1" x="512"/>
        <item m="1" x="758"/>
        <item m="1" x="1336"/>
        <item m="1" x="1338"/>
        <item m="1" x="597"/>
        <item m="1" x="786"/>
        <item m="1" x="585"/>
        <item m="1" x="769"/>
        <item m="1" x="959"/>
        <item m="1" x="1095"/>
        <item m="1" x="1215"/>
        <item m="1" x="1342"/>
        <item m="1" x="351"/>
        <item m="1" x="464"/>
        <item m="1" x="602"/>
        <item m="1" x="794"/>
        <item m="1" x="1220"/>
        <item m="1" x="1343"/>
        <item m="1" x="355"/>
        <item m="1" x="466"/>
        <item m="1" x="607"/>
        <item m="1" x="802"/>
        <item m="1" x="593"/>
        <item m="1" x="779"/>
        <item m="1" x="966"/>
        <item m="1" x="1102"/>
        <item m="1" x="1223"/>
        <item m="1" x="795"/>
        <item m="1" x="480"/>
        <item m="1" x="608"/>
        <item m="1" x="559"/>
        <item m="1" x="933"/>
        <item m="1" x="941"/>
        <item m="1" x="448"/>
        <item m="1" x="750"/>
        <item m="1" x="1081"/>
        <item m="1" x="338"/>
        <item m="1" x="792"/>
        <item m="1" x="589"/>
        <item m="1" x="774"/>
        <item m="1" x="927"/>
        <item m="1" x="335"/>
        <item m="1" x="571"/>
        <item m="1" x="749"/>
        <item m="1" x="1080"/>
        <item m="1" x="1202"/>
        <item m="1" x="1326"/>
        <item m="1" x="574"/>
        <item m="1" x="754"/>
        <item m="1" x="948"/>
        <item m="1" x="584"/>
        <item m="1" x="531"/>
        <item m="1" x="698"/>
        <item m="1" x="548"/>
        <item m="1" x="537"/>
        <item m="1" x="712"/>
        <item m="1" x="898"/>
        <item m="1" x="1054"/>
        <item m="1" x="1175"/>
        <item m="1" x="1305"/>
        <item x="237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compact="0" outline="0" showAll="0"/>
    <pivotField axis="axisPage" compact="0" outline="0" multipleItemSelectionAllowed="1" showAll="0">
      <items count="8">
        <item h="1" x="0"/>
        <item m="1" x="6"/>
        <item m="1" x="5"/>
        <item m="1" x="3"/>
        <item h="1" m="1" x="4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6"/>
  </rowFields>
  <rowItems count="3">
    <i>
      <x v="1186"/>
      <x v="34"/>
    </i>
    <i t="default">
      <x v="1186"/>
    </i>
    <i t="grand">
      <x/>
    </i>
  </rowItems>
  <colItems count="1">
    <i/>
  </colItems>
  <pageFields count="2">
    <pageField fld="21" hier="-1"/>
    <pageField fld="2" hier="-1"/>
  </pageFields>
  <formats count="16">
    <format dxfId="15">
      <pivotArea dataOnly="0" labelOnly="1" outline="0" fieldPosition="0">
        <references count="1">
          <reference field="0" count="1">
            <x v="889"/>
          </reference>
        </references>
      </pivotArea>
    </format>
    <format dxfId="14">
      <pivotArea dataOnly="0" labelOnly="1" outline="0" fieldPosition="0">
        <references count="1">
          <reference field="0" count="1">
            <x v="891"/>
          </reference>
        </references>
      </pivotArea>
    </format>
    <format dxfId="13">
      <pivotArea dataOnly="0" labelOnly="1" outline="0" fieldPosition="0">
        <references count="1">
          <reference field="0" count="1">
            <x v="892"/>
          </reference>
        </references>
      </pivotArea>
    </format>
    <format dxfId="12">
      <pivotArea dataOnly="0" labelOnly="1" outline="0" fieldPosition="0">
        <references count="1">
          <reference field="0" count="1">
            <x v="920"/>
          </reference>
        </references>
      </pivotArea>
    </format>
    <format dxfId="11">
      <pivotArea dataOnly="0" labelOnly="1" outline="0" fieldPosition="0">
        <references count="1">
          <reference field="0" count="1">
            <x v="923"/>
          </reference>
        </references>
      </pivotArea>
    </format>
    <format dxfId="10">
      <pivotArea dataOnly="0" labelOnly="1" outline="0" fieldPosition="0">
        <references count="1">
          <reference field="0" count="1">
            <x v="891"/>
          </reference>
        </references>
      </pivotArea>
    </format>
    <format dxfId="9">
      <pivotArea dataOnly="0" labelOnly="1" outline="0" fieldPosition="0">
        <references count="1">
          <reference field="0" count="1">
            <x v="840"/>
          </reference>
        </references>
      </pivotArea>
    </format>
    <format dxfId="8">
      <pivotArea dataOnly="0" labelOnly="1" outline="0" fieldPosition="0">
        <references count="1">
          <reference field="0" count="1">
            <x v="840"/>
          </reference>
        </references>
      </pivotArea>
    </format>
    <format dxfId="7">
      <pivotArea dataOnly="0" labelOnly="1" outline="0" fieldPosition="0">
        <references count="1">
          <reference field="0" count="1">
            <x v="842"/>
          </reference>
        </references>
      </pivotArea>
    </format>
    <format dxfId="6">
      <pivotArea dataOnly="0" labelOnly="1" outline="0" fieldPosition="0">
        <references count="1">
          <reference field="0" count="1">
            <x v="843"/>
          </reference>
        </references>
      </pivotArea>
    </format>
    <format dxfId="5">
      <pivotArea dataOnly="0" labelOnly="1" outline="0" fieldPosition="0">
        <references count="1">
          <reference field="0" count="1">
            <x v="844"/>
          </reference>
        </references>
      </pivotArea>
    </format>
    <format dxfId="4">
      <pivotArea dataOnly="0" labelOnly="1" outline="0" fieldPosition="0">
        <references count="1">
          <reference field="0" count="1">
            <x v="870"/>
          </reference>
        </references>
      </pivotArea>
    </format>
    <format dxfId="3">
      <pivotArea dataOnly="0" labelOnly="1" outline="0" fieldPosition="0">
        <references count="1">
          <reference field="0" count="1">
            <x v="1102"/>
          </reference>
        </references>
      </pivotArea>
    </format>
    <format dxfId="2">
      <pivotArea dataOnly="0" labelOnly="1" outline="0" fieldPosition="0">
        <references count="1">
          <reference field="0" count="1">
            <x v="870"/>
          </reference>
        </references>
      </pivotArea>
    </format>
    <format dxfId="1">
      <pivotArea dataOnly="0" labelOnly="1" outline="0" fieldPosition="0">
        <references count="1">
          <reference field="0" count="1">
            <x v="1102"/>
          </reference>
        </references>
      </pivotArea>
    </format>
    <format dxfId="0">
      <pivotArea dataOnly="0" labelOnly="1" outline="0" fieldPosition="0">
        <references count="1">
          <reference field="0" count="1">
            <x v="118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G10" firstHeaderRow="1" firstDataRow="2" firstDataCol="2" rowPageCount="1" colPageCount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18">
        <item x="93"/>
        <item x="91"/>
        <item x="87"/>
        <item x="61"/>
        <item x="13"/>
        <item x="9"/>
        <item x="64"/>
        <item x="85"/>
        <item x="6"/>
        <item x="0"/>
        <item x="67"/>
        <item x="7"/>
        <item x="8"/>
        <item x="10"/>
        <item x="66"/>
        <item m="1" x="98"/>
        <item x="86"/>
        <item x="63"/>
        <item x="62"/>
        <item x="65"/>
        <item x="89"/>
        <item x="20"/>
        <item x="32"/>
        <item x="4"/>
        <item x="45"/>
        <item x="82"/>
        <item x="49"/>
        <item x="24"/>
        <item m="1" x="116"/>
        <item x="50"/>
        <item x="46"/>
        <item m="1" x="109"/>
        <item x="1"/>
        <item m="1" x="96"/>
        <item x="80"/>
        <item m="1" x="104"/>
        <item x="15"/>
        <item m="1" x="117"/>
        <item x="23"/>
        <item x="14"/>
        <item m="1" x="106"/>
        <item x="12"/>
        <item x="31"/>
        <item x="44"/>
        <item x="60"/>
        <item m="1" x="103"/>
        <item x="37"/>
        <item x="16"/>
        <item x="35"/>
        <item x="2"/>
        <item x="36"/>
        <item x="18"/>
        <item m="1" x="113"/>
        <item x="84"/>
        <item x="51"/>
        <item x="71"/>
        <item x="54"/>
        <item m="1" x="101"/>
        <item x="48"/>
        <item x="28"/>
        <item x="26"/>
        <item x="40"/>
        <item x="30"/>
        <item x="41"/>
        <item x="75"/>
        <item x="73"/>
        <item x="69"/>
        <item x="47"/>
        <item x="19"/>
        <item m="1" x="99"/>
        <item x="70"/>
        <item x="27"/>
        <item x="5"/>
        <item x="38"/>
        <item x="59"/>
        <item m="1" x="114"/>
        <item x="42"/>
        <item m="1" x="94"/>
        <item x="52"/>
        <item x="81"/>
        <item x="53"/>
        <item x="77"/>
        <item m="1" x="108"/>
        <item x="76"/>
        <item m="1" x="97"/>
        <item x="3"/>
        <item x="34"/>
        <item x="57"/>
        <item x="17"/>
        <item x="90"/>
        <item x="78"/>
        <item m="1" x="102"/>
        <item m="1" x="111"/>
        <item x="21"/>
        <item x="72"/>
        <item m="1" x="115"/>
        <item m="1" x="95"/>
        <item x="43"/>
        <item x="29"/>
        <item x="25"/>
        <item x="56"/>
        <item x="79"/>
        <item x="83"/>
        <item x="74"/>
        <item m="1" x="112"/>
        <item x="33"/>
        <item m="1" x="110"/>
        <item x="22"/>
        <item x="11"/>
        <item x="39"/>
        <item m="1" x="105"/>
        <item x="92"/>
        <item m="1" x="107"/>
        <item m="1" x="100"/>
        <item x="88"/>
        <item x="55"/>
        <item x="58"/>
        <item x="68"/>
      </items>
    </pivotField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dataField="1"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3"/>
    <field x="6"/>
  </rowFields>
  <rowItems count="6">
    <i>
      <x v="2"/>
      <x v="86"/>
    </i>
    <i>
      <x v="19"/>
      <x v="93"/>
    </i>
    <i>
      <x v="22"/>
      <x v="34"/>
    </i>
    <i>
      <x v="23"/>
      <x v="44"/>
    </i>
    <i>
      <x v="24"/>
      <x v="57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Suma de Costo Programado" fld="22" baseField="13" baseItem="0" numFmtId="1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81" totalsRowShown="0" headerRowDxfId="152" dataDxfId="151">
  <autoFilter ref="A1:H81" xr:uid="{00000000-0009-0000-0100-000001000000}"/>
  <tableColumns count="8">
    <tableColumn id="1" xr3:uid="{00000000-0010-0000-0000-000001000000}" name="Referencia" dataDxfId="150"/>
    <tableColumn id="2" xr3:uid="{00000000-0010-0000-0000-000002000000}" name="Desc detalle ext 1" dataDxfId="149"/>
    <tableColumn id="4" xr3:uid="{00000000-0010-0000-0000-000004000000}" name="Total" dataDxfId="148"/>
    <tableColumn id="8" xr3:uid="{00000000-0010-0000-0000-000008000000}" name="Programacion dia anterior" dataDxfId="147">
      <calculatedColumnFormula>+IFERROR(VLOOKUP(Tabla1[[#This Row],[Referencia]]&amp;Tabla1[[#This Row],[Desc detalle ext 1]],Tabla5[],2,FALSE),0)</calculatedColumnFormula>
    </tableColumn>
    <tableColumn id="9" xr3:uid="{00000000-0010-0000-0000-000009000000}" name="Disponibilidad Real" dataDxfId="146">
      <calculatedColumnFormula>+Tabla1[[#This Row],[Total]]-Tabla1[[#This Row],[Programacion dia anterior]]</calculatedColumnFormula>
    </tableColumn>
    <tableColumn id="7" xr3:uid="{00000000-0010-0000-0000-000007000000}" name="Referencia-Color" dataDxfId="145">
      <calculatedColumnFormula>+A2&amp;B2</calculatedColumnFormula>
    </tableColumn>
    <tableColumn id="5" xr3:uid="{00000000-0010-0000-0000-000005000000}" name="Programación" dataDxfId="144">
      <calculatedColumnFormula>+SUMIF(DATOS!$Z$1:$Z$3501,"="&amp;Tabla1[[#This Row],[Referencia-Color]],DATOS!$V$1:$V$3501)</calculatedColumnFormula>
    </tableColumn>
    <tableColumn id="6" xr3:uid="{00000000-0010-0000-0000-000006000000}" name="Disponibilidad" dataDxfId="143">
      <calculatedColumnFormula>+Tabla1[[#This Row],[Disponibilidad Real]]-Tabla1[[#This Row],[Programación]]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F1:G196" totalsRowShown="0" headerRowDxfId="142" dataDxfId="141">
  <autoFilter ref="F1:G196" xr:uid="{00000000-0009-0000-0100-000005000000}"/>
  <tableColumns count="2">
    <tableColumn id="1" xr3:uid="{00000000-0010-0000-0100-000001000000}" name="FORMULADO" dataDxfId="140"/>
    <tableColumn id="2" xr3:uid="{00000000-0010-0000-0100-000002000000}" name="Columna1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146" totalsRowShown="0" headerRowDxfId="138" dataDxfId="137" tableBorderDxfId="136">
  <autoFilter ref="A1:G146" xr:uid="{00000000-0009-0000-0100-000004000000}"/>
  <tableColumns count="7">
    <tableColumn id="1" xr3:uid="{00000000-0010-0000-0200-000001000000}" name="ZONA" dataDxfId="135"/>
    <tableColumn id="2" xr3:uid="{00000000-0010-0000-0200-000002000000}" name="NIT" dataDxfId="134"/>
    <tableColumn id="3" xr3:uid="{00000000-0010-0000-0200-000003000000}" name="RAZON SOCIAL  NOMBRE DEL ESTABLECIMIENTO" dataDxfId="133"/>
    <tableColumn id="4" xr3:uid="{00000000-0010-0000-0200-000004000000}" name="CONTADO A HOY" dataDxfId="132"/>
    <tableColumn id="5" xr3:uid="{00000000-0010-0000-0200-000005000000}" name="CUPO DE CREDITO FANALCA" dataDxfId="131"/>
    <tableColumn id="6" xr3:uid="{00000000-0010-0000-0200-000006000000}" name="CUPO DE CREDITO FACTORING" dataDxfId="130" dataCellStyle="Millares 2 6"/>
    <tableColumn id="7" xr3:uid="{00000000-0010-0000-0200-000007000000}" name="TOTAL CREDITO" dataDxfId="129">
      <calculatedColumnFormula>+Tabla4[[#This Row],[CUPO DE CREDITO FANALCA]]+Tabla4[[#This Row],[CUPO DE CREDITO FACTORING]]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1:AB2193" totalsRowShown="0">
  <autoFilter ref="A1:AB2193" xr:uid="{00000000-0009-0000-0100-000003000000}">
    <filterColumn colId="0">
      <filters>
        <filter val="PVT-00095815"/>
      </filters>
    </filterColumn>
  </autoFilter>
  <tableColumns count="28">
    <tableColumn id="1" xr3:uid="{00000000-0010-0000-0300-000001000000}" name="Nro documento" dataDxfId="128"/>
    <tableColumn id="2" xr3:uid="{00000000-0010-0000-0300-000002000000}" name="Fecha" dataDxfId="127"/>
    <tableColumn id="3" xr3:uid="{00000000-0010-0000-0300-000003000000}" name="Estado movto." dataDxfId="126"/>
    <tableColumn id="4" xr3:uid="{00000000-0010-0000-0300-000004000000}" name="ZONAS" dataDxfId="125"/>
    <tableColumn id="5" xr3:uid="{00000000-0010-0000-0300-000005000000}" name="CLASE DE CLIENTE" dataDxfId="124"/>
    <tableColumn id="6" xr3:uid="{00000000-0010-0000-0300-000006000000}" name="Cant pedida" dataDxfId="123"/>
    <tableColumn id="7" xr3:uid="{00000000-0010-0000-0300-000007000000}" name="Razón social cliente factura" dataDxfId="122"/>
    <tableColumn id="8" xr3:uid="{00000000-0010-0000-0300-000008000000}" name="Cant pendiente" dataDxfId="121"/>
    <tableColumn id="9" xr3:uid="{00000000-0010-0000-0300-000009000000}" name="Desc sucursal factura" dataDxfId="120"/>
    <tableColumn id="10" xr3:uid="{00000000-0010-0000-0300-00000A000000}" name="Referencia" dataDxfId="119"/>
    <tableColumn id="11" xr3:uid="{00000000-0010-0000-0300-00000B000000}" name="Desc detalle ext 1" dataDxfId="118"/>
    <tableColumn id="12" xr3:uid="{00000000-0010-0000-0300-00000C000000}" name="Fecha factura desde pedido" dataDxfId="117"/>
    <tableColumn id="13" xr3:uid="{00000000-0010-0000-0300-00000D000000}" name="Desc. ciudad" dataDxfId="116"/>
    <tableColumn id="14" xr3:uid="{00000000-0010-0000-0300-00000E000000}" name="Cliente factura" dataDxfId="115"/>
    <tableColumn id="15" xr3:uid="{00000000-0010-0000-0300-00000F000000}" name="Precio unit" dataDxfId="114"/>
    <tableColumn id="45" xr3:uid="{00000000-0010-0000-0300-00002D000000}" name="Costo del pedido" dataDxfId="113">
      <calculatedColumnFormula>+Tabla3[[#This Row],[Precio unit]]*Tabla3[[#This Row],[Cant pendiente]]</calculatedColumnFormula>
    </tableColumn>
    <tableColumn id="46" xr3:uid="{00000000-0010-0000-0300-00002E000000}" name="CUPO CONTADO" dataDxfId="112">
      <calculatedColumnFormula>+IF(IFERROR(VLOOKUP(Tabla3[[#This Row],[Cliente factura]],Tabla4[[NIT]:[TOTAL CREDITO]],3,FALSE),0)="",0,IFERROR(VLOOKUP(Tabla3[[#This Row],[Cliente factura]],Tabla4[[NIT]:[TOTAL CREDITO]],3,FALSE),0))</calculatedColumnFormula>
    </tableColumn>
    <tableColumn id="47" xr3:uid="{00000000-0010-0000-0300-00002F000000}" name="CUPO CREDITO" dataDxfId="111">
      <calculatedColumnFormula>+IFERROR(VLOOKUP(Tabla3[[#This Row],[Cliente factura]],Tabla4[[NIT]:[TOTAL CREDITO]],6,FALSE),0)</calculatedColumnFormula>
    </tableColumn>
    <tableColumn id="48" xr3:uid="{00000000-0010-0000-0300-000030000000}" name="Tiene Cupo" dataDxfId="110">
      <calculatedColumnFormula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calculatedColumnFormula>
    </tableColumn>
    <tableColumn id="49" xr3:uid="{00000000-0010-0000-0300-000031000000}" name="RUTA" dataDxfId="109">
      <calculatedColumnFormula>VLOOKUP(Tabla3[[#This Row],[Razón social cliente factura]]&amp;Tabla3[[#This Row],[Desc. ciudad]],'Estandar de Rutas'!$C$1:$E$553,2,FALSE)</calculatedColumnFormula>
    </tableColumn>
    <tableColumn id="50" xr3:uid="{00000000-0010-0000-0300-000032000000}" name="Disponibilidad" dataDxfId="108">
      <calculatedColumnFormula>IFERROR(VLOOKUP(Tabla3[[#This Row],[Referencia]]&amp;Tabla3[[#This Row],[Desc detalle ext 1]],Tabla1[[Referencia-Color]:[Disponibilidad]],3,FALSE),0)</calculatedColumnFormula>
    </tableColumn>
    <tableColumn id="51" xr3:uid="{00000000-0010-0000-0300-000033000000}" name="Cant. Programada" dataDxfId="107"/>
    <tableColumn id="52" xr3:uid="{00000000-0010-0000-0300-000034000000}" name="Costo Programado" dataDxfId="106">
      <calculatedColumnFormula>+Tabla3[[#This Row],[Cant. Programada]]*Tabla3[[#This Row],[Precio unit]]</calculatedColumnFormula>
    </tableColumn>
    <tableColumn id="53" xr3:uid="{00000000-0010-0000-0300-000035000000}" name="# Viaje" dataDxfId="105"/>
    <tableColumn id="16" xr3:uid="{00000000-0010-0000-0300-000010000000}" name="Condición de pago" dataDxfId="104"/>
    <tableColumn id="54" xr3:uid="{00000000-0010-0000-0300-000036000000}" name="Concatenar" dataDxfId="103">
      <calculatedColumnFormula>+Tabla3[[#This Row],[Referencia]]&amp;Tabla3[[#This Row],[Desc detalle ext 1]]</calculatedColumnFormula>
    </tableColumn>
    <tableColumn id="17" xr3:uid="{00000000-0010-0000-0300-000011000000}" name="TRANSPORTADOR" dataDxfId="102">
      <calculatedColumnFormula>+VLOOKUP(Tabla3[[#This Row],[CODIGO2]],ESTANDAR!$B$3:$C$9,2,FALSE)</calculatedColumnFormula>
    </tableColumn>
    <tableColumn id="18" xr3:uid="{00000000-0010-0000-0300-000012000000}" name="CODIGO2" dataDxfId="101">
      <calculatedColumnFormula>+MID(Tabla3[[#This Row],['# Viaje]],10,1)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AB5" totalsRowShown="0">
  <autoFilter ref="A1:AB5" xr:uid="{00000000-0009-0000-0100-000006000000}"/>
  <tableColumns count="28">
    <tableColumn id="1" xr3:uid="{00000000-0010-0000-0400-000001000000}" name="Nro documento"/>
    <tableColumn id="2" xr3:uid="{00000000-0010-0000-0400-000002000000}" name="Fecha" dataDxfId="100"/>
    <tableColumn id="3" xr3:uid="{00000000-0010-0000-0400-000003000000}" name="Estado movto."/>
    <tableColumn id="4" xr3:uid="{00000000-0010-0000-0400-000004000000}" name="ZONAS"/>
    <tableColumn id="5" xr3:uid="{00000000-0010-0000-0400-000005000000}" name="CLASE DE CLIENTE"/>
    <tableColumn id="6" xr3:uid="{00000000-0010-0000-0400-000006000000}" name="Cant. pedida"/>
    <tableColumn id="7" xr3:uid="{00000000-0010-0000-0400-000007000000}" name="Razón social cliente factura"/>
    <tableColumn id="8" xr3:uid="{00000000-0010-0000-0400-000008000000}" name="Cant. pendiente"/>
    <tableColumn id="9" xr3:uid="{00000000-0010-0000-0400-000009000000}" name="Desc. sucursal factura"/>
    <tableColumn id="10" xr3:uid="{00000000-0010-0000-0400-00000A000000}" name="Referencia"/>
    <tableColumn id="11" xr3:uid="{00000000-0010-0000-0400-00000B000000}" name="Desc. detalle ext. 1"/>
    <tableColumn id="12" xr3:uid="{00000000-0010-0000-0400-00000C000000}" name="Fecha entrega"/>
    <tableColumn id="13" xr3:uid="{00000000-0010-0000-0400-00000D000000}" name="Desc. ciudad"/>
    <tableColumn id="14" xr3:uid="{00000000-0010-0000-0400-00000E000000}" name="Cliente factura"/>
    <tableColumn id="15" xr3:uid="{00000000-0010-0000-0400-00000F000000}" name="Precio unit."/>
    <tableColumn id="16" xr3:uid="{00000000-0010-0000-0400-000010000000}" name="Costo del pedido"/>
    <tableColumn id="17" xr3:uid="{00000000-0010-0000-0400-000011000000}" name="CUPO CONTADO"/>
    <tableColumn id="18" xr3:uid="{00000000-0010-0000-0400-000012000000}" name="CUPO CREDITO"/>
    <tableColumn id="19" xr3:uid="{00000000-0010-0000-0400-000013000000}" name="Tiene Cupo"/>
    <tableColumn id="20" xr3:uid="{00000000-0010-0000-0400-000014000000}" name="RUTA"/>
    <tableColumn id="21" xr3:uid="{00000000-0010-0000-0400-000015000000}" name="Disponibilidad"/>
    <tableColumn id="22" xr3:uid="{00000000-0010-0000-0400-000016000000}" name="Cant. Programada"/>
    <tableColumn id="23" xr3:uid="{00000000-0010-0000-0400-000017000000}" name="Costo Programado"/>
    <tableColumn id="24" xr3:uid="{00000000-0010-0000-0400-000018000000}" name="# Viaje"/>
    <tableColumn id="25" xr3:uid="{00000000-0010-0000-0400-000019000000}" name="Condición de pago"/>
    <tableColumn id="26" xr3:uid="{00000000-0010-0000-0400-00001A000000}" name="Concatenar"/>
    <tableColumn id="27" xr3:uid="{00000000-0010-0000-0400-00001B000000}" name="TRANSPORTADOR"/>
    <tableColumn id="28" xr3:uid="{00000000-0010-0000-0400-00001C000000}" name="CODIGO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2" displayName="Tabla2" ref="E24:K39" totalsRowShown="0" headerRowDxfId="24" dataDxfId="23">
  <autoFilter ref="E24:K39" xr:uid="{00000000-0009-0000-0100-000002000000}"/>
  <tableColumns count="7">
    <tableColumn id="1" xr3:uid="{00000000-0010-0000-0500-000001000000}" name="Código del Viaje" dataDxfId="22">
      <calculatedColumnFormula>+B26</calculatedColumnFormula>
    </tableColumn>
    <tableColumn id="2" xr3:uid="{00000000-0010-0000-0500-000002000000}" name="Empresa transportadora" dataDxfId="21">
      <calculatedColumnFormula>+VLOOKUP(C50,ESTANDAR!B$3:C$8,2,FALSE)</calculatedColumnFormula>
    </tableColumn>
    <tableColumn id="3" xr3:uid="{00000000-0010-0000-0500-000003000000}" name="Tipo de Camión" dataDxfId="20">
      <calculatedColumnFormula>+VLOOKUP(D50,ESTANDAR!$E$3:$F$6,2,FALSE)</calculatedColumnFormula>
    </tableColumn>
    <tableColumn id="4" xr3:uid="{00000000-0010-0000-0500-000004000000}" name="Cantidad de motos" dataDxfId="19">
      <calculatedColumnFormula>+C26</calculatedColumnFormula>
    </tableColumn>
    <tableColumn id="5" xr3:uid="{00000000-0010-0000-0500-000005000000}" name="Hora de Cargue" dataDxfId="18">
      <calculatedColumnFormula>+VLOOKUP(F50,ESTANDAR!$H$3:$I$5,2,FALSE)</calculatedColumnFormula>
    </tableColumn>
    <tableColumn id="6" xr3:uid="{00000000-0010-0000-0500-000006000000}" name="Conductor" dataDxfId="17"/>
    <tableColumn id="7" xr3:uid="{00000000-0010-0000-0500-000007000000}" name="Cant. Puntos" dataDxfId="1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afbarbosa@fanalca.com.co;ltorres@fanalca.com.co;dialopez@fanalca.com.co;omrodriguez@fanalca.com.co;mburgos@fanalca.com.co;idramirez@fanalca.com.co;jacosta@fanalca.com.co;yeisonramos73@hotmail.com;humartinez@fanalca.com.co" TargetMode="External"/><Relationship Id="rId11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1" Type="http://schemas.openxmlformats.org/officeDocument/2006/relationships/hyperlink" Target="mailto:afbarbosa@fanalca.com.co;ltorres@fanalca.com.co;dialopez@fanalca.com.co;omrodriguez@fanalca.com.co;ojoerns@fanalca.com.co;ralba@fanalca.com.co;tgvanoy@fanalca.com.co;salvitachin2008@yahoo.es" TargetMode="External"/><Relationship Id="rId42" Type="http://schemas.openxmlformats.org/officeDocument/2006/relationships/hyperlink" Target="mailto:afbarbosa@fanalca.com.co;ltorres@fanalca.com.co;dialopez@fanalca.com.co;omrodriguez@fanalca.com.co;mburgos@fanalca.com.co;idramirez@fanalca.com.co;jacosta@fanalca.com.co;reguemoto@gmail.com;humartinez@fanalca.com.co" TargetMode="External"/><Relationship Id="rId47" Type="http://schemas.openxmlformats.org/officeDocument/2006/relationships/hyperlink" Target="mailto:afbarbosa@fanalca.com.co;ltorres@fanalca.com.co;dialopez@fanalca.com.co;omrodriguez@fanalca.com.co;mburgos@fanalca.com.co;idramirez@fanalca.com.co;jacosta@fanalca.com.co;jalexp_18@hotmail.com;bmwgonzaga@hotmail.com;" TargetMode="External"/><Relationship Id="rId63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6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losmotorcol@yahoo.es;motorcolhonda@yahoo.es" TargetMode="External"/><Relationship Id="rId8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reiserrano@grupowonder.com;asistfyc@grupowonder.com%20;" TargetMode="External"/><Relationship Id="rId89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agrisales@supermotosdelpacifico.com.co" TargetMode="External"/><Relationship Id="rId16" Type="http://schemas.openxmlformats.org/officeDocument/2006/relationships/hyperlink" Target="mailto:afbarbosa@fanalca.com.co;ltorres@fanalca.com.co;dialopez@fanalca.com.co;omrodriguez@fanalca.com.co;ojoerns@fanalca.com.co;ralba@fanalca.com.co;tgvanoy@fanalca.com.co;oscarmendez37@hotmail.com" TargetMode="External"/><Relationship Id="rId10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1" Type="http://schemas.openxmlformats.org/officeDocument/2006/relationships/hyperlink" Target="mailto:afbarbosa@fanalca.com.co;ltorres@fanalca.com.co;dialopez@fanalca.com.co;omrodriguez@fanalca.com.co;ojoerns@fanalca.com.co;ralba@fanalca.com.co;tgvanoy@fanalca.com.co;distrillantas.gustavo@gmail.com" TargetMode="External"/><Relationship Id="rId32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37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3" Type="http://schemas.openxmlformats.org/officeDocument/2006/relationships/hyperlink" Target="mailto:afbarbosa@fanalca.com.co;ltorres@fanalca.com.co;dialopez@fanalca.com.co;omrodriguez@fanalca.com.co;mburgos@fanalca.com.co;idramirez@fanalca.com.co;jacosta@fanalca.com.co;buenahcaribe.g@hotmail.com" TargetMode="External"/><Relationship Id="rId58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" TargetMode="External"/><Relationship Id="rId7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olmotosft@hotmail.es" TargetMode="External"/><Relationship Id="rId7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hondapitsgiron@gmail.com" TargetMode="External"/><Relationship Id="rId10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;" TargetMode="External"/><Relationship Id="rId12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estrepo@supermotosdelvalle.com.co" TargetMode="External"/><Relationship Id="rId128" Type="http://schemas.openxmlformats.org/officeDocument/2006/relationships/printerSettings" Target="../printerSettings/printerSettings5.bin"/><Relationship Id="rId5" Type="http://schemas.openxmlformats.org/officeDocument/2006/relationships/hyperlink" Target="mailto:afbarbosa@fanalca.com.co;ltorres@fanalca.com.co;dialopez@fanalca.com.co;omrodriguez@fanalca.com.co;ojoerns@fanalca.com.co;ralba@fanalca.com.co;tgvanoy@fanalca.com.co;mercamotor.sas@gmail.com" TargetMode="External"/><Relationship Id="rId90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95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22" Type="http://schemas.openxmlformats.org/officeDocument/2006/relationships/hyperlink" Target="mailto:afbarbosa@fanalca.com.co;ltorres@fanalca.com.co;dialopez@fanalca.com.co;omrodriguez@fanalca.com.co;ojoerns@fanalca.com.co;ralba@fanalca.com.co;tgvanoy@fanalca.com.co;jsandoval@sancarga.com" TargetMode="External"/><Relationship Id="rId27" Type="http://schemas.openxmlformats.org/officeDocument/2006/relationships/hyperlink" Target="mailto:afbarbosa@fanalca.com.co;ltorres@fanalca.com.co;dialopez@fanalca.com.co;omrodriguez@fanalca.com.co;mburgos@fanalca.com.co;idramirez@fanalca.com.co;jacosta@fanalca.com.co;hondachoco@hotmail.com;humartinez@fanalca.com.co" TargetMode="External"/><Relationship Id="rId43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mburgos@fanalca.com.co;idramirez@fanalca.com.co;jacosta@fanalca.com.co;carlos.urrego@epm.com.co;servimotoshondaurrao@gmail.com;humartinez@fanalca.com.co" TargetMode="External"/><Relationship Id="rId48" Type="http://schemas.openxmlformats.org/officeDocument/2006/relationships/hyperlink" Target="mailto:afbarbosa@fanalca.com.co;ltorres@fanalca.com.co;dialopez@fanalca.com.co;omrodriguez@fanalca.com.co;mburgos@fanalca.com.co;idramirez@fanalca.com.co;jacosta@fanalca.com.co;arturosmotos@hotmail.com;" TargetMode="External"/><Relationship Id="rId6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orlobravo@hotmail.com" TargetMode="External"/><Relationship Id="rId6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ervihondapiendamo-1@hotmail.com" TargetMode="External"/><Relationship Id="rId11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8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ximotosilc.yopal@hotmail.com" TargetMode="External"/><Relationship Id="rId85" Type="http://schemas.openxmlformats.org/officeDocument/2006/relationships/hyperlink" Target="mailto:afbarbosa@fanalca.com.co;japanqueba@supermotosdeantioquia.com.co;ltorres@fanalca.com.co;dialopez@fanalca.com.co;omrodriguez@fanalca.com.co;mburgos@fanalca.com.co;idramirez@fanalca.com.co;jacosta@fanalca.com.co" TargetMode="External"/><Relationship Id="rId12" Type="http://schemas.openxmlformats.org/officeDocument/2006/relationships/hyperlink" Target="mailto:afbarbosa@fanalca.com.co;ltorres@fanalca.com.co;dialopez@fanalca.com.co;omrodriguez@fanalca.com.co;ojoerns@fanalca.com.co;ralba@fanalca.com.co;tgvanoy@fanalca.com.co;motosporthonda@hotmail.com" TargetMode="External"/><Relationship Id="rId17" Type="http://schemas.openxmlformats.org/officeDocument/2006/relationships/hyperlink" Target="mailto:afbarbosa@fanalca.com.co;ltorres@fanalca.com.co;dialopez@fanalca.com.co;omrodriguez@fanalca.com.co;ojoerns@fanalca.com.co;ralba@fanalca.com.co;tgvanoy@fanalca.com.co;oroscar@epm.net.co;sanli_21@hotmail.com;hondamotoboy@hotmail.com" TargetMode="External"/><Relationship Id="rId33" Type="http://schemas.openxmlformats.org/officeDocument/2006/relationships/hyperlink" Target="mailto:afbarbosa@fanalca.com.co;ltorres@fanalca.com.co;dialopez@fanalca.com.co;omrodriguez@fanalca.com.co;mburgos@fanalca.com.co;idramirez@fanalca.com.co;jacosta@fanalca.com.co;angelam.zp@hotmail.com;humartinez@fanalca.com.co" TargetMode="External"/><Relationship Id="rId38" Type="http://schemas.openxmlformats.org/officeDocument/2006/relationships/hyperlink" Target="mailto:afbarbosa@fanalca.com.co;ltorres@fanalca.com.co;dialopez@fanalca.com.co;omrodriguez@fanalca.com.co;mburgos@fanalca.com.co;idramirez@fanalca.com.co;jacosta@fanalca.com.co;motoslafrontera@hotmail.com;humartinez@fanalca.com.co" TargetMode="External"/><Relationship Id="rId59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%20%20%20%20%20;aacc@fanalca.com.co" TargetMode="External"/><Relationship Id="rId10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0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4" Type="http://schemas.openxmlformats.org/officeDocument/2006/relationships/hyperlink" Target="mailto:afbarbosa@fanalca.com.co;ltorres@fanalca.com.co;dialopez@fanalca.com.co;omrodriguez@fanalca.com.co;jtamayo@fanalca.com.co;motosporthonda@hotmail.com;ojoerns@fanalca.com.co" TargetMode="External"/><Relationship Id="rId54" Type="http://schemas.openxmlformats.org/officeDocument/2006/relationships/hyperlink" Target="mailto:afbarbosa@fanalca.com.co;ltorres@fanalca.com.co;dialopez@fanalca.com.co;omrodriguez@fanalca.com.co;mburgos@fanalca.com.co;idramirez@fanalca.com.co;jacosta@fanalca.com.co;motohanna@hotmail.com" TargetMode="External"/><Relationship Id="rId7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lucely488@hotmail.com" TargetMode="External"/><Relationship Id="rId7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uriciogomezamg@yahoo.com;mauriciogomezamg@yahoo.com" TargetMode="External"/><Relationship Id="rId91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96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" Type="http://schemas.openxmlformats.org/officeDocument/2006/relationships/hyperlink" Target="mailto:afbarbosa@fanalca.com.co;ltorres@fanalca.com.co;dialopez@fanalca.com.co;omrodriguez@fanalca.com.co;ojoerns@fanalca.com.co;ralba@fanalca.com.co;tgvanoy@fanalca.com.co;contacto@motomundial.com.co" TargetMode="External"/><Relationship Id="rId6" Type="http://schemas.openxmlformats.org/officeDocument/2006/relationships/hyperlink" Target="mailto:afbarbosa@fanalca.com.co;ltorres@fanalca.com.co;dialopez@fanalca.com.co;omrodriguez@fanalca.com.co;ojoerns@fanalca.com.co;ralba@fanalca.com.co;tgvanoy@fanalca.com.co;gerencia@motoservi.com.co;" TargetMode="External"/><Relationship Id="rId23" Type="http://schemas.openxmlformats.org/officeDocument/2006/relationships/hyperlink" Target="mailto:afbarbosa@fanalca.com.co;ltorres@fanalca.com.co;dialopez@fanalca.com.co;omrodriguez@fanalca.com.co;ojoerns@fanalca.com.co;ralba@fanalca.com.co;tgvanoy@fanalca.com.co;servimotoslibertadores@hotmail.com" TargetMode="External"/><Relationship Id="rId28" Type="http://schemas.openxmlformats.org/officeDocument/2006/relationships/hyperlink" Target="mailto:afbarbosa@fanalca.com.co;ltorres@fanalca.com.co;dialopez@fanalca.com.co;omrodriguez@fanalca.com.co;mburgos@fanalca.com.co;idramirez@fanalca.com.co;jacosta@fanalca.com.co;hondasupernorte@une.net.co;humartinez@fanalca.com.co" TargetMode="External"/><Relationship Id="rId49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11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44" Type="http://schemas.openxmlformats.org/officeDocument/2006/relationships/hyperlink" Target="mailto:afbarbosa@fanalca.com.co;ltorres@fanalca.com.co;dialopez@fanalca.com.co;omrodriguez@fanalca.com.co;mburgos@fanalca.com.co;idramirez@fanalca.com.co;jacosta@fanalca.com.co;suromotos@yahoo.com;humartinez@fanalca.com.co" TargetMode="External"/><Relationship Id="rId60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@agroyamahaymotofacil.com;gerencia@agroyamahaymotofacil.com" TargetMode="External"/><Relationship Id="rId6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puertotejada.andina@gmail.com" TargetMode="External"/><Relationship Id="rId81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centerhonda@gmail.com;gerenciamotocenter@gmail.com" TargetMode="External"/><Relationship Id="rId86" Type="http://schemas.openxmlformats.org/officeDocument/2006/relationships/hyperlink" Target="mailto:afbarbosa@fanalca.com.co;ltorres@fanalca.com.co;dialopez@fanalca.com.co;omrodriguez@fanalca.com.co;mburgos@fanalca.com.co;idramirez@fanalca.com.co;jacosta@fanalca.com.co;lmlondono@supermotosdemedellin.com.co;dmsepulveda@supermotosdemedellin.com.co" TargetMode="External"/><Relationship Id="rId13" Type="http://schemas.openxmlformats.org/officeDocument/2006/relationships/hyperlink" Target="mailto:afbarbosa@fanalca.com.co;ltorres@fanalca.com.co;dialopez@fanalca.com.co;omrodriguez@fanalca.com.co;ojoerns@fanalca.com.co;ralba@fanalca.com.co;tgvanoy@fanalca.com.co;jchavesmotoragro@gmail.com;mercadeohondamaquinagro@gmail.com;" TargetMode="External"/><Relationship Id="rId18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sol19elena@hotmail.com" TargetMode="External"/><Relationship Id="rId39" Type="http://schemas.openxmlformats.org/officeDocument/2006/relationships/hyperlink" Target="mailto:afbarbosa@fanalca.com.co;ltorres@fanalca.com.co;dialopez@fanalca.com.co;omrodriguez@fanalca.com.co;mburgos@fanalca.com.co;idramirez@fanalca.com.co;jacosta@fanalca.com.co;davitike@hotmail.com;humartinez@fanalca.com.co" TargetMode="External"/><Relationship Id="rId10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34" Type="http://schemas.openxmlformats.org/officeDocument/2006/relationships/hyperlink" Target="mailto:afbarbosa@fanalca.com.co;ltorres@fanalca.com.co;dialopez@fanalca.com.co;omrodriguez@fanalca.com.co;mburgos@fanalca.com.co;idramirez@fanalca.com.co;jacosta@fanalca.com.co;jestradarestrepo@gmail.com;humartinez@fanalca.com.co" TargetMode="External"/><Relationship Id="rId50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55" Type="http://schemas.openxmlformats.org/officeDocument/2006/relationships/hyperlink" Target="mailto:afbarbosa@fanalca.com.co;ltorres@fanalca.com.co;dialopez@fanalca.com.co;omrodriguez@fanalca.com.co;mburgos@fanalca.com.co;idramirez@fanalca.com.co;jacosta@fanalca.com.co;motocaribeplato@gmail.com" TargetMode="External"/><Relationship Id="rId7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ismotoscimitarra@hotmail.com" TargetMode="External"/><Relationship Id="rId97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0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25" Type="http://schemas.openxmlformats.org/officeDocument/2006/relationships/hyperlink" Target="mailto:afbarbosa@fanalca.com.co;ltorres@fanalca.com.co;dialopez@fanalca.com.co;omrodriguez@fanalca.com.co;jtamayo@fanalca.com.co;ojoerns@fanalca.com.co;mburgos@fanalca.com.co;humartinez@fanalca.com.co;sgil@depositosmiranda.com" TargetMode="External"/><Relationship Id="rId7" Type="http://schemas.openxmlformats.org/officeDocument/2006/relationships/hyperlink" Target="mailto:afbarbosa@fanalca.com.co;ltorres@fanalca.com.co;dialopez@fanalca.com.co;omrodriguez@fanalca.com.co;ojoerns@fanalca.com.co;ralba@fanalca.com.co;tgvanoy@fanalca.com.co;servimotoschia@gmail.com" TargetMode="External"/><Relationship Id="rId7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spradera@hotmail.com" TargetMode="External"/><Relationship Id="rId92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2" Type="http://schemas.openxmlformats.org/officeDocument/2006/relationships/hyperlink" Target="mailto:afbarbosa@fanalca.com.co;ltorres@fanalca.com.co;dialopez@fanalca.com.co;omrodriguez@fanalca.com.co;ojoerns@fanalca.com.co;ralba@fanalca.com.co;tgvanoy@fanalca.com.co;gerencia@bestbike.com.co;" TargetMode="External"/><Relationship Id="rId29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24" Type="http://schemas.openxmlformats.org/officeDocument/2006/relationships/hyperlink" Target="mailto:afbarbosa@fanalca.com.co;ltorres@fanalca.com.co;dialopez@fanalca.com.co;omrodriguez@fanalca.com.co;mburgos@fanalca.com.co;idramirez@fanalca.com.co;jacosta@fanalca.com.co;canomotosa@hotmail.com;humartinez@fanalca.com.co" TargetMode="External"/><Relationship Id="rId40" Type="http://schemas.openxmlformats.org/officeDocument/2006/relationships/hyperlink" Target="mailto:afbarbosa@fanalca.com.co;ltorres@fanalca.com.co;dialopez@fanalca.com.co;omrodriguez@fanalca.com.co;mburgos@fanalca.com.co;idramirez@fanalca.com.co;jacosta@fanalca.com.co;moto_vale@hotmail.com;humartinez@fanalca.com.co" TargetMode="External"/><Relationship Id="rId45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honda@gmail.com;humartinez@fanalca.com.co" TargetMode="External"/><Relationship Id="rId6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erencia@maquinagro.com;divisionmotos@maquinagro.com" TargetMode="External"/><Relationship Id="rId87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1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61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comercial@agroyamahaymotofacil.com" TargetMode="External"/><Relationship Id="rId8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upermotosdelfonce@gmail.com" TargetMode="External"/><Relationship Id="rId19" Type="http://schemas.openxmlformats.org/officeDocument/2006/relationships/hyperlink" Target="mailto:afbarbosa@fanalca.com.co;ltorres@fanalca.com.co;dialopez@fanalca.com.co;omrodriguez@fanalca.com.co;ojoerns@fanalca.com.co;ralba@fanalca.com.co;tgvanoy@fanalca.com.co.co;casayojehonda@hotmail.com" TargetMode="External"/><Relationship Id="rId14" Type="http://schemas.openxmlformats.org/officeDocument/2006/relationships/hyperlink" Target="mailto:afbarbosa@fanalca.com.co;ltorres@fanalca.com.co;dialopez@fanalca.com.co;omrodriguez@fanalca.com.co;ojoerns@fanalca.com.co;ralba@fanalca.com.co;tgvanoy@fanalca.com.co;motohondaptoasis@hotmail.com" TargetMode="External"/><Relationship Id="rId30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35" Type="http://schemas.openxmlformats.org/officeDocument/2006/relationships/hyperlink" Target="mailto:afbarbosa@fanalca.com.co;ltorres@fanalca.com.co;dialopez@fanalca.com.co;omrodriguez@fanalca.com.co;mburgos@fanalca.com.co;idramirez@fanalca.com.co;jacosta@fanalca.com.co;motohitlorica@hotmail.com;sol19elena@hotmail.com;humartinez@fanalca.com.co" TargetMode="External"/><Relationship Id="rId56" Type="http://schemas.openxmlformats.org/officeDocument/2006/relationships/hyperlink" Target="mailto:afbarbosa@fanalca.com.co;ltorres@fanalca.com.co;dialopez@fanalca.com.co;omrodriguez@fanalca.com.co;mburgos@fanalca.com.co;idramirez@fanalca.com.co;jacosta@fanalca.com.co;motomasdelacosta@hotmail.com;motomasdelacostamagangue@outlook.es" TargetMode="External"/><Relationship Id="rId7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eguard_24@hotmail.com;suzuki.gonfor@hotmail.com" TargetMode="External"/><Relationship Id="rId100" Type="http://schemas.openxmlformats.org/officeDocument/2006/relationships/hyperlink" Target="mailto:afbarbosa@fanalca.com.co;ltorres@fanalca.com.co;dialopez@fanalca.com.co;omrodriguez@fanalca.com.co;ojoerns@fanalca.com.co;ralba@fanalca.com.co;tgvanoy@fanalca.com.co;dbarbosa@supermotosdelhuila.com.co" TargetMode="External"/><Relationship Id="rId10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6" Type="http://schemas.openxmlformats.org/officeDocument/2006/relationships/hyperlink" Target="mailto:afbarbosa@fanalca.com.co;ltorres@fanalca.com.co;dialopez@fanalca.com.co;omrodriguez@fanalca.com.co;jtamayo@fanalca.com.co;juandavid.velasco@2ruedas.com.co;ojoerns@fanalca.com.co;ralba@fanalca.com.co" TargetMode="External"/><Relationship Id="rId8" Type="http://schemas.openxmlformats.org/officeDocument/2006/relationships/hyperlink" Target="mailto:afbarbosa@fanalca.com.co;ltorres@fanalca.com.co;dialopez@fanalca.com.co;omrodriguez@fanalca.com.co;ojoerns@fanalca.com.co;ralba@fanalca.com.co;tgvanoy@fanalca.com.co;miguel.saenz@motomarket.com.co;yuli.poveda@motomarket.com.co" TargetMode="External"/><Relationship Id="rId51" Type="http://schemas.openxmlformats.org/officeDocument/2006/relationships/hyperlink" Target="mailto:afbarbosa@fanalca.com.co;ltorres@fanalca.com.co;dialopez@fanalca.com.co;omrodriguez@fanalca.com.co;mburgos@fanalca.com.co;idramirez@fanalca.com.co;jacosta@fanalca.com.co;reinaldoogliastri@yahoo.com;asistfyc@grupowonder.com%20;" TargetMode="External"/><Relationship Id="rId7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3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nmcorrea@supermotosdelatlantico.com.co" TargetMode="External"/><Relationship Id="rId98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2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3" Type="http://schemas.openxmlformats.org/officeDocument/2006/relationships/hyperlink" Target="mailto:afbarbosa@fanalca.com.co;ltorres@fanalca.com.co;dialopez@fanalca.com.co;omrodriguez@fanalca.com.co;ojoerns@fanalca.com.co;ralba@fanalca.com.co;tgvanoy@fanalca.com.co;carlos.calderonagudelo@gmail.com" TargetMode="External"/><Relationship Id="rId25" Type="http://schemas.openxmlformats.org/officeDocument/2006/relationships/hyperlink" Target="mailto:afbarbosa@fanalca.com.co;ltorres@fanalca.com.co;dialopez@fanalca.com.co;omrodriguez@fanalca.com.co;mburgos@fanalca.com.co;idramirez@fanalca.com.co;jacosta@fanalca.com.co;repuestoscurume@hotmail.com;humartinez@fanalca.com.co" TargetMode="External"/><Relationship Id="rId46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sdelgolfo@hotmail.com;humartinez@fanalca.com.co" TargetMode="External"/><Relationship Id="rId67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montanadelsur@yahoo.com.co;sammybjj129@hotmail.com" TargetMode="External"/><Relationship Id="rId11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0" Type="http://schemas.openxmlformats.org/officeDocument/2006/relationships/hyperlink" Target="mailto:afbarbosa@fanalca.com.co;ltorres@fanalca.com.co;dialopez@fanalca.com.co;omrodriguez@fanalca.com.co;ojoerns@fanalca.com.co;ralba@fanalca.com.co;tgvanoy@fanalca.com.co;caorautonorte@hotmail.com;credimotossanalberto@hotmail.com" TargetMode="External"/><Relationship Id="rId41" Type="http://schemas.openxmlformats.org/officeDocument/2006/relationships/hyperlink" Target="mailto:afbarbosa@fanalca.com.co;ltorres@fanalca.com.co;dialopez@fanalca.com.co;omrodriguez@fanalca.com.co;mburgos@fanalca.com.co;idramirez@fanalca.com.co;jacosta@fanalca.com.co;humartinez@fanalca.com.co" TargetMode="External"/><Relationship Id="rId62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celco@hotmail.com;luisnoguera6@hotmail.com" TargetMode="External"/><Relationship Id="rId88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5" Type="http://schemas.openxmlformats.org/officeDocument/2006/relationships/hyperlink" Target="mailto:afbarbosa@fanalca.com.co;ltorres@fanalca.com.co;dialopez@fanalca.com.co;omrodriguez@fanalca.com.co;ojoerns@fanalca.com.co;ralba@fanalca.com.co;tgvanoy@fanalca.com.co;mundohonda2013@hotmail.com" TargetMode="External"/><Relationship Id="rId36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7" Type="http://schemas.openxmlformats.org/officeDocument/2006/relationships/hyperlink" Target="mailto:afbarbosa@fanalca.com.co;ltorres@fanalca.com.co;dialopez@fanalca.com.co;omrodriguez@fanalca.com.co;mburgos@fanalca.com.co;idramirez@fanalca.com.co;jacosta@fanalca.com.co;toyo212010@hotmail.com" TargetMode="External"/><Relationship Id="rId10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7" Type="http://schemas.openxmlformats.org/officeDocument/2006/relationships/hyperlink" Target="mailto:nelsoncamacho@gecamacho.co;" TargetMode="External"/><Relationship Id="rId10" Type="http://schemas.openxmlformats.org/officeDocument/2006/relationships/hyperlink" Target="mailto:afbarbosa@fanalca.com.co;ltorres@fanalca.com.co;dialopez@fanalca.com.co;omrodriguez@fanalca.com.co;ojoerns@fanalca.com.co;ralba@fanalca.com.co;tgvanoy@fanalca.com.co;centromotoshondagerente@yahoo.com.co;centromotosptoasis@hotmail.com" TargetMode="External"/><Relationship Id="rId31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52" Type="http://schemas.openxmlformats.org/officeDocument/2006/relationships/hyperlink" Target="mailto:afbarbosa@fanalca.com.co;ltorres@fanalca.com.co;dialopez@fanalca.com.co;omrodriguez@fanalca.com.co;mburgos@fanalca.com.co;idramirez@fanalca.com.co;jacosta@fanalca.com.co" TargetMode="External"/><Relationship Id="rId7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7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rimaldimotos@hotmail.com" TargetMode="External"/><Relationship Id="rId94" Type="http://schemas.openxmlformats.org/officeDocument/2006/relationships/hyperlink" Target="mailto:afbarbosa@fanalca.com.co;ltorres@fanalca.com.co;dialopez@fanalca.com.co;omrodriguez@fanalca.com.co;mburgos@fanalca.com.co;idramirez@fanalca.com.co;jacosta@fanalca.com.co;jmsuarez@supermotosdelcesar.com.co" TargetMode="External"/><Relationship Id="rId99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ojoerns@fanalca.com.co;ralba@fanalca.com.co;tgvanoy@fanalca.com.co;imjimenez@supermotosdecundinamarca.com.co;karodriguez@supermotosdecundinamarca.com.co" TargetMode="External"/><Relationship Id="rId101" Type="http://schemas.openxmlformats.org/officeDocument/2006/relationships/hyperlink" Target="mailto:afbarbosa@fanalca.com.co;ltorres@fanalca.com.co;dialopez@fanalca.com.co;omrodriguez@fanalca.com.co;ojoerns@fanalca.com.co;ralba@fanalca.com.co;tgvanoy@fanalca.com.co;aaflorez@supermotosdeloriente.com.co" TargetMode="External"/><Relationship Id="rId12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4" Type="http://schemas.openxmlformats.org/officeDocument/2006/relationships/hyperlink" Target="mailto:afbarbosa@fanalca.com.co;ltorres@fanalca.com.co;dialopez@fanalca.com.co;omrodriguez@fanalca.com.co;ojoerns@fanalca.com.co;ralba@fanalca.com.co;tgvanoy@fanalca.com.co;enmoto.com@hotmail.com" TargetMode="External"/><Relationship Id="rId9" Type="http://schemas.openxmlformats.org/officeDocument/2006/relationships/hyperlink" Target="mailto:afbarbosa@fanalca.com.co;ltorres@fanalca.com.co;dialopez@fanalca.com.co;omrodriguez@fanalca.com.co;ojoerns@fanalca.com.co;ralba@fanalca.com.co;tgvanoy@fanalca.com.co;supermotosdelgualiva@hotmail.com;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showGridLines="0" topLeftCell="A7" zoomScaleNormal="100" zoomScaleSheetLayoutView="100" workbookViewId="0">
      <selection activeCell="E6" sqref="E6"/>
    </sheetView>
  </sheetViews>
  <sheetFormatPr defaultColWidth="11.42578125" defaultRowHeight="15"/>
  <cols>
    <col min="1" max="1" width="39.85546875" customWidth="1"/>
    <col min="2" max="2" width="33.85546875" customWidth="1"/>
    <col min="3" max="3" width="53.140625" style="1" customWidth="1"/>
    <col min="5" max="25" width="11.42578125" style="5"/>
  </cols>
  <sheetData>
    <row r="1" spans="1:25">
      <c r="A1" s="3" t="s">
        <v>289</v>
      </c>
      <c r="B1" s="3" t="s">
        <v>290</v>
      </c>
      <c r="C1" s="3" t="s">
        <v>394</v>
      </c>
      <c r="D1" s="167" t="s">
        <v>1255</v>
      </c>
      <c r="E1" s="31" t="s">
        <v>292</v>
      </c>
    </row>
    <row r="2" spans="1:25">
      <c r="A2" s="2" t="s">
        <v>111</v>
      </c>
      <c r="B2" s="2" t="s">
        <v>112</v>
      </c>
      <c r="C2" s="2" t="str">
        <f t="shared" ref="C2:C67" si="0">+CONCATENATE(A2,B2)</f>
        <v>CALVACHE ORTEGA LUZ AIDEESAN PABLO</v>
      </c>
      <c r="D2" s="168" t="str">
        <f>+VLOOKUP(B2,[1]Hoja2!$B$2:$F$194,5,FALSE)</f>
        <v>2.2</v>
      </c>
      <c r="E2" s="32" t="s">
        <v>295</v>
      </c>
    </row>
    <row r="3" spans="1:25">
      <c r="A3" s="2" t="s">
        <v>109</v>
      </c>
      <c r="B3" s="2" t="s">
        <v>110</v>
      </c>
      <c r="C3" s="2" t="str">
        <f t="shared" si="0"/>
        <v>CARDENAS URBANO CARLOS EDUARDOSAMANIEGO</v>
      </c>
      <c r="D3" s="168" t="str">
        <f>+VLOOKUP(B3,[1]Hoja2!$B$2:$F$194,5,FALSE)</f>
        <v>2.2</v>
      </c>
      <c r="E3" s="32" t="s">
        <v>295</v>
      </c>
    </row>
    <row r="4" spans="1:25" s="23" customFormat="1">
      <c r="A4" s="2" t="s">
        <v>109</v>
      </c>
      <c r="B4" s="2" t="s">
        <v>113</v>
      </c>
      <c r="C4" s="2" t="str">
        <f t="shared" si="0"/>
        <v>CARDENAS URBANO CARLOS EDUARDOTUMACO</v>
      </c>
      <c r="D4" s="168" t="str">
        <f>+VLOOKUP(B4,[1]Hoja2!$B$2:$F$194,5,FALSE)</f>
        <v>2.2</v>
      </c>
      <c r="E4" s="32" t="s">
        <v>295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73" customFormat="1">
      <c r="A5" s="2" t="s">
        <v>109</v>
      </c>
      <c r="B5" s="2" t="s">
        <v>1283</v>
      </c>
      <c r="C5" s="2" t="str">
        <f t="shared" si="0"/>
        <v>CARDENAS URBANO CARLOS EDUARDOBARBACOAS</v>
      </c>
      <c r="D5" s="168" t="s">
        <v>307</v>
      </c>
      <c r="E5" s="32" t="s">
        <v>295</v>
      </c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</row>
    <row r="6" spans="1:25">
      <c r="A6" s="2" t="s">
        <v>217</v>
      </c>
      <c r="B6" s="2" t="s">
        <v>218</v>
      </c>
      <c r="C6" s="2" t="str">
        <f t="shared" si="0"/>
        <v>GUAJI  ARACELYARGELIA</v>
      </c>
      <c r="D6" s="168" t="s">
        <v>323</v>
      </c>
      <c r="E6" s="32" t="s">
        <v>295</v>
      </c>
    </row>
    <row r="7" spans="1:25">
      <c r="A7" s="2" t="s">
        <v>223</v>
      </c>
      <c r="B7" s="2" t="s">
        <v>224</v>
      </c>
      <c r="C7" s="2" t="str">
        <f t="shared" si="0"/>
        <v>MICOLTA FRANCO ALEXANDERPUERTO TEJADA</v>
      </c>
      <c r="D7" s="168" t="str">
        <f>+VLOOKUP(B7,[1]Hoja2!$B$2:$F$194,5,FALSE)</f>
        <v>1.3.B</v>
      </c>
      <c r="E7" s="32" t="s">
        <v>295</v>
      </c>
    </row>
    <row r="8" spans="1:25">
      <c r="A8" s="2" t="s">
        <v>221</v>
      </c>
      <c r="B8" s="2" t="s">
        <v>222</v>
      </c>
      <c r="C8" s="2" t="str">
        <f t="shared" si="0"/>
        <v>MONJE MORCILLO EDWARD FELIPEPIENDAMO</v>
      </c>
      <c r="D8" s="168" t="str">
        <f>+VLOOKUP(B8,[1]Hoja2!$B$2:$F$194,5,FALSE)</f>
        <v>2.1</v>
      </c>
      <c r="E8" s="32" t="s">
        <v>295</v>
      </c>
    </row>
    <row r="9" spans="1:25" ht="15.75" customHeight="1">
      <c r="A9" s="2" t="s">
        <v>219</v>
      </c>
      <c r="B9" s="2" t="s">
        <v>226</v>
      </c>
      <c r="C9" s="2" t="str">
        <f t="shared" si="0"/>
        <v>ROSAS BAZANTE JORGE ANDRESTIMBIO</v>
      </c>
      <c r="D9" s="168" t="str">
        <f>+VLOOKUP(B9,[1]Hoja2!$B$2:$F$194,5,FALSE)</f>
        <v>2.1</v>
      </c>
      <c r="E9" s="32" t="s">
        <v>295</v>
      </c>
    </row>
    <row r="10" spans="1:25" s="137" customFormat="1" ht="15.75" customHeight="1">
      <c r="A10" s="2" t="s">
        <v>108</v>
      </c>
      <c r="B10" s="148" t="s">
        <v>1235</v>
      </c>
      <c r="C10" s="2" t="str">
        <f t="shared" si="0"/>
        <v>SUPERMOTOS DE NARIÑO SASIPIALES</v>
      </c>
      <c r="D10" s="168" t="s">
        <v>307</v>
      </c>
      <c r="E10" s="32" t="s">
        <v>295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</row>
    <row r="11" spans="1:25" s="137" customFormat="1" ht="15.75" customHeight="1">
      <c r="A11" s="2" t="s">
        <v>108</v>
      </c>
      <c r="B11" s="149" t="s">
        <v>1236</v>
      </c>
      <c r="C11" s="2" t="str">
        <f t="shared" si="0"/>
        <v>SUPERMOTOS DE NARIÑO SASTUQUERRES</v>
      </c>
      <c r="D11" s="168" t="s">
        <v>307</v>
      </c>
      <c r="E11" s="32" t="s">
        <v>295</v>
      </c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</row>
    <row r="12" spans="1:25" s="137" customFormat="1" ht="15.75" customHeight="1">
      <c r="A12" s="2" t="s">
        <v>108</v>
      </c>
      <c r="B12" s="148" t="s">
        <v>56</v>
      </c>
      <c r="C12" s="2" t="str">
        <f t="shared" si="0"/>
        <v>SUPERMOTOS DE NARIÑO SASLA UNION</v>
      </c>
      <c r="D12" s="168" t="s">
        <v>307</v>
      </c>
      <c r="E12" s="32" t="s">
        <v>295</v>
      </c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</row>
    <row r="13" spans="1:25">
      <c r="A13" s="2" t="s">
        <v>108</v>
      </c>
      <c r="B13" s="2" t="s">
        <v>106</v>
      </c>
      <c r="C13" s="2" t="str">
        <f t="shared" si="0"/>
        <v>SUPERMOTOS DE NARIÑO SASPASTO</v>
      </c>
      <c r="D13" s="168" t="str">
        <f>+VLOOKUP(B13,[1]Hoja2!$B$2:$F$194,5,FALSE)</f>
        <v>2.2</v>
      </c>
      <c r="E13" s="32" t="s">
        <v>295</v>
      </c>
    </row>
    <row r="14" spans="1:25" s="137" customFormat="1">
      <c r="A14" s="2" t="s">
        <v>108</v>
      </c>
      <c r="B14" s="2" t="s">
        <v>113</v>
      </c>
      <c r="C14" s="2" t="str">
        <f>CONCATENATE(A14,B14)</f>
        <v>SUPERMOTOS DE NARIÑO SASTUMACO</v>
      </c>
      <c r="D14" s="168" t="str">
        <f>+VLOOKUP(B14,[1]Hoja2!$B$2:$F$194,5,FALSE)</f>
        <v>2.2</v>
      </c>
      <c r="E14" s="32" t="s">
        <v>295</v>
      </c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 spans="1:25">
      <c r="A15" s="2" t="s">
        <v>215</v>
      </c>
      <c r="B15" s="2" t="s">
        <v>216</v>
      </c>
      <c r="C15" s="2" t="str">
        <f t="shared" si="0"/>
        <v>SUPERMOTOS DEL CAUCA SASPOPAYAN</v>
      </c>
      <c r="D15" s="168" t="str">
        <f>+VLOOKUP(B15,[1]Hoja2!$B$2:$F$194,5,FALSE)</f>
        <v>2.1</v>
      </c>
      <c r="E15" s="32" t="s">
        <v>295</v>
      </c>
    </row>
    <row r="16" spans="1:25">
      <c r="A16" s="2" t="s">
        <v>215</v>
      </c>
      <c r="B16" s="2" t="s">
        <v>225</v>
      </c>
      <c r="C16" s="2" t="str">
        <f t="shared" si="0"/>
        <v>SUPERMOTOS DEL CAUCA SASSANTANDER DE QUILICHAO</v>
      </c>
      <c r="D16" s="168" t="str">
        <f>+VLOOKUP(B16,[1]Hoja2!$B$2:$F$194,5,FALSE)</f>
        <v>1.3.B</v>
      </c>
      <c r="E16" s="32" t="s">
        <v>295</v>
      </c>
    </row>
    <row r="17" spans="1:5">
      <c r="A17" s="2" t="s">
        <v>215</v>
      </c>
      <c r="B17" s="2" t="s">
        <v>220</v>
      </c>
      <c r="C17" s="2" t="str">
        <f t="shared" si="0"/>
        <v>SUPERMOTOS DEL CAUCA SASPATIA(EL BORDO)</v>
      </c>
      <c r="D17" s="168" t="s">
        <v>323</v>
      </c>
      <c r="E17" s="32" t="s">
        <v>295</v>
      </c>
    </row>
    <row r="18" spans="1:5">
      <c r="A18" s="155" t="s">
        <v>59</v>
      </c>
      <c r="B18" s="2" t="s">
        <v>106</v>
      </c>
      <c r="C18" s="2" t="str">
        <f t="shared" si="0"/>
        <v>TULUA MOTOS S. A.PASTO</v>
      </c>
      <c r="D18" s="168" t="str">
        <f>+VLOOKUP(B18,[1]Hoja2!$B$2:$F$194,5,FALSE)</f>
        <v>2.2</v>
      </c>
      <c r="E18" s="32" t="s">
        <v>295</v>
      </c>
    </row>
    <row r="19" spans="1:5">
      <c r="A19" s="2" t="s">
        <v>46</v>
      </c>
      <c r="B19" s="2" t="s">
        <v>42</v>
      </c>
      <c r="C19" s="2" t="str">
        <f t="shared" si="0"/>
        <v>GRUPO EMPRESARIAL DISTRITO SASCALI</v>
      </c>
      <c r="D19" s="168" t="str">
        <f>+VLOOKUP(B19,[1]Hoja2!$B$2:$F$194,5,FALSE)</f>
        <v>1.3</v>
      </c>
      <c r="E19" s="32" t="s">
        <v>314</v>
      </c>
    </row>
    <row r="20" spans="1:5">
      <c r="A20" s="160" t="s">
        <v>43</v>
      </c>
      <c r="B20" s="2" t="s">
        <v>47</v>
      </c>
      <c r="C20" s="2" t="str">
        <f t="shared" si="0"/>
        <v>SUPERMOTOS DE CALI S.A.S.BUENAVENTURA</v>
      </c>
      <c r="D20" s="168" t="str">
        <f>+VLOOKUP(B20,[1]Hoja2!$B$2:$F$194,5,FALSE)</f>
        <v>1.3.A</v>
      </c>
      <c r="E20" s="32" t="s">
        <v>314</v>
      </c>
    </row>
    <row r="21" spans="1:5">
      <c r="A21" s="2" t="s">
        <v>43</v>
      </c>
      <c r="B21" s="2" t="s">
        <v>42</v>
      </c>
      <c r="C21" s="2" t="str">
        <f t="shared" si="0"/>
        <v>SUPERMOTOS DE CALI S.A.S.CALI</v>
      </c>
      <c r="D21" s="168" t="str">
        <f>+VLOOKUP(B21,[1]Hoja2!$B$2:$F$194,5,FALSE)</f>
        <v>1.3</v>
      </c>
      <c r="E21" s="32" t="s">
        <v>314</v>
      </c>
    </row>
    <row r="22" spans="1:5">
      <c r="A22" s="2" t="s">
        <v>43</v>
      </c>
      <c r="B22" s="2" t="s">
        <v>55</v>
      </c>
      <c r="C22" s="2" t="str">
        <f t="shared" si="0"/>
        <v>SUPERMOTOS DE CALI S.A.S.JAMUNDI</v>
      </c>
      <c r="D22" s="168" t="str">
        <f>+VLOOKUP(B22,[1]Hoja2!$B$2:$F$194,5,FALSE)</f>
        <v>1.3.B</v>
      </c>
      <c r="E22" s="32" t="s">
        <v>314</v>
      </c>
    </row>
    <row r="23" spans="1:5">
      <c r="A23" s="2" t="s">
        <v>45</v>
      </c>
      <c r="B23" s="2" t="s">
        <v>42</v>
      </c>
      <c r="C23" s="2" t="str">
        <f t="shared" si="0"/>
        <v>SUPERMOTOS DEL PACIFICO S.A.SCALI</v>
      </c>
      <c r="D23" s="168" t="str">
        <f>+VLOOKUP(B23,[1]Hoja2!$B$2:$F$194,5,FALSE)</f>
        <v>1.3</v>
      </c>
      <c r="E23" s="32" t="s">
        <v>314</v>
      </c>
    </row>
    <row r="24" spans="1:5">
      <c r="A24" s="2" t="s">
        <v>303</v>
      </c>
      <c r="B24" s="2" t="s">
        <v>397</v>
      </c>
      <c r="C24" s="2" t="str">
        <f t="shared" si="0"/>
        <v>DIRCOMOTOS LTDA.SAN ANDRES</v>
      </c>
      <c r="D24" s="168" t="s">
        <v>1256</v>
      </c>
      <c r="E24" s="32" t="s">
        <v>304</v>
      </c>
    </row>
    <row r="25" spans="1:5">
      <c r="A25" s="2" t="s">
        <v>57</v>
      </c>
      <c r="B25" s="2" t="s">
        <v>58</v>
      </c>
      <c r="C25" s="2" t="str">
        <f t="shared" si="0"/>
        <v>SUPERMOTOS DEL VALLE S.A.S.PALMIRA</v>
      </c>
      <c r="D25" s="168" t="str">
        <f>+VLOOKUP(B25,[1]Hoja2!$B$2:$F$194,5,FALSE)</f>
        <v>1.2</v>
      </c>
      <c r="E25" s="32" t="s">
        <v>304</v>
      </c>
    </row>
    <row r="26" spans="1:5">
      <c r="A26" s="155" t="s">
        <v>59</v>
      </c>
      <c r="B26" s="2" t="s">
        <v>60</v>
      </c>
      <c r="C26" s="2" t="str">
        <f t="shared" si="0"/>
        <v>TULUA MOTOS S. A.TULUA</v>
      </c>
      <c r="D26" s="168" t="str">
        <f>+VLOOKUP(B26,[1]Hoja2!$B$2:$F$194,5,FALSE)</f>
        <v>1.1</v>
      </c>
      <c r="E26" s="32" t="s">
        <v>304</v>
      </c>
    </row>
    <row r="27" spans="1:5">
      <c r="A27" s="2" t="s">
        <v>107</v>
      </c>
      <c r="B27" s="2" t="s">
        <v>106</v>
      </c>
      <c r="C27" s="2" t="str">
        <f t="shared" si="0"/>
        <v>MAQUINAGRO S.APASTO</v>
      </c>
      <c r="D27" s="168" t="str">
        <f>+VLOOKUP(B27,[1]Hoja2!$B$2:$F$194,5,FALSE)</f>
        <v>2.2</v>
      </c>
      <c r="E27" s="32" t="s">
        <v>414</v>
      </c>
    </row>
    <row r="28" spans="1:5">
      <c r="A28" s="160" t="s">
        <v>266</v>
      </c>
      <c r="B28" s="2" t="s">
        <v>333</v>
      </c>
      <c r="C28" s="2" t="str">
        <f t="shared" si="0"/>
        <v>MOTOS PRADERA S.A.S.PRADERA</v>
      </c>
      <c r="D28" s="168" t="str">
        <f>+VLOOKUP(B28,[1]Hoja2!$B$2:$F$194,5,FALSE)</f>
        <v>1.2.A</v>
      </c>
      <c r="E28" s="32" t="s">
        <v>414</v>
      </c>
    </row>
    <row r="29" spans="1:5">
      <c r="A29" s="2" t="s">
        <v>50</v>
      </c>
      <c r="B29" s="2" t="s">
        <v>54</v>
      </c>
      <c r="C29" s="2" t="str">
        <f t="shared" si="0"/>
        <v>SHAIK OSPINA CARLOS ANDRESFLORIDA</v>
      </c>
      <c r="D29" s="168" t="str">
        <f>+VLOOKUP(B29,[1]Hoja2!$B$2:$F$194,5,FALSE)</f>
        <v>1.2.A</v>
      </c>
      <c r="E29" s="32" t="s">
        <v>414</v>
      </c>
    </row>
    <row r="30" spans="1:5">
      <c r="A30" s="2" t="s">
        <v>50</v>
      </c>
      <c r="B30" s="2" t="s">
        <v>51</v>
      </c>
      <c r="C30" s="2" t="str">
        <f t="shared" si="0"/>
        <v>SHAIK OSPINA CARLOS ANDRESCANDELARIA</v>
      </c>
      <c r="D30" s="168" t="str">
        <f>+VLOOKUP(B30,[1]Hoja2!$B$2:$F$194,5,FALSE)</f>
        <v>1.2</v>
      </c>
      <c r="E30" s="32" t="s">
        <v>414</v>
      </c>
    </row>
    <row r="31" spans="1:5">
      <c r="A31" s="2" t="s">
        <v>48</v>
      </c>
      <c r="B31" s="2" t="s">
        <v>119</v>
      </c>
      <c r="C31" s="2" t="str">
        <f t="shared" si="0"/>
        <v>MOTO PREMIUM DE OCCIDENTE S.A.S.CALARCA</v>
      </c>
      <c r="D31" s="168" t="str">
        <f>+VLOOKUP(B31,[1]Hoja2!$B$2:$F$194,5,FALSE)</f>
        <v>3.1</v>
      </c>
      <c r="E31" s="32" t="s">
        <v>323</v>
      </c>
    </row>
    <row r="32" spans="1:5">
      <c r="A32" s="2" t="s">
        <v>48</v>
      </c>
      <c r="B32" s="2" t="s">
        <v>122</v>
      </c>
      <c r="C32" s="2" t="str">
        <f t="shared" si="0"/>
        <v>MOTO PREMIUM DE OCCIDENTE S.A.S.DOS QUEBRADAS</v>
      </c>
      <c r="D32" s="168" t="str">
        <f>+VLOOKUP(B32,[1]Hoja2!$B$2:$F$194,5,FALSE)</f>
        <v>4.1.A</v>
      </c>
      <c r="E32" s="32" t="s">
        <v>323</v>
      </c>
    </row>
    <row r="33" spans="1:5">
      <c r="A33" s="2" t="s">
        <v>48</v>
      </c>
      <c r="B33" s="2" t="s">
        <v>49</v>
      </c>
      <c r="C33" s="2" t="str">
        <f t="shared" si="0"/>
        <v>MOTO PREMIUM DE OCCIDENTE S.A.S.CAICEDONIA</v>
      </c>
      <c r="D33" s="168" t="str">
        <f>+VLOOKUP(B33,[1]Hoja2!$B$2:$F$194,5,FALSE)</f>
        <v>3.1</v>
      </c>
      <c r="E33" s="32" t="s">
        <v>323</v>
      </c>
    </row>
    <row r="34" spans="1:5">
      <c r="A34" s="2" t="s">
        <v>48</v>
      </c>
      <c r="B34" s="2" t="s">
        <v>324</v>
      </c>
      <c r="C34" s="2" t="str">
        <f t="shared" si="0"/>
        <v>MOTO PREMIUM DE OCCIDENTE S.A.S.CIRCASIA</v>
      </c>
      <c r="D34" s="168" t="str">
        <f>+VLOOKUP(B34,[1]Hoja2!$B$2:$F$194,5,FALSE)</f>
        <v>3.1</v>
      </c>
      <c r="E34" s="32" t="s">
        <v>323</v>
      </c>
    </row>
    <row r="35" spans="1:5">
      <c r="A35" s="2" t="s">
        <v>48</v>
      </c>
      <c r="B35" s="2" t="s">
        <v>120</v>
      </c>
      <c r="C35" s="2" t="str">
        <f t="shared" si="0"/>
        <v>MOTO PREMIUM DE OCCIDENTE S.A.S.QUIMBAYA</v>
      </c>
      <c r="D35" s="168" t="str">
        <f>+VLOOKUP(B35,[1]Hoja2!$B$2:$F$194,5,FALSE)</f>
        <v>3.1</v>
      </c>
      <c r="E35" s="32" t="s">
        <v>323</v>
      </c>
    </row>
    <row r="36" spans="1:5">
      <c r="A36" s="2" t="s">
        <v>48</v>
      </c>
      <c r="B36" s="2" t="s">
        <v>124</v>
      </c>
      <c r="C36" s="2" t="str">
        <f t="shared" si="0"/>
        <v>MOTO PREMIUM DE OCCIDENTE S.A.S.SANTA ROSA DE CABAL</v>
      </c>
      <c r="D36" s="168" t="str">
        <f>+VLOOKUP(B36,[1]Hoja2!$B$2:$F$194,5,FALSE)</f>
        <v>4.1.A</v>
      </c>
      <c r="E36" s="32" t="s">
        <v>323</v>
      </c>
    </row>
    <row r="37" spans="1:5">
      <c r="A37" s="2" t="s">
        <v>52</v>
      </c>
      <c r="B37" s="2" t="s">
        <v>121</v>
      </c>
      <c r="C37" s="2" t="str">
        <f t="shared" si="0"/>
        <v>SUPERMOTOS DEL CAFE S.A.S.PEREIRA</v>
      </c>
      <c r="D37" s="168" t="str">
        <f>+VLOOKUP(B37,[1]Hoja2!$B$2:$F$194,5,FALSE)</f>
        <v>4.1.A</v>
      </c>
      <c r="E37" s="32" t="s">
        <v>323</v>
      </c>
    </row>
    <row r="38" spans="1:5">
      <c r="A38" s="2" t="s">
        <v>52</v>
      </c>
      <c r="B38" s="2" t="s">
        <v>118</v>
      </c>
      <c r="C38" s="2" t="str">
        <f t="shared" si="0"/>
        <v>SUPERMOTOS DEL CAFE S.A.S.ARMENIA</v>
      </c>
      <c r="D38" s="168" t="str">
        <f>+VLOOKUP(B38,[1]Hoja2!$B$2:$F$194,5,FALSE)</f>
        <v>3.1</v>
      </c>
      <c r="E38" s="32" t="s">
        <v>323</v>
      </c>
    </row>
    <row r="39" spans="1:5">
      <c r="A39" s="2" t="s">
        <v>52</v>
      </c>
      <c r="B39" s="2" t="s">
        <v>53</v>
      </c>
      <c r="C39" s="2" t="str">
        <f t="shared" si="0"/>
        <v>SUPERMOTOS DEL CAFE S.A.S.CARTAGO</v>
      </c>
      <c r="D39" s="168" t="str">
        <f>+VLOOKUP(B39,[1]Hoja2!$B$2:$F$194,5,FALSE)</f>
        <v>4.1</v>
      </c>
      <c r="E39" s="32" t="s">
        <v>323</v>
      </c>
    </row>
    <row r="40" spans="1:5">
      <c r="A40" s="2" t="s">
        <v>52</v>
      </c>
      <c r="B40" s="2" t="s">
        <v>206</v>
      </c>
      <c r="C40" s="2" t="str">
        <f t="shared" si="0"/>
        <v>SUPERMOTOS DEL CAFE S.A.S.MANIZALES</v>
      </c>
      <c r="D40" s="168" t="str">
        <f>+VLOOKUP(B40,[1]Hoja2!$B$2:$F$194,5,FALSE)</f>
        <v>4.1.A</v>
      </c>
      <c r="E40" s="32" t="s">
        <v>323</v>
      </c>
    </row>
    <row r="41" spans="1:5">
      <c r="A41" s="2" t="s">
        <v>262</v>
      </c>
      <c r="B41" s="2" t="s">
        <v>263</v>
      </c>
      <c r="C41" s="2" t="str">
        <f t="shared" si="0"/>
        <v>DROSSOS AUBAD IOANNISQUIBDO</v>
      </c>
      <c r="D41" s="168" t="str">
        <f>+VLOOKUP(B41,[1]Hoja2!$B$2:$F$194,5,FALSE)</f>
        <v>4.1.B</v>
      </c>
      <c r="E41" s="32" t="s">
        <v>323</v>
      </c>
    </row>
    <row r="42" spans="1:5">
      <c r="A42" s="2" t="s">
        <v>48</v>
      </c>
      <c r="B42" s="2" t="s">
        <v>56</v>
      </c>
      <c r="C42" s="2" t="str">
        <f t="shared" si="0"/>
        <v>MOTO PREMIUM DE OCCIDENTE S.A.S.LA UNION</v>
      </c>
      <c r="D42" s="168" t="str">
        <f>+VLOOKUP(B42,[1]Hoja2!$B$2:$F$194,5,FALSE)</f>
        <v>4.1</v>
      </c>
      <c r="E42" s="32" t="s">
        <v>323</v>
      </c>
    </row>
    <row r="43" spans="1:5">
      <c r="A43" s="2" t="s">
        <v>48</v>
      </c>
      <c r="B43" s="2" t="s">
        <v>123</v>
      </c>
      <c r="C43" s="2" t="str">
        <f t="shared" si="0"/>
        <v>MOTO PREMIUM DE OCCIDENTE S.A.S.LA VIRGINIA</v>
      </c>
      <c r="D43" s="168" t="str">
        <f>+VLOOKUP(B43,[1]Hoja2!$B$2:$F$194,5,FALSE)</f>
        <v>4.1.B</v>
      </c>
      <c r="E43" s="32" t="s">
        <v>323</v>
      </c>
    </row>
    <row r="44" spans="1:5">
      <c r="A44" s="2" t="s">
        <v>268</v>
      </c>
      <c r="B44" s="2" t="s">
        <v>340</v>
      </c>
      <c r="C44" s="2" t="str">
        <f t="shared" si="0"/>
        <v>RYA LOS MINEROS S.A.S.ITSMINA</v>
      </c>
      <c r="D44" s="168" t="str">
        <f>+VLOOKUP(B44,[1]Hoja2!$B$2:$F$194,5,FALSE)</f>
        <v>4.1.B</v>
      </c>
      <c r="E44" s="32" t="s">
        <v>323</v>
      </c>
    </row>
    <row r="45" spans="1:5">
      <c r="A45" s="2" t="s">
        <v>33</v>
      </c>
      <c r="B45" s="2" t="s">
        <v>34</v>
      </c>
      <c r="C45" s="2" t="str">
        <f t="shared" si="0"/>
        <v>BELTRAN OTALORA ALBERTOGUAMO</v>
      </c>
      <c r="D45" s="168" t="str">
        <f>+VLOOKUP(B45,[1]Hoja2!$B$2:$F$194,5,FALSE)</f>
        <v>5.1</v>
      </c>
      <c r="E45" s="32" t="s">
        <v>307</v>
      </c>
    </row>
    <row r="46" spans="1:5">
      <c r="A46" s="2" t="s">
        <v>9</v>
      </c>
      <c r="B46" s="2" t="s">
        <v>29</v>
      </c>
      <c r="C46" s="2" t="str">
        <f t="shared" si="0"/>
        <v>SUPERMOTOS DE GIRARDOT S.A.S.ESPINAL</v>
      </c>
      <c r="D46" s="168" t="str">
        <f>+VLOOKUP(B46,[1]Hoja2!$B$2:$F$194,5,FALSE)</f>
        <v>5.1</v>
      </c>
      <c r="E46" s="32" t="s">
        <v>307</v>
      </c>
    </row>
    <row r="47" spans="1:5">
      <c r="A47" s="2" t="s">
        <v>9</v>
      </c>
      <c r="B47" s="2" t="s">
        <v>40</v>
      </c>
      <c r="C47" s="2" t="str">
        <f t="shared" si="0"/>
        <v>SUPERMOTOS DE GIRARDOT S.A.S.MELGAR</v>
      </c>
      <c r="D47" s="168" t="str">
        <f>+VLOOKUP(B47,[1]Hoja2!$B$2:$F$194,5,FALSE)</f>
        <v>5.1.A</v>
      </c>
      <c r="E47" s="32" t="s">
        <v>307</v>
      </c>
    </row>
    <row r="48" spans="1:5">
      <c r="A48" s="2" t="s">
        <v>9</v>
      </c>
      <c r="B48" s="2" t="s">
        <v>256</v>
      </c>
      <c r="C48" s="2" t="str">
        <f t="shared" si="0"/>
        <v>SUPERMOTOS DE GIRARDOT S.A.S.GIRARDOT</v>
      </c>
      <c r="D48" s="168" t="str">
        <f>+VLOOKUP(B48,[1]Hoja2!$B$2:$F$194,5,FALSE)</f>
        <v>5.1.A</v>
      </c>
      <c r="E48" s="32" t="s">
        <v>307</v>
      </c>
    </row>
    <row r="49" spans="1:25">
      <c r="A49" s="2" t="s">
        <v>9</v>
      </c>
      <c r="B49" s="2" t="s">
        <v>12</v>
      </c>
      <c r="C49" s="2" t="str">
        <f t="shared" si="0"/>
        <v>SUPERMOTOS DE GIRARDOT S.A.S.CHAPARRAL</v>
      </c>
      <c r="D49" s="168" t="str">
        <f>+VLOOKUP(B49,[1]Hoja2!$B$2:$F$194,5,FALSE)</f>
        <v>5.1.A</v>
      </c>
      <c r="E49" s="32" t="s">
        <v>307</v>
      </c>
    </row>
    <row r="50" spans="1:25">
      <c r="A50" s="2" t="s">
        <v>81</v>
      </c>
      <c r="B50" s="2" t="s">
        <v>82</v>
      </c>
      <c r="C50" s="2" t="str">
        <f t="shared" si="0"/>
        <v>SUPERMOTOS DEL HUILA SASGARZON</v>
      </c>
      <c r="D50" s="168" t="str">
        <f>+VLOOKUP(B50,[1]Hoja2!$B$2:$F$194,5,FALSE)</f>
        <v>5.2</v>
      </c>
      <c r="E50" s="32" t="s">
        <v>307</v>
      </c>
    </row>
    <row r="51" spans="1:25">
      <c r="A51" s="2" t="s">
        <v>37</v>
      </c>
      <c r="B51" s="2" t="s">
        <v>148</v>
      </c>
      <c r="C51" s="2" t="str">
        <f t="shared" si="0"/>
        <v>SUPERMOTOS DEL TOLIMA S.A.SIBAGUE</v>
      </c>
      <c r="D51" s="168" t="str">
        <f>+VLOOKUP(B51,[1]Hoja2!$B$2:$F$194,5,FALSE)</f>
        <v>5.0</v>
      </c>
      <c r="E51" s="32" t="s">
        <v>307</v>
      </c>
    </row>
    <row r="52" spans="1:25">
      <c r="A52" s="2" t="s">
        <v>69</v>
      </c>
      <c r="B52" s="2" t="s">
        <v>213</v>
      </c>
      <c r="C52" s="2" t="str">
        <f t="shared" si="0"/>
        <v>CHAVES CADENA JAIRO LEONEL DONCELLO</v>
      </c>
      <c r="D52" s="168" t="str">
        <f>+VLOOKUP(B52,[1]Hoja2!$B$2:$F$194,5,FALSE)</f>
        <v>5.2.B</v>
      </c>
      <c r="E52" s="32" t="s">
        <v>400</v>
      </c>
    </row>
    <row r="53" spans="1:25">
      <c r="A53" s="2" t="s">
        <v>69</v>
      </c>
      <c r="B53" s="2" t="s">
        <v>210</v>
      </c>
      <c r="C53" s="2" t="str">
        <f t="shared" si="0"/>
        <v>CHAVES CADENA JAIRO LEONFLORENCIA</v>
      </c>
      <c r="D53" s="168" t="str">
        <f>+VLOOKUP(B53,[1]Hoja2!$B$2:$F$194,5,FALSE)</f>
        <v>5.2.B</v>
      </c>
      <c r="E53" s="32" t="s">
        <v>400</v>
      </c>
    </row>
    <row r="54" spans="1:25">
      <c r="A54" s="2" t="s">
        <v>69</v>
      </c>
      <c r="B54" s="2" t="s">
        <v>214</v>
      </c>
      <c r="C54" s="2" t="str">
        <f t="shared" si="0"/>
        <v>CHAVES CADENA JAIRO LEONSAN VICENTE DEL CAGUAN</v>
      </c>
      <c r="D54" s="168" t="str">
        <f>+VLOOKUP(B54,[1]Hoja2!$B$2:$F$194,5,FALSE)</f>
        <v>5.2.B</v>
      </c>
      <c r="E54" s="32" t="s">
        <v>400</v>
      </c>
    </row>
    <row r="55" spans="1:25">
      <c r="A55" s="2" t="s">
        <v>69</v>
      </c>
      <c r="B55" s="2" t="s">
        <v>84</v>
      </c>
      <c r="C55" s="2" t="str">
        <f t="shared" si="0"/>
        <v>CHAVES CADENA JAIRO LEONPITALITO</v>
      </c>
      <c r="D55" s="168" t="str">
        <f>+VLOOKUP(B55,[1]Hoja2!$B$2:$F$194,5,FALSE)</f>
        <v>5.2.A</v>
      </c>
      <c r="E55" s="32" t="s">
        <v>400</v>
      </c>
    </row>
    <row r="56" spans="1:25">
      <c r="A56" s="2" t="s">
        <v>69</v>
      </c>
      <c r="B56" s="2" t="s">
        <v>80</v>
      </c>
      <c r="C56" s="2" t="str">
        <f t="shared" si="0"/>
        <v>CHAVES CADENA JAIRO LEONNEIVA</v>
      </c>
      <c r="D56" s="168" t="str">
        <f>+VLOOKUP(B56,[1]Hoja2!$B$2:$F$194,5,FALSE)</f>
        <v>5.2</v>
      </c>
      <c r="E56" s="32" t="s">
        <v>400</v>
      </c>
    </row>
    <row r="57" spans="1:25">
      <c r="A57" s="2" t="s">
        <v>69</v>
      </c>
      <c r="B57" s="2" t="s">
        <v>70</v>
      </c>
      <c r="C57" s="2" t="str">
        <f t="shared" si="0"/>
        <v>CHAVES CADENA JAIRO LEONMOCOA</v>
      </c>
      <c r="D57" s="168" t="str">
        <f>+VLOOKUP(B57,[1]Hoja2!$B$2:$F$194,5,FALSE)</f>
        <v>5.2.A</v>
      </c>
      <c r="E57" s="32" t="s">
        <v>400</v>
      </c>
    </row>
    <row r="58" spans="1:25">
      <c r="A58" s="2" t="s">
        <v>35</v>
      </c>
      <c r="B58" s="2" t="s">
        <v>41</v>
      </c>
      <c r="C58" s="2" t="str">
        <f t="shared" si="0"/>
        <v>MENDEZ PARRA MANUEL RICARDOPURIFICACION</v>
      </c>
      <c r="D58" s="168" t="str">
        <f>+VLOOKUP(B58,[1]Hoja2!$B$2:$F$194,5,FALSE)</f>
        <v>5.2</v>
      </c>
      <c r="E58" s="32" t="s">
        <v>400</v>
      </c>
    </row>
    <row r="59" spans="1:25">
      <c r="A59" s="2" t="s">
        <v>48</v>
      </c>
      <c r="B59" s="2" t="s">
        <v>80</v>
      </c>
      <c r="C59" s="2" t="str">
        <f t="shared" si="0"/>
        <v>MOTO PREMIUM DE OCCIDENTE S.A.S.NEIVA</v>
      </c>
      <c r="D59" s="168" t="str">
        <f>+VLOOKUP(B59,[1]Hoja2!$B$2:$F$194,5,FALSE)</f>
        <v>5.2</v>
      </c>
      <c r="E59" s="32" t="s">
        <v>400</v>
      </c>
    </row>
    <row r="60" spans="1:25" s="137" customFormat="1">
      <c r="A60" s="2" t="s">
        <v>212</v>
      </c>
      <c r="B60" s="2" t="s">
        <v>214</v>
      </c>
      <c r="C60" s="2" t="str">
        <f t="shared" si="0"/>
        <v>POSADA OSPINA HOFFERMANMSAN VICENTE DEL CAGUAN</v>
      </c>
      <c r="D60" s="168" t="str">
        <f>+VLOOKUP(B60,[1]Hoja2!$B$2:$F$194,5,FALSE)</f>
        <v>5.2.B</v>
      </c>
      <c r="E60" s="32" t="s">
        <v>400</v>
      </c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</row>
    <row r="61" spans="1:25">
      <c r="A61" s="2" t="s">
        <v>212</v>
      </c>
      <c r="B61" s="2" t="s">
        <v>213</v>
      </c>
      <c r="C61" s="2" t="str">
        <f t="shared" si="0"/>
        <v>POSADA OSPINA HOFFERMANMEL DONCELLO</v>
      </c>
      <c r="D61" s="168" t="str">
        <f>+VLOOKUP(B61,[1]Hoja2!$B$2:$F$194,5,FALSE)</f>
        <v>5.2.B</v>
      </c>
      <c r="E61" s="32" t="s">
        <v>400</v>
      </c>
    </row>
    <row r="62" spans="1:25">
      <c r="A62" s="33" t="s">
        <v>401</v>
      </c>
      <c r="B62" s="2" t="s">
        <v>214</v>
      </c>
      <c r="C62" s="2" t="str">
        <f t="shared" si="0"/>
        <v>POSADA  ROMUALDOSAN VICENTE DEL CAGUAN</v>
      </c>
      <c r="D62" s="168" t="str">
        <f>+VLOOKUP(B62,[1]Hoja2!$B$2:$F$194,5,FALSE)</f>
        <v>5.2.B</v>
      </c>
      <c r="E62" s="32" t="s">
        <v>400</v>
      </c>
    </row>
    <row r="63" spans="1:25">
      <c r="A63" s="162" t="s">
        <v>401</v>
      </c>
      <c r="B63" s="2" t="str">
        <f>+B61</f>
        <v>EL DONCELLO</v>
      </c>
      <c r="C63" s="2" t="str">
        <f t="shared" si="0"/>
        <v>POSADA  ROMUALDOEL DONCELLO</v>
      </c>
      <c r="D63" s="168" t="str">
        <f>+VLOOKUP(B63,[1]Hoja2!$B$2:$F$194,5,FALSE)</f>
        <v>5.2.B</v>
      </c>
      <c r="E63" s="32" t="s">
        <v>400</v>
      </c>
    </row>
    <row r="64" spans="1:25">
      <c r="A64" s="2" t="s">
        <v>211</v>
      </c>
      <c r="B64" s="2" t="s">
        <v>210</v>
      </c>
      <c r="C64" s="2" t="str">
        <f t="shared" si="0"/>
        <v>ROSAS ESCANDON GUSTAVO ADOLFOFLORENCIA</v>
      </c>
      <c r="D64" s="168" t="str">
        <f>+VLOOKUP(B64,[1]Hoja2!$B$2:$F$194,5,FALSE)</f>
        <v>5.2.B</v>
      </c>
      <c r="E64" s="32" t="s">
        <v>400</v>
      </c>
    </row>
    <row r="65" spans="1:25">
      <c r="A65" s="2" t="s">
        <v>81</v>
      </c>
      <c r="B65" s="2" t="s">
        <v>210</v>
      </c>
      <c r="C65" s="2" t="str">
        <f t="shared" si="0"/>
        <v>SUPERMOTOS DEL HUILA SASFLORENCIA</v>
      </c>
      <c r="D65" s="168" t="str">
        <f>+VLOOKUP(B65,[1]Hoja2!$B$2:$F$194,5,FALSE)</f>
        <v>5.2.B</v>
      </c>
      <c r="E65" s="32" t="s">
        <v>400</v>
      </c>
    </row>
    <row r="66" spans="1:25">
      <c r="A66" s="2" t="s">
        <v>81</v>
      </c>
      <c r="B66" s="2" t="s">
        <v>83</v>
      </c>
      <c r="C66" s="2" t="str">
        <f t="shared" si="0"/>
        <v>SUPERMOTOS DEL HUILA SASLA PLATA</v>
      </c>
      <c r="D66" s="168" t="str">
        <f>+VLOOKUP(B66,[1]Hoja2!$B$2:$F$194,5,FALSE)</f>
        <v>5.2</v>
      </c>
      <c r="E66" s="32" t="s">
        <v>400</v>
      </c>
    </row>
    <row r="67" spans="1:25">
      <c r="A67" s="2" t="s">
        <v>81</v>
      </c>
      <c r="B67" s="2" t="s">
        <v>80</v>
      </c>
      <c r="C67" s="2" t="str">
        <f t="shared" si="0"/>
        <v>SUPERMOTOS DEL HUILA SASNEIVA</v>
      </c>
      <c r="D67" s="168" t="str">
        <f>+VLOOKUP(B67,[1]Hoja2!$B$2:$F$194,5,FALSE)</f>
        <v>5.2</v>
      </c>
      <c r="E67" s="32" t="s">
        <v>400</v>
      </c>
    </row>
    <row r="68" spans="1:25">
      <c r="A68" s="2" t="s">
        <v>81</v>
      </c>
      <c r="B68" s="2" t="s">
        <v>84</v>
      </c>
      <c r="C68" s="2" t="str">
        <f t="shared" ref="C68:C136" si="1">+CONCATENATE(A68,B68)</f>
        <v>SUPERMOTOS DEL HUILA SASPITALITO</v>
      </c>
      <c r="D68" s="168" t="str">
        <f>+VLOOKUP(B68,[1]Hoja2!$B$2:$F$194,5,FALSE)</f>
        <v>5.2.A</v>
      </c>
      <c r="E68" s="32" t="s">
        <v>400</v>
      </c>
    </row>
    <row r="69" spans="1:25">
      <c r="A69" s="2" t="s">
        <v>203</v>
      </c>
      <c r="B69" s="2" t="s">
        <v>207</v>
      </c>
      <c r="C69" s="2" t="str">
        <f t="shared" si="1"/>
        <v>HONDA MOTOBOY S.A.S.LA DORADA</v>
      </c>
      <c r="D69" s="168" t="str">
        <f>+VLOOKUP(B69,[1]Hoja2!$B$2:$F$194,5,FALSE)</f>
        <v>6.1</v>
      </c>
      <c r="E69" s="32" t="s">
        <v>403</v>
      </c>
    </row>
    <row r="70" spans="1:25">
      <c r="A70" s="2" t="s">
        <v>35</v>
      </c>
      <c r="B70" s="2" t="s">
        <v>36</v>
      </c>
      <c r="C70" s="2" t="str">
        <f t="shared" si="1"/>
        <v>MENDEZ PARRA MANUEL RICARDOHONDA</v>
      </c>
      <c r="D70" s="168" t="str">
        <f>+VLOOKUP(B70,[1]Hoja2!$B$2:$F$194,5,FALSE)</f>
        <v>6.1</v>
      </c>
      <c r="E70" s="32" t="s">
        <v>403</v>
      </c>
    </row>
    <row r="71" spans="1:25" s="165" customFormat="1">
      <c r="A71" s="2" t="s">
        <v>35</v>
      </c>
      <c r="B71" s="2" t="s">
        <v>207</v>
      </c>
      <c r="C71" s="2" t="str">
        <f t="shared" si="1"/>
        <v>MENDEZ PARRA MANUEL RICARDOLA DORADA</v>
      </c>
      <c r="D71" s="168" t="s">
        <v>1266</v>
      </c>
      <c r="E71" s="32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</row>
    <row r="72" spans="1:25" s="173" customFormat="1">
      <c r="A72" s="2" t="s">
        <v>35</v>
      </c>
      <c r="B72" s="2" t="s">
        <v>1270</v>
      </c>
      <c r="C72" s="2" t="str">
        <f t="shared" si="1"/>
        <v>MENDEZ PARRA MANUEL RICARDOLERIDA</v>
      </c>
      <c r="D72" s="168" t="s">
        <v>1266</v>
      </c>
      <c r="E72" s="32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</row>
    <row r="73" spans="1:25">
      <c r="A73" s="2" t="s">
        <v>37</v>
      </c>
      <c r="B73" s="2" t="s">
        <v>38</v>
      </c>
      <c r="C73" s="2" t="str">
        <f t="shared" si="1"/>
        <v>SUPERMOTOS DEL TOLIMA S.A.SLIBANO</v>
      </c>
      <c r="D73" s="168" t="str">
        <f>+VLOOKUP(B73,[1]Hoja2!$B$2:$F$194,5,FALSE)</f>
        <v>6.1.A</v>
      </c>
      <c r="E73" s="32" t="s">
        <v>403</v>
      </c>
    </row>
    <row r="74" spans="1:25">
      <c r="A74" s="2" t="s">
        <v>37</v>
      </c>
      <c r="B74" s="2" t="s">
        <v>39</v>
      </c>
      <c r="C74" s="2" t="str">
        <f t="shared" si="1"/>
        <v>SUPERMOTOS DEL TOLIMA S.A.SMARIQUITA</v>
      </c>
      <c r="D74" s="168" t="str">
        <f>+VLOOKUP(B74,[1]Hoja2!$B$2:$F$194,5,FALSE)</f>
        <v>6.1</v>
      </c>
      <c r="E74" s="32" t="s">
        <v>403</v>
      </c>
    </row>
    <row r="75" spans="1:25">
      <c r="A75" s="2" t="s">
        <v>37</v>
      </c>
      <c r="B75" s="2" t="s">
        <v>207</v>
      </c>
      <c r="C75" s="2" t="str">
        <f t="shared" si="1"/>
        <v>SUPERMOTOS DEL TOLIMA S.A.SLA DORADA</v>
      </c>
      <c r="D75" s="168" t="str">
        <f>+VLOOKUP(B75,[1]Hoja2!$B$2:$F$194,5,FALSE)</f>
        <v>6.1</v>
      </c>
      <c r="E75" s="32" t="s">
        <v>403</v>
      </c>
    </row>
    <row r="76" spans="1:25">
      <c r="A76" s="160" t="s">
        <v>293</v>
      </c>
      <c r="B76" s="160" t="s">
        <v>64</v>
      </c>
      <c r="C76" s="2" t="str">
        <f t="shared" si="1"/>
        <v>ARDILA MIRANDA DANIELSARAVENA</v>
      </c>
      <c r="D76" s="168" t="str">
        <f>+VLOOKUP(B76,[1]Hoja2!$B$2:$F$194,5,FALSE)</f>
        <v>7.2.C</v>
      </c>
      <c r="E76" s="32" t="s">
        <v>404</v>
      </c>
    </row>
    <row r="77" spans="1:25">
      <c r="A77" s="2" t="s">
        <v>102</v>
      </c>
      <c r="B77" s="2" t="s">
        <v>100</v>
      </c>
      <c r="C77" s="2" t="str">
        <f t="shared" si="1"/>
        <v>CABALLERO BUENO CLEOMEDES JOSEVILLAVICENCIO</v>
      </c>
      <c r="D77" s="168" t="str">
        <f>+VLOOKUP(B77,[1]Hoja2!$B$2:$F$194,5,FALSE)</f>
        <v>7.2.B</v>
      </c>
      <c r="E77" s="32" t="s">
        <v>404</v>
      </c>
    </row>
    <row r="78" spans="1:25">
      <c r="A78" s="2" t="s">
        <v>78</v>
      </c>
      <c r="B78" s="2" t="s">
        <v>79</v>
      </c>
      <c r="C78" s="2" t="str">
        <f t="shared" si="1"/>
        <v>CASA YOJE S.A.S.LA PRIMAVERA</v>
      </c>
      <c r="D78" s="168" t="str">
        <f>+VLOOKUP(B78,[1]Hoja2!$B$2:$F$194,5,FALSE)</f>
        <v>7.2.B</v>
      </c>
      <c r="E78" s="32" t="s">
        <v>404</v>
      </c>
    </row>
    <row r="79" spans="1:25">
      <c r="A79" s="2" t="s">
        <v>103</v>
      </c>
      <c r="B79" s="2" t="s">
        <v>100</v>
      </c>
      <c r="C79" s="2" t="str">
        <f t="shared" si="1"/>
        <v>CHAVES BONILLA CONCESIONARIOS SASVILLAVICENCIO</v>
      </c>
      <c r="D79" s="168" t="str">
        <f>+VLOOKUP(B79,[1]Hoja2!$B$2:$F$194,5,FALSE)</f>
        <v>7.2.B</v>
      </c>
      <c r="E79" s="32" t="s">
        <v>404</v>
      </c>
    </row>
    <row r="80" spans="1:25">
      <c r="A80" s="2" t="s">
        <v>103</v>
      </c>
      <c r="B80" s="2" t="s">
        <v>104</v>
      </c>
      <c r="C80" s="2" t="str">
        <f t="shared" si="1"/>
        <v>CHAVES BONILLA CONCESIONARIOS SASACACIAS</v>
      </c>
      <c r="D80" s="168" t="str">
        <f>+VLOOKUP(B80,[1]Hoja2!$B$2:$F$194,5,FALSE)</f>
        <v>7.2.B</v>
      </c>
      <c r="E80" s="32" t="s">
        <v>404</v>
      </c>
    </row>
    <row r="81" spans="1:5">
      <c r="A81" s="2" t="s">
        <v>61</v>
      </c>
      <c r="B81" s="2" t="s">
        <v>62</v>
      </c>
      <c r="C81" s="2" t="str">
        <f t="shared" si="1"/>
        <v>COMERCIAL ELECTRO MUEBLES LTDAARAUCA</v>
      </c>
      <c r="D81" s="168" t="str">
        <f>+VLOOKUP(B81,[1]Hoja2!$B$2:$F$194,5,FALSE)</f>
        <v>7.2.C</v>
      </c>
      <c r="E81" s="32" t="s">
        <v>404</v>
      </c>
    </row>
    <row r="82" spans="1:5">
      <c r="A82" s="2" t="s">
        <v>61</v>
      </c>
      <c r="B82" s="2" t="s">
        <v>63</v>
      </c>
      <c r="C82" s="2" t="str">
        <f t="shared" si="1"/>
        <v>COMERCIAL ELECTRO MUEBLES LTDAARAUQUITA</v>
      </c>
      <c r="D82" s="168" t="str">
        <f>+VLOOKUP(B82,[1]Hoja2!$B$2:$F$194,5,FALSE)</f>
        <v>7.2.C</v>
      </c>
      <c r="E82" s="32" t="s">
        <v>404</v>
      </c>
    </row>
    <row r="83" spans="1:5">
      <c r="A83" s="2" t="s">
        <v>61</v>
      </c>
      <c r="B83" s="2" t="s">
        <v>64</v>
      </c>
      <c r="C83" s="2" t="str">
        <f t="shared" si="1"/>
        <v>COMERCIAL ELECTRO MUEBLES LTDASARAVENA</v>
      </c>
      <c r="D83" s="168" t="str">
        <f>+VLOOKUP(B83,[1]Hoja2!$B$2:$F$194,5,FALSE)</f>
        <v>7.2.C</v>
      </c>
      <c r="E83" s="32" t="s">
        <v>404</v>
      </c>
    </row>
    <row r="84" spans="1:5">
      <c r="A84" s="2" t="s">
        <v>61</v>
      </c>
      <c r="B84" s="2" t="s">
        <v>65</v>
      </c>
      <c r="C84" s="2" t="str">
        <f t="shared" si="1"/>
        <v>COMERCIAL ELECTRO MUEBLES LTDATAME</v>
      </c>
      <c r="D84" s="168" t="str">
        <f>+VLOOKUP(B84,[1]Hoja2!$B$2:$F$194,5,FALSE)</f>
        <v>7.2.C</v>
      </c>
      <c r="E84" s="32" t="s">
        <v>404</v>
      </c>
    </row>
    <row r="85" spans="1:5">
      <c r="A85" s="2" t="s">
        <v>101</v>
      </c>
      <c r="B85" s="2" t="s">
        <v>100</v>
      </c>
      <c r="C85" s="2" t="str">
        <f t="shared" si="1"/>
        <v>COMERCIALIZADORA ALCALA MOTOR S.A.S.VILLAVICENCIO</v>
      </c>
      <c r="D85" s="168" t="str">
        <f>+VLOOKUP(B85,[1]Hoja2!$B$2:$F$194,5,FALSE)</f>
        <v>7.2.B</v>
      </c>
      <c r="E85" s="32" t="s">
        <v>404</v>
      </c>
    </row>
    <row r="86" spans="1:5">
      <c r="A86" s="2" t="s">
        <v>308</v>
      </c>
      <c r="B86" s="2" t="s">
        <v>67</v>
      </c>
      <c r="C86" s="2" t="str">
        <f t="shared" si="1"/>
        <v>FRIO Y CALOR S.AYOPAL</v>
      </c>
      <c r="D86" s="168" t="str">
        <f>+VLOOKUP(B86,[1]Hoja2!$B$2:$F$194,5,FALSE)</f>
        <v>7.2.B</v>
      </c>
      <c r="E86" s="32" t="s">
        <v>404</v>
      </c>
    </row>
    <row r="87" spans="1:5">
      <c r="A87" s="2" t="s">
        <v>66</v>
      </c>
      <c r="B87" s="2" t="s">
        <v>67</v>
      </c>
      <c r="C87" s="2" t="str">
        <f t="shared" si="1"/>
        <v>INVERSIONES LOPEZ CADAVID Y COMPAÑIA LTDAYOPAL</v>
      </c>
      <c r="D87" s="168" t="str">
        <f>+VLOOKUP(B87,[1]Hoja2!$B$2:$F$194,5,FALSE)</f>
        <v>7.2.B</v>
      </c>
      <c r="E87" s="32" t="s">
        <v>404</v>
      </c>
    </row>
    <row r="88" spans="1:5">
      <c r="A88" s="2" t="s">
        <v>66</v>
      </c>
      <c r="B88" s="2" t="s">
        <v>105</v>
      </c>
      <c r="C88" s="2" t="str">
        <f t="shared" si="1"/>
        <v>INVERSIONES LOPEZ CADAVID Y COMPAÑIA LTDAGRANADA</v>
      </c>
      <c r="D88" s="168" t="str">
        <f>+VLOOKUP(B88,[1]Hoja2!$B$2:$F$194,5,FALSE)</f>
        <v>7.2.B</v>
      </c>
      <c r="E88" s="32" t="s">
        <v>404</v>
      </c>
    </row>
    <row r="89" spans="1:5">
      <c r="A89" s="2" t="s">
        <v>271</v>
      </c>
      <c r="B89" s="2" t="s">
        <v>390</v>
      </c>
      <c r="C89" s="2" t="str">
        <f t="shared" si="1"/>
        <v>MOTOCEL COMPANY S.A.STAURAMENA</v>
      </c>
      <c r="D89" s="168" t="str">
        <f>+VLOOKUP(B89,[1]Hoja2!$B$2:$F$194,5,FALSE)</f>
        <v>7.2.B</v>
      </c>
      <c r="E89" s="32" t="s">
        <v>404</v>
      </c>
    </row>
    <row r="90" spans="1:5">
      <c r="A90" s="2" t="s">
        <v>68</v>
      </c>
      <c r="B90" s="2" t="s">
        <v>67</v>
      </c>
      <c r="C90" s="2" t="str">
        <f t="shared" si="1"/>
        <v>TORRES ESTEPA FREDDY HUMBERTOYOPAL</v>
      </c>
      <c r="D90" s="168" t="str">
        <f>+VLOOKUP(B90,[1]Hoja2!$B$2:$F$194,5,FALSE)</f>
        <v>7.2.B</v>
      </c>
      <c r="E90" s="32" t="s">
        <v>404</v>
      </c>
    </row>
    <row r="91" spans="1:5">
      <c r="A91" s="2" t="s">
        <v>99</v>
      </c>
      <c r="B91" s="2" t="s">
        <v>100</v>
      </c>
      <c r="C91" s="2" t="str">
        <f t="shared" si="1"/>
        <v>YOKO MOTOS S.A.S.VILLAVICENCIO</v>
      </c>
      <c r="D91" s="168" t="str">
        <f>+VLOOKUP(B91,[1]Hoja2!$B$2:$F$194,5,FALSE)</f>
        <v>7.2.B</v>
      </c>
      <c r="E91" s="32" t="s">
        <v>404</v>
      </c>
    </row>
    <row r="92" spans="1:5">
      <c r="A92" s="2" t="s">
        <v>297</v>
      </c>
      <c r="B92" s="2" t="s">
        <v>298</v>
      </c>
      <c r="C92" s="2" t="str">
        <f t="shared" si="1"/>
        <v>COLVENTAS S.A.BARBOSA SANTANDER</v>
      </c>
      <c r="D92" s="168" t="str">
        <f>+VLOOKUP(B92,[1]Hoja2!$B$2:$F$194,5,FALSE)</f>
        <v>7.2.A</v>
      </c>
      <c r="E92" s="32" t="s">
        <v>405</v>
      </c>
    </row>
    <row r="93" spans="1:5">
      <c r="A93" s="2" t="s">
        <v>101</v>
      </c>
      <c r="B93" s="2" t="s">
        <v>202</v>
      </c>
      <c r="C93" s="2" t="str">
        <f t="shared" si="1"/>
        <v>COMERCIALIZADORA ALCALA MOTOR S.A.S.TUNJA</v>
      </c>
      <c r="D93" s="168" t="str">
        <f>+VLOOKUP(B93,[1]Hoja2!$B$2:$F$194,5,FALSE)</f>
        <v>7.2.A</v>
      </c>
      <c r="E93" s="32" t="s">
        <v>405</v>
      </c>
    </row>
    <row r="94" spans="1:5">
      <c r="A94" s="2" t="s">
        <v>273</v>
      </c>
      <c r="B94" s="2" t="s">
        <v>299</v>
      </c>
      <c r="C94" s="2" t="str">
        <f t="shared" si="1"/>
        <v>CORREDOR PACHON LUIS ANTONIOCHIQUINQUIRA</v>
      </c>
      <c r="D94" s="168" t="str">
        <f>+VLOOKUP(B94,[1]Hoja2!$B$2:$F$194,5,FALSE)</f>
        <v>7.2.A</v>
      </c>
      <c r="E94" s="32" t="s">
        <v>405</v>
      </c>
    </row>
    <row r="95" spans="1:5">
      <c r="A95" s="2" t="s">
        <v>127</v>
      </c>
      <c r="B95" s="2" t="s">
        <v>128</v>
      </c>
      <c r="C95" s="2" t="str">
        <f t="shared" si="1"/>
        <v>MACANA  MARTHA ROCIOBARBOSA</v>
      </c>
      <c r="D95" s="168" t="s">
        <v>1259</v>
      </c>
      <c r="E95" s="32" t="s">
        <v>296</v>
      </c>
    </row>
    <row r="96" spans="1:5">
      <c r="A96" s="2" t="s">
        <v>260</v>
      </c>
      <c r="B96" s="2" t="s">
        <v>261</v>
      </c>
      <c r="C96" s="2" t="str">
        <f t="shared" si="1"/>
        <v>MERCAMOTOS S.A.SZIPAQUIRA</v>
      </c>
      <c r="D96" s="168" t="str">
        <f>+VLOOKUP(B96,[1]Hoja2!$B$2:$F$194,5,FALSE)</f>
        <v>7.2.A</v>
      </c>
      <c r="E96" s="32" t="s">
        <v>405</v>
      </c>
    </row>
    <row r="97" spans="1:25">
      <c r="A97" s="2" t="s">
        <v>335</v>
      </c>
      <c r="B97" s="2" t="s">
        <v>336</v>
      </c>
      <c r="C97" s="2" t="str">
        <f t="shared" si="1"/>
        <v>PROCESOS ENERGETICOS INTEGRALES LIMITADADUITAMA</v>
      </c>
      <c r="D97" s="168" t="str">
        <f>+VLOOKUP(B97,[1]Hoja2!$B$2:$F$194,5,FALSE)</f>
        <v>7.2.A</v>
      </c>
      <c r="E97" s="32" t="s">
        <v>405</v>
      </c>
    </row>
    <row r="98" spans="1:25">
      <c r="A98" s="2" t="s">
        <v>337</v>
      </c>
      <c r="B98" s="2" t="s">
        <v>338</v>
      </c>
      <c r="C98" s="2" t="str">
        <f t="shared" si="1"/>
        <v>RT MOTOS S.A.SUBATE</v>
      </c>
      <c r="D98" s="168" t="str">
        <f>+VLOOKUP(B98,[1]Hoja2!$B$2:$F$194,5,FALSE)</f>
        <v>7.2.A</v>
      </c>
      <c r="E98" s="32" t="s">
        <v>405</v>
      </c>
    </row>
    <row r="99" spans="1:25">
      <c r="A99" s="2" t="s">
        <v>68</v>
      </c>
      <c r="B99" s="2" t="s">
        <v>205</v>
      </c>
      <c r="C99" s="2" t="str">
        <f t="shared" si="1"/>
        <v>TORRES ESTEPA FREDDY HUMBERTOSOGAMOSO</v>
      </c>
      <c r="D99" s="168" t="str">
        <f>+VLOOKUP(B99,[1]Hoja2!$B$2:$F$194,5,FALSE)</f>
        <v>7.2.A</v>
      </c>
      <c r="E99" s="32" t="s">
        <v>405</v>
      </c>
    </row>
    <row r="100" spans="1:25">
      <c r="A100" s="33" t="s">
        <v>395</v>
      </c>
      <c r="B100" s="158" t="s">
        <v>184</v>
      </c>
      <c r="C100" s="2" t="str">
        <f t="shared" si="1"/>
        <v>GRUPO DOS RUEDAS SASBOGOTA D.C.</v>
      </c>
      <c r="D100" s="168" t="str">
        <f>+VLOOKUP(B100,[1]Hoja2!$B$2:$F$194,5,FALSE)</f>
        <v>7.2</v>
      </c>
      <c r="E100" s="32" t="s">
        <v>396</v>
      </c>
    </row>
    <row r="101" spans="1:25" s="173" customFormat="1">
      <c r="A101" s="33" t="s">
        <v>395</v>
      </c>
      <c r="B101" s="158" t="s">
        <v>202</v>
      </c>
      <c r="C101" s="2" t="str">
        <f t="shared" si="1"/>
        <v>GRUPO DOS RUEDAS SASTUNJA</v>
      </c>
      <c r="D101" s="168" t="s">
        <v>1259</v>
      </c>
      <c r="E101" s="32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1:25" s="23" customFormat="1">
      <c r="A102" s="33" t="s">
        <v>293</v>
      </c>
      <c r="B102" s="158" t="s">
        <v>184</v>
      </c>
      <c r="C102" s="2" t="str">
        <f t="shared" si="1"/>
        <v>ARDILA MIRANDA DANIELBOGOTA D.C.</v>
      </c>
      <c r="D102" s="168" t="str">
        <f>+VLOOKUP(B102,[1]Hoja2!$B$2:$F$194,5,FALSE)</f>
        <v>7.2</v>
      </c>
      <c r="E102" s="32" t="s">
        <v>396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2" t="s">
        <v>258</v>
      </c>
      <c r="B103" s="2" t="s">
        <v>259</v>
      </c>
      <c r="C103" s="2" t="str">
        <f t="shared" si="1"/>
        <v>ACOSTA TINOCO ALCIRAVILLETA</v>
      </c>
      <c r="D103" s="168" t="str">
        <f>+VLOOKUP(B103,[1]Hoja2!$B$2:$F$194,5,FALSE)</f>
        <v>7.1.A</v>
      </c>
      <c r="E103" s="32" t="s">
        <v>396</v>
      </c>
    </row>
    <row r="104" spans="1:25">
      <c r="A104" s="2" t="s">
        <v>277</v>
      </c>
      <c r="B104" s="2" t="s">
        <v>253</v>
      </c>
      <c r="C104" s="2" t="str">
        <f t="shared" si="1"/>
        <v>BEST BIKE S.A.SCHIA</v>
      </c>
      <c r="D104" s="168" t="str">
        <f>+VLOOKUP(B104,[1]Hoja2!$B$2:$F$194,5,FALSE)</f>
        <v>7.2.A</v>
      </c>
      <c r="E104" s="32" t="s">
        <v>396</v>
      </c>
    </row>
    <row r="105" spans="1:25">
      <c r="A105" s="2" t="s">
        <v>192</v>
      </c>
      <c r="B105" s="2" t="s">
        <v>184</v>
      </c>
      <c r="C105" s="2" t="str">
        <f t="shared" si="1"/>
        <v>CASAMOTO S A SBOGOTA D.C.</v>
      </c>
      <c r="D105" s="168" t="str">
        <f>+VLOOKUP(B105,[1]Hoja2!$B$2:$F$194,5,FALSE)</f>
        <v>7.2</v>
      </c>
      <c r="E105" s="32" t="s">
        <v>396</v>
      </c>
    </row>
    <row r="106" spans="1:25">
      <c r="A106" s="2" t="s">
        <v>187</v>
      </c>
      <c r="B106" s="2" t="s">
        <v>184</v>
      </c>
      <c r="C106" s="2" t="str">
        <f t="shared" si="1"/>
        <v>CCS MOTOR S A SBOGOTA D.C.</v>
      </c>
      <c r="D106" s="168" t="str">
        <f>+VLOOKUP(B106,[1]Hoja2!$B$2:$F$194,5,FALSE)</f>
        <v>7.2</v>
      </c>
      <c r="E106" s="32" t="s">
        <v>396</v>
      </c>
    </row>
    <row r="107" spans="1:25" s="23" customFormat="1">
      <c r="A107" s="161" t="s">
        <v>101</v>
      </c>
      <c r="B107" s="161" t="s">
        <v>184</v>
      </c>
      <c r="C107" s="2" t="str">
        <f t="shared" si="1"/>
        <v>COMERCIALIZADORA ALCALA MOTOR S.A.S.BOGOTA D.C.</v>
      </c>
      <c r="D107" s="168" t="str">
        <f>+VLOOKUP(B107,[1]Hoja2!$B$2:$F$194,5,FALSE)</f>
        <v>7.2</v>
      </c>
      <c r="E107" s="32" t="s">
        <v>396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2" t="s">
        <v>190</v>
      </c>
      <c r="B108" s="2" t="s">
        <v>184</v>
      </c>
      <c r="C108" s="2" t="str">
        <f t="shared" si="1"/>
        <v>CORTES VELASQUEZ OMAR HENRYBOGOTA D.C.</v>
      </c>
      <c r="D108" s="168" t="str">
        <f>+VLOOKUP(B108,[1]Hoja2!$B$2:$F$194,5,FALSE)</f>
        <v>7.2</v>
      </c>
      <c r="E108" s="32" t="s">
        <v>396</v>
      </c>
    </row>
    <row r="109" spans="1:25">
      <c r="A109" s="133" t="s">
        <v>188</v>
      </c>
      <c r="B109" s="157" t="s">
        <v>184</v>
      </c>
      <c r="C109" s="2" t="str">
        <f t="shared" si="1"/>
        <v>MOTOR CITY HERO S.A.SBOGOTA D.C.</v>
      </c>
      <c r="D109" s="168" t="str">
        <f>+VLOOKUP(B109,[1]Hoja2!$B$2:$F$194,5,FALSE)</f>
        <v>7.2</v>
      </c>
      <c r="E109" s="32" t="s">
        <v>396</v>
      </c>
    </row>
    <row r="110" spans="1:25">
      <c r="A110" s="2" t="s">
        <v>75</v>
      </c>
      <c r="B110" s="2" t="s">
        <v>76</v>
      </c>
      <c r="C110" s="2" t="str">
        <f t="shared" si="1"/>
        <v>CREDITOS PARRA Y CIA S.A.SLETICIA</v>
      </c>
      <c r="D110" s="168" t="s">
        <v>1256</v>
      </c>
      <c r="E110" s="32" t="s">
        <v>396</v>
      </c>
    </row>
    <row r="111" spans="1:25">
      <c r="A111" s="2" t="s">
        <v>185</v>
      </c>
      <c r="B111" s="2" t="s">
        <v>184</v>
      </c>
      <c r="C111" s="2" t="str">
        <f t="shared" si="1"/>
        <v>EN MOTO.COM SASBOGOTA D.C.</v>
      </c>
      <c r="D111" s="168" t="str">
        <f>+VLOOKUP(B111,[1]Hoja2!$B$2:$F$194,5,FALSE)</f>
        <v>7.2</v>
      </c>
      <c r="E111" s="32" t="s">
        <v>396</v>
      </c>
    </row>
    <row r="112" spans="1:25">
      <c r="A112" s="2" t="s">
        <v>35</v>
      </c>
      <c r="B112" s="161" t="s">
        <v>255</v>
      </c>
      <c r="C112" s="2" t="str">
        <f t="shared" si="1"/>
        <v>MENDEZ PARRA MANUEL RICARDOFUSAGASUGA</v>
      </c>
      <c r="D112" s="168" t="str">
        <f>+VLOOKUP(B112,[1]Hoja2!$B$2:$F$194,5,FALSE)</f>
        <v>7.1</v>
      </c>
      <c r="E112" s="32" t="s">
        <v>396</v>
      </c>
    </row>
    <row r="113" spans="1:25" s="165" customFormat="1">
      <c r="A113" s="2" t="s">
        <v>35</v>
      </c>
      <c r="B113" s="160" t="s">
        <v>12</v>
      </c>
      <c r="C113" s="2" t="str">
        <f t="shared" si="1"/>
        <v>MENDEZ PARRA MANUEL RICARDOCHAPARRAL</v>
      </c>
      <c r="D113" s="168" t="s">
        <v>1265</v>
      </c>
      <c r="E113" s="32" t="s">
        <v>307</v>
      </c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</row>
    <row r="114" spans="1:25" s="23" customFormat="1">
      <c r="A114" s="2" t="s">
        <v>251</v>
      </c>
      <c r="B114" s="2" t="s">
        <v>253</v>
      </c>
      <c r="C114" s="2" t="str">
        <f t="shared" si="1"/>
        <v>MONJE CAMPO HUGO HERNANCHIA</v>
      </c>
      <c r="D114" s="168" t="str">
        <f>+VLOOKUP(B114,[1]Hoja2!$B$2:$F$194,5,FALSE)</f>
        <v>7.2.A</v>
      </c>
      <c r="E114" s="32" t="s">
        <v>396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2" t="s">
        <v>1263</v>
      </c>
      <c r="B115" s="157" t="s">
        <v>184</v>
      </c>
      <c r="C115" s="2" t="str">
        <f t="shared" si="1"/>
        <v>MOTORCYCLE MARKET S.A.SBOGOTA D.C.</v>
      </c>
      <c r="D115" s="168" t="str">
        <f>+VLOOKUP(B115,[1]Hoja2!$B$2:$F$194,5,FALSE)</f>
        <v>7.2</v>
      </c>
      <c r="E115" s="32" t="s">
        <v>396</v>
      </c>
    </row>
    <row r="116" spans="1:25">
      <c r="A116" s="2" t="s">
        <v>1263</v>
      </c>
      <c r="B116" s="2" t="s">
        <v>332</v>
      </c>
      <c r="C116" s="2" t="str">
        <f t="shared" si="1"/>
        <v>MOTORCYCLE MARKET S.A.SFUNZA</v>
      </c>
      <c r="D116" s="168" t="str">
        <f>+VLOOKUP(B116,[1]Hoja2!$B$2:$F$194,5,FALSE)</f>
        <v>7.1</v>
      </c>
      <c r="E116" s="32" t="s">
        <v>396</v>
      </c>
    </row>
    <row r="117" spans="1:25">
      <c r="A117" s="2" t="s">
        <v>1263</v>
      </c>
      <c r="B117" s="2" t="s">
        <v>257</v>
      </c>
      <c r="C117" s="2" t="str">
        <f>+CONCATENATE(A118,B117)</f>
        <v>MOTORCYCLE MARKET S.A.SMADRID</v>
      </c>
      <c r="D117" s="168" t="str">
        <f>+VLOOKUP(B117,[1]Hoja2!$B$2:$F$194,5,FALSE)</f>
        <v>7.1.A</v>
      </c>
      <c r="E117" s="32" t="s">
        <v>396</v>
      </c>
    </row>
    <row r="118" spans="1:25" s="165" customFormat="1">
      <c r="A118" s="2" t="s">
        <v>1263</v>
      </c>
      <c r="B118" s="2" t="s">
        <v>100</v>
      </c>
      <c r="C118" s="2" t="str">
        <f>+CONCATENATE(A118,B118)</f>
        <v>MOTORCYCLE MARKET S.A.SVILLAVICENCIO</v>
      </c>
      <c r="D118" s="168" t="s">
        <v>1264</v>
      </c>
      <c r="E118" s="32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</row>
    <row r="119" spans="1:25">
      <c r="A119" s="2" t="s">
        <v>77</v>
      </c>
      <c r="B119" s="2" t="s">
        <v>406</v>
      </c>
      <c r="C119" s="2" t="str">
        <f t="shared" si="1"/>
        <v>RUGE PINZON JORGE HERNANINIRIDA</v>
      </c>
      <c r="D119" s="168" t="s">
        <v>1256</v>
      </c>
      <c r="E119" s="32" t="s">
        <v>396</v>
      </c>
    </row>
    <row r="120" spans="1:25">
      <c r="A120" s="2" t="s">
        <v>191</v>
      </c>
      <c r="B120" s="161" t="s">
        <v>184</v>
      </c>
      <c r="C120" s="2" t="str">
        <f t="shared" si="1"/>
        <v>SAINEA PUERTO LUIS ALBERTOBOGOTA D.C.</v>
      </c>
      <c r="D120" s="168" t="str">
        <f>+VLOOKUP(B120,[1]Hoja2!$B$2:$F$194,5,FALSE)</f>
        <v>7.2</v>
      </c>
      <c r="E120" s="32" t="s">
        <v>396</v>
      </c>
    </row>
    <row r="121" spans="1:25">
      <c r="A121" s="2" t="s">
        <v>189</v>
      </c>
      <c r="B121" s="2" t="s">
        <v>184</v>
      </c>
      <c r="C121" s="2" t="str">
        <f t="shared" si="1"/>
        <v>SUPERMOTOS DE BOGOTA S.A.S.BOGOTA D.C.</v>
      </c>
      <c r="D121" s="168" t="str">
        <f>+VLOOKUP(B121,[1]Hoja2!$B$2:$F$194,5,FALSE)</f>
        <v>7.2</v>
      </c>
      <c r="E121" s="32" t="s">
        <v>396</v>
      </c>
    </row>
    <row r="122" spans="1:25">
      <c r="A122" s="2" t="s">
        <v>189</v>
      </c>
      <c r="B122" s="157" t="s">
        <v>254</v>
      </c>
      <c r="C122" s="2" t="str">
        <f t="shared" si="1"/>
        <v>SUPERMOTOS DE BOGOTA S.A.S.FACATATIVA</v>
      </c>
      <c r="D122" s="168" t="str">
        <f>+VLOOKUP(B122,[1]Hoja2!$B$2:$F$194,5,FALSE)</f>
        <v>7.1.A</v>
      </c>
      <c r="E122" s="32" t="s">
        <v>396</v>
      </c>
    </row>
    <row r="123" spans="1:25">
      <c r="A123" s="2" t="s">
        <v>186</v>
      </c>
      <c r="B123" s="2" t="s">
        <v>184</v>
      </c>
      <c r="C123" s="2" t="str">
        <f t="shared" si="1"/>
        <v>SUPERMOTOS DE CUNDINAMARCA S.A.SBOGOTA D.C.</v>
      </c>
      <c r="D123" s="168" t="str">
        <f>+VLOOKUP(B123,[1]Hoja2!$B$2:$F$194,5,FALSE)</f>
        <v>7.2</v>
      </c>
      <c r="E123" s="32" t="s">
        <v>396</v>
      </c>
    </row>
    <row r="124" spans="1:25">
      <c r="A124" s="34" t="s">
        <v>410</v>
      </c>
      <c r="B124" s="169" t="s">
        <v>184</v>
      </c>
      <c r="C124" s="2" t="str">
        <f t="shared" si="1"/>
        <v>C MOTO STORE S.A.S.BOGOTA D.C.</v>
      </c>
      <c r="D124" s="168" t="str">
        <f>+VLOOKUP(B124,[1]Hoja2!$B$2:$F$194,5,FALSE)</f>
        <v>7.2</v>
      </c>
      <c r="E124" s="32" t="s">
        <v>396</v>
      </c>
    </row>
    <row r="125" spans="1:25">
      <c r="A125" s="159" t="s">
        <v>1246</v>
      </c>
      <c r="B125" s="157" t="s">
        <v>184</v>
      </c>
      <c r="C125" s="2" t="str">
        <f t="shared" si="1"/>
        <v>MOTO MAS S A SBOGOTA D.C.</v>
      </c>
      <c r="D125" s="168" t="str">
        <f>+VLOOKUP(B125,[1]Hoja2!$B$2:$F$194,5,FALSE)</f>
        <v>7.2</v>
      </c>
      <c r="E125" s="32" t="s">
        <v>396</v>
      </c>
    </row>
    <row r="126" spans="1:25">
      <c r="A126" s="34" t="s">
        <v>398</v>
      </c>
      <c r="B126" s="169" t="s">
        <v>167</v>
      </c>
      <c r="C126" s="2" t="str">
        <f t="shared" si="1"/>
        <v>SUPREMOTOS S.A.S.COPACABANA</v>
      </c>
      <c r="D126" s="168" t="str">
        <f>+VLOOKUP(B126,[1]Hoja2!$B$2:$F$194,5,FALSE)</f>
        <v>8.2.A</v>
      </c>
      <c r="E126" s="32" t="s">
        <v>399</v>
      </c>
    </row>
    <row r="127" spans="1:25">
      <c r="A127" s="33" t="s">
        <v>402</v>
      </c>
      <c r="B127" s="158" t="s">
        <v>341</v>
      </c>
      <c r="C127" s="2" t="str">
        <f t="shared" si="1"/>
        <v>URREGO ACOSTA CARLOS JAVIERURRAO</v>
      </c>
      <c r="D127" s="168" t="str">
        <f>+VLOOKUP(B127,[1]Hoja2!$B$2:$F$194,5,FALSE)</f>
        <v>8.1.A</v>
      </c>
      <c r="E127" s="32" t="s">
        <v>399</v>
      </c>
    </row>
    <row r="128" spans="1:25">
      <c r="A128" s="2" t="s">
        <v>152</v>
      </c>
      <c r="B128" s="2" t="s">
        <v>153</v>
      </c>
      <c r="C128" s="2" t="str">
        <f t="shared" si="1"/>
        <v>CANOMOTOS ANDES S.A.SANDES</v>
      </c>
      <c r="D128" s="168" t="str">
        <f>+VLOOKUP(B128,[1]Hoja2!$B$2:$F$194,5,FALSE)</f>
        <v>8.1.A</v>
      </c>
      <c r="E128" s="32" t="s">
        <v>399</v>
      </c>
    </row>
    <row r="129" spans="1:5">
      <c r="A129" s="2" t="s">
        <v>274</v>
      </c>
      <c r="B129" s="2" t="s">
        <v>344</v>
      </c>
      <c r="C129" s="2" t="str">
        <f t="shared" si="1"/>
        <v>ELECTRO RAMOS CREDITOS S.A.SSAN ROQUE</v>
      </c>
      <c r="D129" s="168" t="str">
        <f>+VLOOKUP(B129,[1]Hoja2!$B$2:$F$194,5,FALSE)</f>
        <v>8.2.A</v>
      </c>
      <c r="E129" s="32" t="s">
        <v>399</v>
      </c>
    </row>
    <row r="130" spans="1:5">
      <c r="A130" s="2" t="s">
        <v>159</v>
      </c>
      <c r="B130" s="2" t="s">
        <v>128</v>
      </c>
      <c r="C130" s="2" t="str">
        <f t="shared" si="1"/>
        <v>HONDA SUPER NORTE S.A.S.BARBOSA</v>
      </c>
      <c r="D130" s="168" t="str">
        <f>+VLOOKUP(B130,[1]Hoja2!$B$2:$F$194,5,FALSE)</f>
        <v>8.2.A</v>
      </c>
      <c r="E130" s="32" t="s">
        <v>399</v>
      </c>
    </row>
    <row r="131" spans="1:5">
      <c r="A131" s="2" t="s">
        <v>272</v>
      </c>
      <c r="B131" s="2" t="s">
        <v>341</v>
      </c>
      <c r="C131" s="2" t="str">
        <f t="shared" si="1"/>
        <v>SERVIMOTOS URRAO S.A.SURRAO</v>
      </c>
      <c r="D131" s="168" t="str">
        <f>+VLOOKUP(B131,[1]Hoja2!$B$2:$F$194,5,FALSE)</f>
        <v>8.1.A</v>
      </c>
      <c r="E131" s="32" t="s">
        <v>399</v>
      </c>
    </row>
    <row r="132" spans="1:5">
      <c r="A132" s="2" t="s">
        <v>161</v>
      </c>
      <c r="B132" s="2" t="s">
        <v>162</v>
      </c>
      <c r="C132" s="2" t="str">
        <f t="shared" si="1"/>
        <v>SUROMOTOS S.A.CIUDAD BOLIVAR</v>
      </c>
      <c r="D132" s="168" t="str">
        <f>+VLOOKUP(B132,[1]Hoja2!$B$2:$F$194,5,FALSE)</f>
        <v>8.1.A</v>
      </c>
      <c r="E132" s="32" t="s">
        <v>399</v>
      </c>
    </row>
    <row r="133" spans="1:5">
      <c r="A133" s="2" t="s">
        <v>174</v>
      </c>
      <c r="B133" s="2" t="s">
        <v>175</v>
      </c>
      <c r="C133" s="2" t="str">
        <f t="shared" si="1"/>
        <v>VILLA PEREZ JESUS DAVIDSEGOVIA</v>
      </c>
      <c r="D133" s="168" t="str">
        <f>+VLOOKUP(B133,[1]Hoja2!$B$2:$F$194,5,FALSE)</f>
        <v>8.2.A</v>
      </c>
      <c r="E133" s="32" t="s">
        <v>399</v>
      </c>
    </row>
    <row r="134" spans="1:5">
      <c r="A134" s="2" t="s">
        <v>208</v>
      </c>
      <c r="B134" s="2" t="s">
        <v>209</v>
      </c>
      <c r="C134" s="2" t="str">
        <f t="shared" si="1"/>
        <v>CEVECO S.A.S.RIOSUCIO</v>
      </c>
      <c r="D134" s="168" t="str">
        <f>+VLOOKUP(B134,[1]Hoja2!$B$2:$F$194,5,FALSE)</f>
        <v>8.1</v>
      </c>
      <c r="E134" s="32" t="s">
        <v>399</v>
      </c>
    </row>
    <row r="135" spans="1:5">
      <c r="A135" s="2" t="s">
        <v>163</v>
      </c>
      <c r="B135" s="2" t="s">
        <v>164</v>
      </c>
      <c r="C135" s="2" t="str">
        <f t="shared" si="1"/>
        <v>HONDA-SUR MOTOS Y REPUESTOS S.A.S.CALDAS</v>
      </c>
      <c r="D135" s="168" t="str">
        <f>+VLOOKUP(B135,[1]Hoja2!$B$2:$F$194,5,FALSE)</f>
        <v>8.1.A</v>
      </c>
      <c r="E135" s="32" t="s">
        <v>399</v>
      </c>
    </row>
    <row r="136" spans="1:5">
      <c r="A136" s="2" t="s">
        <v>330</v>
      </c>
      <c r="B136" s="2" t="s">
        <v>331</v>
      </c>
      <c r="C136" s="2" t="str">
        <f t="shared" si="1"/>
        <v>MOTOMAYORISTA S.A.S.ITAGUI</v>
      </c>
      <c r="D136" s="168" t="str">
        <f>+VLOOKUP(B136,[1]Hoja2!$B$2:$F$194,5,FALSE)</f>
        <v>8.1</v>
      </c>
      <c r="E136" s="32" t="s">
        <v>399</v>
      </c>
    </row>
    <row r="137" spans="1:5">
      <c r="A137" s="2" t="s">
        <v>138</v>
      </c>
      <c r="B137" s="2" t="s">
        <v>167</v>
      </c>
      <c r="C137" s="2" t="str">
        <f t="shared" ref="C137:C206" si="2">+CONCATENATE(A137,B137)</f>
        <v>SUFIMOTOS S.A.S.COPACABANA</v>
      </c>
      <c r="D137" s="168" t="str">
        <f>+VLOOKUP(B137,[1]Hoja2!$B$2:$F$194,5,FALSE)</f>
        <v>8.2.A</v>
      </c>
      <c r="E137" s="32" t="s">
        <v>399</v>
      </c>
    </row>
    <row r="138" spans="1:5">
      <c r="A138" s="2" t="s">
        <v>151</v>
      </c>
      <c r="B138" s="2" t="s">
        <v>168</v>
      </c>
      <c r="C138" s="2" t="str">
        <f t="shared" si="2"/>
        <v>SUPERMOTOS DE ANTIOQUIA S.A.ENVIGADO</v>
      </c>
      <c r="D138" s="168" t="str">
        <f>+VLOOKUP(B138,[1]Hoja2!$B$2:$F$194,5,FALSE)</f>
        <v>8.1</v>
      </c>
      <c r="E138" s="32" t="s">
        <v>399</v>
      </c>
    </row>
    <row r="139" spans="1:5">
      <c r="A139" s="2" t="s">
        <v>151</v>
      </c>
      <c r="B139" s="2" t="s">
        <v>160</v>
      </c>
      <c r="C139" s="2" t="str">
        <f t="shared" si="2"/>
        <v>SUPERMOTOS DE ANTIOQUIA S.A.BELLO</v>
      </c>
      <c r="D139" s="168" t="str">
        <f>+VLOOKUP(B139,[1]Hoja2!$B$2:$F$194,5,FALSE)</f>
        <v>8.1</v>
      </c>
      <c r="E139" s="32" t="s">
        <v>399</v>
      </c>
    </row>
    <row r="140" spans="1:5">
      <c r="A140" s="2" t="s">
        <v>151</v>
      </c>
      <c r="B140" s="2" t="s">
        <v>171</v>
      </c>
      <c r="C140" s="2" t="str">
        <f t="shared" si="2"/>
        <v>SUPERMOTOS DE ANTIOQUIA S.A.RIONEGRO</v>
      </c>
      <c r="D140" s="168" t="str">
        <f>+VLOOKUP(B140,[1]Hoja2!$B$2:$F$194,5,FALSE)</f>
        <v>8.2</v>
      </c>
      <c r="E140" s="32" t="s">
        <v>399</v>
      </c>
    </row>
    <row r="141" spans="1:5">
      <c r="A141" s="2" t="s">
        <v>99</v>
      </c>
      <c r="B141" s="2" t="s">
        <v>157</v>
      </c>
      <c r="C141" s="2" t="str">
        <f t="shared" si="2"/>
        <v>YOKO MOTOS S.A.S.APARTADO</v>
      </c>
      <c r="D141" s="168" t="str">
        <f>+VLOOKUP(B141,[1]Hoja2!$B$2:$F$194,5,FALSE)</f>
        <v>9.1</v>
      </c>
      <c r="E141" s="32" t="s">
        <v>399</v>
      </c>
    </row>
    <row r="142" spans="1:5">
      <c r="A142" s="2" t="s">
        <v>151</v>
      </c>
      <c r="B142" s="2" t="s">
        <v>150</v>
      </c>
      <c r="C142" s="2" t="str">
        <f t="shared" si="2"/>
        <v>SUPERMOTOS DE ANTIOQUIA S.A.MEDELLIN</v>
      </c>
      <c r="D142" s="168" t="str">
        <f>+VLOOKUP(B142,[1]Hoja2!$B$2:$F$194,5,FALSE)</f>
        <v>8.1</v>
      </c>
      <c r="E142" s="32" t="s">
        <v>399</v>
      </c>
    </row>
    <row r="143" spans="1:5">
      <c r="A143" s="2" t="s">
        <v>149</v>
      </c>
      <c r="B143" s="2" t="s">
        <v>150</v>
      </c>
      <c r="C143" s="2" t="str">
        <f t="shared" si="2"/>
        <v>SUPERMOTOS DE MEDELLIN S.A.S.MEDELLIN</v>
      </c>
      <c r="D143" s="168" t="str">
        <f>+VLOOKUP(B143,[1]Hoja2!$B$2:$F$194,5,FALSE)</f>
        <v>8.1</v>
      </c>
      <c r="E143" s="32" t="s">
        <v>399</v>
      </c>
    </row>
    <row r="144" spans="1:5">
      <c r="A144" s="133" t="s">
        <v>475</v>
      </c>
      <c r="B144" s="157" t="s">
        <v>482</v>
      </c>
      <c r="C144" s="2" t="str">
        <f t="shared" si="2"/>
        <v>QUINTERO RODRIGUEZ MARISOLSONSON</v>
      </c>
      <c r="D144" s="168" t="str">
        <f>+VLOOKUP(B144,[1]Hoja2!$B$2:$F$194,5,FALSE)</f>
        <v>8.2</v>
      </c>
      <c r="E144" s="32" t="s">
        <v>399</v>
      </c>
    </row>
    <row r="145" spans="1:25">
      <c r="A145" s="157" t="s">
        <v>1229</v>
      </c>
      <c r="B145" s="2" t="s">
        <v>150</v>
      </c>
      <c r="C145" s="2" t="str">
        <f t="shared" si="2"/>
        <v>A. VELEZ U. &amp; CIA. DEPOSITOS MIRANDA LIMITADAMEDELLIN</v>
      </c>
      <c r="D145" s="168" t="str">
        <f>+VLOOKUP(B145,[1]Hoja2!$B$2:$F$194,5,FALSE)</f>
        <v>8.1</v>
      </c>
      <c r="E145" s="32" t="s">
        <v>399</v>
      </c>
    </row>
    <row r="146" spans="1:25">
      <c r="A146" s="2" t="s">
        <v>71</v>
      </c>
      <c r="B146" s="2" t="s">
        <v>73</v>
      </c>
      <c r="C146" s="2" t="str">
        <f t="shared" si="2"/>
        <v>CABRERA  EVERTPUERTO ASIS</v>
      </c>
      <c r="D146" s="168" t="str">
        <f>+VLOOKUP(B146,[1]Hoja2!$B$2:$F$194,5,FALSE)</f>
        <v>5.2.A</v>
      </c>
      <c r="E146" s="32" t="s">
        <v>413</v>
      </c>
    </row>
    <row r="147" spans="1:25">
      <c r="A147" s="2" t="s">
        <v>154</v>
      </c>
      <c r="B147" s="2" t="s">
        <v>155</v>
      </c>
      <c r="C147" s="2" t="str">
        <f t="shared" si="2"/>
        <v>ESCUDERO CANO ELIZABETHSANTAFE DE ANTIOQUIA</v>
      </c>
      <c r="D147" s="168" t="str">
        <f>+VLOOKUP(B147,[1]Hoja2!$B$2:$F$194,5,FALSE)</f>
        <v>9.1</v>
      </c>
      <c r="E147" s="32" t="s">
        <v>294</v>
      </c>
    </row>
    <row r="148" spans="1:25">
      <c r="A148" s="2" t="s">
        <v>87</v>
      </c>
      <c r="B148" s="2" t="s">
        <v>157</v>
      </c>
      <c r="C148" s="2" t="str">
        <f t="shared" si="2"/>
        <v>RUBE MOTOS S.A.S.APARTADO</v>
      </c>
      <c r="D148" s="168" t="str">
        <f>+VLOOKUP(B148,[1]Hoja2!$B$2:$F$194,5,FALSE)</f>
        <v>9.1</v>
      </c>
      <c r="E148" s="32" t="s">
        <v>294</v>
      </c>
    </row>
    <row r="149" spans="1:25">
      <c r="A149" s="2" t="s">
        <v>156</v>
      </c>
      <c r="B149" s="2" t="s">
        <v>157</v>
      </c>
      <c r="C149" s="2" t="str">
        <f t="shared" si="2"/>
        <v>ZUPERMOTOS DEL GOLFO SASAPARTADO</v>
      </c>
      <c r="D149" s="168" t="str">
        <f>+VLOOKUP(B149,[1]Hoja2!$B$2:$F$194,5,FALSE)</f>
        <v>9.1</v>
      </c>
      <c r="E149" s="32" t="s">
        <v>294</v>
      </c>
    </row>
    <row r="150" spans="1:25">
      <c r="A150" s="2" t="s">
        <v>93</v>
      </c>
      <c r="B150" s="2" t="s">
        <v>176</v>
      </c>
      <c r="C150" s="2" t="str">
        <f t="shared" si="2"/>
        <v>MOTO HIT LTDATURBO</v>
      </c>
      <c r="D150" s="168" t="str">
        <f>+VLOOKUP(B150,[1]Hoja2!$B$2:$F$194,5,FALSE)</f>
        <v>9.1.A</v>
      </c>
      <c r="E150" s="32" t="s">
        <v>294</v>
      </c>
    </row>
    <row r="151" spans="1:25">
      <c r="A151" s="2" t="s">
        <v>87</v>
      </c>
      <c r="B151" s="2" t="s">
        <v>158</v>
      </c>
      <c r="C151" s="2" t="str">
        <f t="shared" si="2"/>
        <v>RUBE MOTOS S.A.S.ARBOLETES</v>
      </c>
      <c r="D151" s="168" t="str">
        <f>+VLOOKUP(B151,[1]Hoja2!$B$2:$F$194,5,FALSE)</f>
        <v>9.1.A</v>
      </c>
      <c r="E151" s="32" t="s">
        <v>294</v>
      </c>
    </row>
    <row r="152" spans="1:25">
      <c r="A152" s="2" t="s">
        <v>87</v>
      </c>
      <c r="B152" s="2" t="s">
        <v>339</v>
      </c>
      <c r="C152" s="2" t="str">
        <f t="shared" si="2"/>
        <v>RUBE MOTOS S.A.S.NECOCLI</v>
      </c>
      <c r="D152" s="168" t="s">
        <v>1268</v>
      </c>
      <c r="E152" s="32" t="s">
        <v>294</v>
      </c>
    </row>
    <row r="153" spans="1:25" s="173" customFormat="1">
      <c r="A153" s="2" t="s">
        <v>87</v>
      </c>
      <c r="B153" s="2" t="s">
        <v>305</v>
      </c>
      <c r="C153" s="2" t="str">
        <f t="shared" si="2"/>
        <v>RUBE MOTOS S.A.S.RIOHACHA</v>
      </c>
      <c r="D153" s="168" t="s">
        <v>1279</v>
      </c>
      <c r="E153" s="32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</row>
    <row r="154" spans="1:25" s="173" customFormat="1">
      <c r="A154" s="2" t="s">
        <v>87</v>
      </c>
      <c r="B154" s="2" t="s">
        <v>1280</v>
      </c>
      <c r="C154" s="2" t="str">
        <f t="shared" si="2"/>
        <v>RUBE MOTOS S.A.S.MAICAO</v>
      </c>
      <c r="D154" s="168" t="s">
        <v>1279</v>
      </c>
      <c r="E154" s="32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</row>
    <row r="155" spans="1:25">
      <c r="A155" s="2" t="s">
        <v>199</v>
      </c>
      <c r="B155" s="2" t="s">
        <v>112</v>
      </c>
      <c r="C155" s="2" t="str">
        <f t="shared" si="2"/>
        <v>AGRO HONDA LA S.A.SSAN PABLO</v>
      </c>
      <c r="D155" s="168" t="s">
        <v>1267</v>
      </c>
      <c r="E155" s="32" t="s">
        <v>296</v>
      </c>
    </row>
    <row r="156" spans="1:25">
      <c r="A156" s="2" t="s">
        <v>308</v>
      </c>
      <c r="B156" s="2" t="s">
        <v>309</v>
      </c>
      <c r="C156" s="2" t="str">
        <f t="shared" si="2"/>
        <v>FRIO Y CALOR S.ABARRANCABERMEJA</v>
      </c>
      <c r="D156" s="168" t="str">
        <f>+VLOOKUP(B156,[1]Hoja2!$B$2:$F$194,5,FALSE)</f>
        <v>6.2.A</v>
      </c>
      <c r="E156" s="32" t="s">
        <v>296</v>
      </c>
    </row>
    <row r="157" spans="1:25">
      <c r="A157" s="2" t="s">
        <v>270</v>
      </c>
      <c r="B157" s="2" t="s">
        <v>320</v>
      </c>
      <c r="C157" s="2" t="str">
        <f t="shared" si="2"/>
        <v>MOTO KING EL REY DE LAS MOTOS S.A.S.PAMPLONA</v>
      </c>
      <c r="D157" s="168" t="str">
        <f>+VLOOKUP(B157,[1]Hoja2!$B$2:$F$194,5,FALSE)</f>
        <v>6.3</v>
      </c>
      <c r="E157" s="32" t="s">
        <v>296</v>
      </c>
    </row>
    <row r="158" spans="1:25">
      <c r="A158" s="2" t="s">
        <v>270</v>
      </c>
      <c r="B158" s="2" t="s">
        <v>321</v>
      </c>
      <c r="C158" s="2" t="str">
        <f t="shared" si="2"/>
        <v>MOTO KING EL REY DE LAS MOTOS S.A.S.ABREGO</v>
      </c>
      <c r="D158" s="168" t="str">
        <f>+VLOOKUP(B158,[1]Hoja2!$B$2:$F$194,5,FALSE)</f>
        <v>6.3</v>
      </c>
      <c r="E158" s="32" t="s">
        <v>296</v>
      </c>
    </row>
    <row r="159" spans="1:25">
      <c r="A159" s="2" t="s">
        <v>270</v>
      </c>
      <c r="B159" s="2" t="s">
        <v>322</v>
      </c>
      <c r="C159" s="2" t="str">
        <f t="shared" si="2"/>
        <v>MOTO KING EL REY DE LAS MOTOS S.A.S.MALAGA</v>
      </c>
      <c r="D159" s="168" t="str">
        <f>+VLOOKUP(B159,[1]Hoja2!$B$2:$F$194,5,FALSE)</f>
        <v>7.2.A</v>
      </c>
      <c r="E159" s="32" t="s">
        <v>296</v>
      </c>
    </row>
    <row r="160" spans="1:25">
      <c r="A160" s="2" t="s">
        <v>200</v>
      </c>
      <c r="B160" s="2" t="s">
        <v>201</v>
      </c>
      <c r="C160" s="2" t="str">
        <f t="shared" si="2"/>
        <v>ROMERO COCA JORGE ALBERTOSANTA ROSA DEL SUR</v>
      </c>
      <c r="D160" s="168" t="str">
        <f>+VLOOKUP(B160,[1]Hoja2!$B$2:$F$194,5,FALSE)</f>
        <v>6.2.A</v>
      </c>
      <c r="E160" s="32" t="s">
        <v>296</v>
      </c>
    </row>
    <row r="161" spans="1:25">
      <c r="A161" s="2" t="s">
        <v>125</v>
      </c>
      <c r="B161" s="2" t="s">
        <v>309</v>
      </c>
      <c r="C161" s="2" t="str">
        <f t="shared" si="2"/>
        <v>SUPERMOTOS DE SANTANDER S.A.SBARRANCABERMEJA</v>
      </c>
      <c r="D161" s="168" t="str">
        <f>+VLOOKUP(B161,[1]Hoja2!$B$2:$F$194,5,FALSE)</f>
        <v>6.2.A</v>
      </c>
      <c r="E161" s="32" t="s">
        <v>296</v>
      </c>
    </row>
    <row r="162" spans="1:25">
      <c r="A162" s="2" t="s">
        <v>133</v>
      </c>
      <c r="B162" s="2" t="s">
        <v>134</v>
      </c>
      <c r="C162" s="2" t="str">
        <f t="shared" si="2"/>
        <v>ABRIL RODRIGUEZ HELBER MAURICIOGIRON</v>
      </c>
      <c r="D162" s="168" t="str">
        <f>+VLOOKUP(B162,[1]Hoja2!$B$2:$F$194,5,FALSE)</f>
        <v>6.2.B</v>
      </c>
      <c r="E162" s="32" t="s">
        <v>296</v>
      </c>
    </row>
    <row r="163" spans="1:25">
      <c r="A163" s="2" t="s">
        <v>136</v>
      </c>
      <c r="B163" s="2" t="s">
        <v>137</v>
      </c>
      <c r="C163" s="2" t="str">
        <f t="shared" si="2"/>
        <v>AVILA VERA BLANCA STELLASAN GIL</v>
      </c>
      <c r="D163" s="168" t="str">
        <f>+VLOOKUP(B163,[1]Hoja2!$B$2:$F$194,5,FALSE)</f>
        <v>7.2.A</v>
      </c>
      <c r="E163" s="32" t="s">
        <v>296</v>
      </c>
    </row>
    <row r="164" spans="1:25">
      <c r="A164" s="2" t="s">
        <v>131</v>
      </c>
      <c r="B164" s="2" t="s">
        <v>132</v>
      </c>
      <c r="C164" s="2" t="str">
        <f t="shared" si="2"/>
        <v>CENTRALMOTOS LEBRIJA S.A.S.FLORIDABLANCA</v>
      </c>
      <c r="D164" s="168" t="str">
        <f>+VLOOKUP(B164,[1]Hoja2!$B$2:$F$194,5,FALSE)</f>
        <v>6.2.B</v>
      </c>
      <c r="E164" s="32" t="s">
        <v>296</v>
      </c>
    </row>
    <row r="165" spans="1:25" s="23" customFormat="1">
      <c r="A165" s="2" t="s">
        <v>129</v>
      </c>
      <c r="B165" s="2" t="s">
        <v>130</v>
      </c>
      <c r="C165" s="2" t="str">
        <f t="shared" si="2"/>
        <v>DISMOTOS HONDA S.A.S.CIMITARRA</v>
      </c>
      <c r="D165" s="168" t="str">
        <f>+VLOOKUP(B165,[1]Hoja2!$B$2:$F$194,5,FALSE)</f>
        <v>6.2.A</v>
      </c>
      <c r="E165" s="32" t="s">
        <v>296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165" customFormat="1">
      <c r="A166" s="2" t="s">
        <v>1260</v>
      </c>
      <c r="B166" s="2" t="s">
        <v>126</v>
      </c>
      <c r="C166" s="2" t="str">
        <f t="shared" si="2"/>
        <v>CAMACHO SUAREZ NELSON DAMIANBUCARAMANGA</v>
      </c>
      <c r="D166" s="168" t="s">
        <v>1262</v>
      </c>
      <c r="E166" s="32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</row>
    <row r="167" spans="1:25">
      <c r="A167" s="2" t="s">
        <v>308</v>
      </c>
      <c r="B167" s="2" t="s">
        <v>126</v>
      </c>
      <c r="C167" s="2" t="str">
        <f t="shared" si="2"/>
        <v>FRIO Y CALOR S.ABUCARAMANGA</v>
      </c>
      <c r="D167" s="168" t="str">
        <f>+VLOOKUP(B167,[1]Hoja2!$B$2:$F$194,5,FALSE)</f>
        <v>6.2.B</v>
      </c>
      <c r="E167" s="32" t="s">
        <v>296</v>
      </c>
    </row>
    <row r="168" spans="1:25">
      <c r="A168" s="2" t="s">
        <v>310</v>
      </c>
      <c r="B168" s="2" t="s">
        <v>132</v>
      </c>
      <c r="C168" s="2" t="str">
        <f t="shared" si="2"/>
        <v>G Y D MOTOS SASFLORIDABLANCA</v>
      </c>
      <c r="D168" s="168" t="str">
        <f>+VLOOKUP(B168,[1]Hoja2!$B$2:$F$194,5,FALSE)</f>
        <v>6.2.B</v>
      </c>
      <c r="E168" s="32" t="s">
        <v>296</v>
      </c>
    </row>
    <row r="169" spans="1:25">
      <c r="A169" s="2" t="s">
        <v>310</v>
      </c>
      <c r="B169" s="2" t="s">
        <v>407</v>
      </c>
      <c r="C169" s="2" t="str">
        <f t="shared" si="2"/>
        <v>G Y D MOTOS SASLEBRIJA</v>
      </c>
      <c r="D169" s="168" t="str">
        <f>+VLOOKUP(B169,[1]Hoja2!$B$2:$F$194,5,FALSE)</f>
        <v>6.2.B</v>
      </c>
      <c r="E169" s="32" t="s">
        <v>296</v>
      </c>
    </row>
    <row r="170" spans="1:25">
      <c r="A170" s="2" t="s">
        <v>311</v>
      </c>
      <c r="B170" s="2" t="s">
        <v>312</v>
      </c>
      <c r="C170" s="2" t="str">
        <f t="shared" si="2"/>
        <v>GOMEZ GUERRERO MAURICIOSOCORRO</v>
      </c>
      <c r="D170" s="168" t="str">
        <f>+VLOOKUP(B170,[1]Hoja2!$B$2:$F$194,5,FALSE)</f>
        <v>7.2.A</v>
      </c>
      <c r="E170" s="32" t="s">
        <v>296</v>
      </c>
    </row>
    <row r="171" spans="1:25">
      <c r="A171" s="2" t="s">
        <v>278</v>
      </c>
      <c r="B171" s="2" t="s">
        <v>312</v>
      </c>
      <c r="C171" s="2" t="str">
        <f t="shared" si="2"/>
        <v>GRIMALDOS JURADO JOSE ANTONIOSOCORRO</v>
      </c>
      <c r="D171" s="168" t="str">
        <f>+VLOOKUP(B171,[1]Hoja2!$B$2:$F$194,5,FALSE)</f>
        <v>7.2.A</v>
      </c>
      <c r="E171" s="32" t="s">
        <v>296</v>
      </c>
    </row>
    <row r="172" spans="1:25">
      <c r="A172" s="2" t="s">
        <v>203</v>
      </c>
      <c r="B172" s="161" t="s">
        <v>204</v>
      </c>
      <c r="C172" s="2" t="str">
        <f t="shared" si="2"/>
        <v>HONDA MOTOBOY S.A.S.PUERTO BOYACA</v>
      </c>
      <c r="D172" s="168" t="str">
        <f>+VLOOKUP(B172,[1]Hoja2!$B$2:$F$194,5,FALSE)</f>
        <v>6.2</v>
      </c>
      <c r="E172" s="32" t="s">
        <v>296</v>
      </c>
    </row>
    <row r="173" spans="1:25">
      <c r="A173" s="2" t="s">
        <v>169</v>
      </c>
      <c r="B173" s="2" t="s">
        <v>170</v>
      </c>
      <c r="C173" s="2" t="str">
        <f t="shared" si="2"/>
        <v>MOTOS LA FRONTERA S.A.PUERTO BERRIO</v>
      </c>
      <c r="D173" s="168" t="str">
        <f>+VLOOKUP(B173,[1]Hoja2!$B$2:$F$194,5,FALSE)</f>
        <v>6.2</v>
      </c>
      <c r="E173" s="32" t="s">
        <v>296</v>
      </c>
    </row>
    <row r="174" spans="1:25">
      <c r="A174" s="2" t="s">
        <v>269</v>
      </c>
      <c r="B174" s="2" t="s">
        <v>115</v>
      </c>
      <c r="C174" s="2" t="str">
        <f t="shared" si="2"/>
        <v>SERVIMOTOS HONDA LIBERTADORES S.A.S.CUCUTA</v>
      </c>
      <c r="D174" s="168" t="str">
        <f>+VLOOKUP(B174,[1]Hoja2!$B$2:$F$194,5,FALSE)</f>
        <v>6.3</v>
      </c>
      <c r="E174" s="32" t="s">
        <v>296</v>
      </c>
    </row>
    <row r="175" spans="1:25">
      <c r="A175" s="2" t="s">
        <v>125</v>
      </c>
      <c r="B175" s="2" t="s">
        <v>126</v>
      </c>
      <c r="C175" s="2" t="str">
        <f t="shared" si="2"/>
        <v>SUPERMOTOS DE SANTANDER S.A.SBUCARAMANGA</v>
      </c>
      <c r="D175" s="168" t="str">
        <f>+VLOOKUP(B175,[1]Hoja2!$B$2:$F$194,5,FALSE)</f>
        <v>6.2.B</v>
      </c>
      <c r="E175" s="32" t="s">
        <v>296</v>
      </c>
    </row>
    <row r="176" spans="1:25" s="165" customFormat="1">
      <c r="A176" s="2" t="s">
        <v>125</v>
      </c>
      <c r="B176" s="2" t="s">
        <v>132</v>
      </c>
      <c r="C176" s="2" t="str">
        <f t="shared" si="2"/>
        <v>SUPERMOTOS DE SANTANDER S.A.SFLORIDABLANCA</v>
      </c>
      <c r="D176" s="168" t="s">
        <v>1262</v>
      </c>
      <c r="E176" s="32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</row>
    <row r="177" spans="1:25" s="173" customFormat="1">
      <c r="A177" s="2" t="s">
        <v>125</v>
      </c>
      <c r="B177" s="2" t="s">
        <v>1281</v>
      </c>
      <c r="C177" s="2" t="str">
        <f t="shared" si="2"/>
        <v>SUPERMOTOS DE SANTANDER S.A.SPIEDECUESTA</v>
      </c>
      <c r="D177" s="168" t="s">
        <v>1262</v>
      </c>
      <c r="E177" s="32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</row>
    <row r="178" spans="1:25">
      <c r="A178" s="2" t="s">
        <v>114</v>
      </c>
      <c r="B178" s="2" t="s">
        <v>115</v>
      </c>
      <c r="C178" s="2" t="str">
        <f t="shared" si="2"/>
        <v>SUPERMOTOS DEL ORIENTE S.A.S.CUCUTA</v>
      </c>
      <c r="D178" s="168" t="str">
        <f>+VLOOKUP(B178,[1]Hoja2!$B$2:$F$194,5,FALSE)</f>
        <v>6.3</v>
      </c>
      <c r="E178" s="32" t="s">
        <v>296</v>
      </c>
    </row>
    <row r="179" spans="1:25" s="137" customFormat="1">
      <c r="A179" s="2" t="s">
        <v>135</v>
      </c>
      <c r="B179" s="161" t="s">
        <v>134</v>
      </c>
      <c r="C179" s="2" t="str">
        <f t="shared" si="2"/>
        <v>TIRIA MORENO TERESA DE JESUSGIRON</v>
      </c>
      <c r="D179" s="168" t="str">
        <f>+VLOOKUP(B179,[1]Hoja2!$B$2:$F$194,5,FALSE)</f>
        <v>6.2.B</v>
      </c>
      <c r="E179" s="32" t="s">
        <v>296</v>
      </c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</row>
    <row r="180" spans="1:25">
      <c r="A180" s="2" t="s">
        <v>297</v>
      </c>
      <c r="B180" s="2" t="s">
        <v>233</v>
      </c>
      <c r="C180" s="2" t="str">
        <f t="shared" si="2"/>
        <v>COLVENTAS S.A.MONTERIA</v>
      </c>
      <c r="D180" s="168" t="str">
        <f>+VLOOKUP(B180,[1]Hoja2!$B$2:$F$194,5,FALSE)</f>
        <v>9.2</v>
      </c>
      <c r="E180" s="32" t="s">
        <v>317</v>
      </c>
    </row>
    <row r="181" spans="1:25">
      <c r="A181" s="2" t="s">
        <v>300</v>
      </c>
      <c r="B181" s="2" t="s">
        <v>94</v>
      </c>
      <c r="C181" s="2" t="str">
        <f t="shared" si="2"/>
        <v>DELCO S.A.SPLATO</v>
      </c>
      <c r="D181" s="168" t="str">
        <f>+VLOOKUP(B181,[1]Hoja2!$B$2:$F$194,5,FALSE)</f>
        <v>11.1.A</v>
      </c>
      <c r="E181" s="32" t="s">
        <v>317</v>
      </c>
    </row>
    <row r="182" spans="1:25">
      <c r="A182" s="2" t="s">
        <v>172</v>
      </c>
      <c r="B182" s="2" t="s">
        <v>177</v>
      </c>
      <c r="C182" s="2" t="str">
        <f t="shared" si="2"/>
        <v>ESTRADA RESTREPO JESUS DAVIDYARUMAL</v>
      </c>
      <c r="D182" s="168" t="str">
        <f>+VLOOKUP(B182,[1]Hoja2!$B$2:$F$194,5,FALSE)</f>
        <v>8.3</v>
      </c>
      <c r="E182" s="32" t="s">
        <v>317</v>
      </c>
    </row>
    <row r="183" spans="1:25">
      <c r="A183" s="2" t="s">
        <v>172</v>
      </c>
      <c r="B183" s="157" t="s">
        <v>173</v>
      </c>
      <c r="C183" s="2" t="str">
        <f t="shared" si="2"/>
        <v>ESTRADA RESTREPO JESUS DAVIDSANTA ROSA DE OSOS</v>
      </c>
      <c r="D183" s="168" t="str">
        <f>+VLOOKUP(B183,[1]Hoja2!$B$2:$F$194,5,FALSE)</f>
        <v>8.3</v>
      </c>
      <c r="E183" s="32" t="s">
        <v>317</v>
      </c>
    </row>
    <row r="184" spans="1:25">
      <c r="A184" s="2" t="s">
        <v>315</v>
      </c>
      <c r="B184" s="2" t="s">
        <v>316</v>
      </c>
      <c r="C184" s="2" t="str">
        <f t="shared" si="2"/>
        <v>GUERRA MONTES PEDRO ANTONIOVALENCIA</v>
      </c>
      <c r="D184" s="168" t="str">
        <f>+VLOOKUP(B184,[1]Hoja2!$B$2:$F$194,5,FALSE)</f>
        <v>9.2</v>
      </c>
      <c r="E184" s="32" t="s">
        <v>317</v>
      </c>
    </row>
    <row r="185" spans="1:25">
      <c r="A185" s="2" t="s">
        <v>244</v>
      </c>
      <c r="B185" s="2" t="s">
        <v>248</v>
      </c>
      <c r="C185" s="2" t="str">
        <f t="shared" si="2"/>
        <v>HONDA STORE S.A.S.SAN BERNARDO DEL VIENTO</v>
      </c>
      <c r="D185" s="168" t="str">
        <f>+VLOOKUP(B185,[1]Hoja2!$B$2:$F$194,5,FALSE)</f>
        <v>9.2.A</v>
      </c>
      <c r="E185" s="32" t="s">
        <v>317</v>
      </c>
    </row>
    <row r="186" spans="1:25">
      <c r="A186" s="2" t="s">
        <v>244</v>
      </c>
      <c r="B186" s="2" t="s">
        <v>245</v>
      </c>
      <c r="C186" s="2" t="str">
        <f t="shared" si="2"/>
        <v>HONDA STORE S.A.S.SAN ANDRES DE SOTAVENTO</v>
      </c>
      <c r="D186" s="168" t="str">
        <f>+VLOOKUP(B186,[1]Hoja2!$B$2:$F$194,5,FALSE)</f>
        <v>9.2</v>
      </c>
      <c r="E186" s="32" t="s">
        <v>317</v>
      </c>
    </row>
    <row r="187" spans="1:25">
      <c r="A187" s="2" t="s">
        <v>241</v>
      </c>
      <c r="B187" s="2" t="s">
        <v>242</v>
      </c>
      <c r="C187" s="2" t="str">
        <f t="shared" si="2"/>
        <v>LA BUENA HONDA DE LA SABANA S.A.S.PLANETA RICA</v>
      </c>
      <c r="D187" s="168" t="str">
        <f>+VLOOKUP(B187,[1]Hoja2!$B$2:$F$194,5,FALSE)</f>
        <v>8.3</v>
      </c>
      <c r="E187" s="32" t="s">
        <v>317</v>
      </c>
    </row>
    <row r="188" spans="1:25">
      <c r="A188" s="2" t="s">
        <v>241</v>
      </c>
      <c r="B188" s="157" t="s">
        <v>1244</v>
      </c>
      <c r="C188" s="2" t="str">
        <f t="shared" si="2"/>
        <v>LA BUENA HONDA DE LA SABANA S.A.S.GUARANDA</v>
      </c>
      <c r="D188" s="168" t="s">
        <v>1257</v>
      </c>
      <c r="E188" s="32" t="s">
        <v>317</v>
      </c>
    </row>
    <row r="189" spans="1:25">
      <c r="A189" s="2" t="s">
        <v>234</v>
      </c>
      <c r="B189" s="2" t="s">
        <v>235</v>
      </c>
      <c r="C189" s="2" t="str">
        <f t="shared" si="2"/>
        <v>MOTO AGRO DEL SINU S.A.S.CERETE</v>
      </c>
      <c r="D189" s="168" t="str">
        <f>+VLOOKUP(B189,[1]Hoja2!$B$2:$F$194,5,FALSE)</f>
        <v>9.2</v>
      </c>
      <c r="E189" s="32" t="s">
        <v>317</v>
      </c>
    </row>
    <row r="190" spans="1:25">
      <c r="A190" s="2" t="s">
        <v>93</v>
      </c>
      <c r="B190" s="2" t="s">
        <v>238</v>
      </c>
      <c r="C190" s="2" t="str">
        <f t="shared" si="2"/>
        <v>MOTO HIT LTDALORICA</v>
      </c>
      <c r="D190" s="168" t="str">
        <f>+VLOOKUP(B190,[1]Hoja2!$B$2:$F$194,5,FALSE)</f>
        <v>9.2</v>
      </c>
      <c r="E190" s="32" t="s">
        <v>317</v>
      </c>
    </row>
    <row r="191" spans="1:25">
      <c r="A191" s="2" t="s">
        <v>93</v>
      </c>
      <c r="B191" s="2" t="s">
        <v>94</v>
      </c>
      <c r="C191" s="2" t="str">
        <f t="shared" si="2"/>
        <v>MOTO HIT LTDAPLATO</v>
      </c>
      <c r="D191" s="168" t="str">
        <f>+VLOOKUP(B191,[1]Hoja2!$B$2:$F$194,5,FALSE)</f>
        <v>11.1.A</v>
      </c>
      <c r="E191" s="32" t="s">
        <v>317</v>
      </c>
    </row>
    <row r="192" spans="1:25">
      <c r="A192" s="2" t="s">
        <v>93</v>
      </c>
      <c r="B192" s="2" t="s">
        <v>243</v>
      </c>
      <c r="C192" s="2" t="str">
        <f t="shared" si="2"/>
        <v>MOTO HIT LTDASAHAGUN</v>
      </c>
      <c r="D192" s="168" t="str">
        <f>+VLOOKUP(B192,[1]Hoja2!$B$2:$F$194,5,FALSE)</f>
        <v>10.1</v>
      </c>
      <c r="E192" s="32" t="s">
        <v>317</v>
      </c>
    </row>
    <row r="193" spans="1:25">
      <c r="A193" s="2" t="s">
        <v>93</v>
      </c>
      <c r="B193" s="2" t="s">
        <v>147</v>
      </c>
      <c r="C193" s="2" t="str">
        <f t="shared" si="2"/>
        <v>MOTO HIT LTDASAN MARCOS</v>
      </c>
      <c r="D193" s="168" t="str">
        <f>+VLOOKUP(B193,[1]Hoja2!$B$2:$F$194,5,FALSE)</f>
        <v>10.1.A</v>
      </c>
      <c r="E193" s="32" t="s">
        <v>317</v>
      </c>
    </row>
    <row r="194" spans="1:25">
      <c r="A194" s="2" t="s">
        <v>93</v>
      </c>
      <c r="B194" s="2" t="s">
        <v>250</v>
      </c>
      <c r="C194" s="2" t="str">
        <f t="shared" si="2"/>
        <v>MOTO HIT LTDATIERRALTA</v>
      </c>
      <c r="D194" s="168" t="str">
        <f>+VLOOKUP(B194,[1]Hoja2!$B$2:$F$194,5,FALSE)</f>
        <v>9.2</v>
      </c>
      <c r="E194" s="32" t="s">
        <v>317</v>
      </c>
    </row>
    <row r="195" spans="1:25">
      <c r="A195" s="2" t="s">
        <v>93</v>
      </c>
      <c r="B195" s="2" t="s">
        <v>166</v>
      </c>
      <c r="C195" s="2" t="str">
        <f t="shared" si="2"/>
        <v>MOTO HIT LTDACAUCASIA</v>
      </c>
      <c r="D195" s="168" t="str">
        <f>+VLOOKUP(B195,[1]Hoja2!$B$2:$F$194,5,FALSE)</f>
        <v>8.3</v>
      </c>
      <c r="E195" s="32" t="s">
        <v>317</v>
      </c>
    </row>
    <row r="196" spans="1:25" s="173" customFormat="1">
      <c r="A196" s="2" t="s">
        <v>93</v>
      </c>
      <c r="B196" s="2" t="s">
        <v>326</v>
      </c>
      <c r="C196" s="2" t="str">
        <f t="shared" si="2"/>
        <v>MOTO HIT LTDAEL CARMEN DE BOLIVAR</v>
      </c>
      <c r="D196" s="168" t="s">
        <v>1271</v>
      </c>
      <c r="E196" s="32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</row>
    <row r="197" spans="1:25">
      <c r="A197" s="2" t="s">
        <v>144</v>
      </c>
      <c r="B197" s="2" t="s">
        <v>249</v>
      </c>
      <c r="C197" s="2" t="str">
        <f t="shared" si="2"/>
        <v>MOTO HOGAR C.L.R. S.A.S.SAN PELAYO</v>
      </c>
      <c r="D197" s="168" t="str">
        <f>+VLOOKUP(B197,[1]Hoja2!$B$2:$F$194,5,FALSE)</f>
        <v>9.2</v>
      </c>
      <c r="E197" s="32" t="s">
        <v>317</v>
      </c>
    </row>
    <row r="198" spans="1:25">
      <c r="A198" s="2" t="s">
        <v>144</v>
      </c>
      <c r="B198" s="2" t="s">
        <v>237</v>
      </c>
      <c r="C198" s="2" t="str">
        <f t="shared" si="2"/>
        <v>MOTO HOGAR C.L.R. S.A.S.CIENAGA DE ORO</v>
      </c>
      <c r="D198" s="168" t="str">
        <f>+VLOOKUP(B198,[1]Hoja2!$B$2:$F$194,5,FALSE)</f>
        <v>10.1.A</v>
      </c>
      <c r="E198" s="32" t="s">
        <v>317</v>
      </c>
    </row>
    <row r="199" spans="1:25">
      <c r="A199" s="2" t="s">
        <v>144</v>
      </c>
      <c r="B199" s="2" t="s">
        <v>145</v>
      </c>
      <c r="C199" s="2" t="str">
        <f t="shared" si="2"/>
        <v>MOTO HOGAR C.L.R. S.A.S.SAMPUES</v>
      </c>
      <c r="D199" s="168" t="str">
        <f>+VLOOKUP(B199,[1]Hoja2!$B$2:$F$194,5,FALSE)</f>
        <v>10.1</v>
      </c>
      <c r="E199" s="32" t="s">
        <v>317</v>
      </c>
    </row>
    <row r="200" spans="1:25">
      <c r="A200" s="2" t="s">
        <v>325</v>
      </c>
      <c r="B200" s="2" t="s">
        <v>326</v>
      </c>
      <c r="C200" s="2" t="str">
        <f t="shared" si="2"/>
        <v>MOTOCARIBE S.A.S.EL CARMEN DE BOLIVAR</v>
      </c>
      <c r="D200" s="168" t="str">
        <f>+VLOOKUP(B200,[1]Hoja2!$B$2:$F$194,5,FALSE)</f>
        <v>11.1</v>
      </c>
      <c r="E200" s="32" t="s">
        <v>317</v>
      </c>
    </row>
    <row r="201" spans="1:25">
      <c r="A201" s="2" t="s">
        <v>146</v>
      </c>
      <c r="B201" s="2" t="s">
        <v>147</v>
      </c>
      <c r="C201" s="2" t="str">
        <f t="shared" si="2"/>
        <v>PADILLA FLOREZ MARIO LUISSAN MARCOS</v>
      </c>
      <c r="D201" s="168" t="str">
        <f>+VLOOKUP(B201,[1]Hoja2!$B$2:$F$194,5,FALSE)</f>
        <v>10.1.A</v>
      </c>
      <c r="E201" s="32" t="s">
        <v>317</v>
      </c>
    </row>
    <row r="202" spans="1:25" s="137" customFormat="1">
      <c r="A202" s="2" t="s">
        <v>246</v>
      </c>
      <c r="B202" s="161" t="s">
        <v>247</v>
      </c>
      <c r="C202" s="2" t="str">
        <f t="shared" si="2"/>
        <v>REGUEMOTOS S.A.S.SAN ANTERO</v>
      </c>
      <c r="D202" s="168" t="str">
        <f>+VLOOKUP(B202,[1]Hoja2!$B$2:$F$194,5,FALSE)</f>
        <v>9.2.A</v>
      </c>
      <c r="E202" s="32" t="s">
        <v>317</v>
      </c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</row>
    <row r="203" spans="1:25">
      <c r="A203" s="2" t="s">
        <v>87</v>
      </c>
      <c r="B203" s="2" t="s">
        <v>166</v>
      </c>
      <c r="C203" s="2" t="str">
        <f t="shared" si="2"/>
        <v>RUBE MOTOS S.A.S.CAUCASIA</v>
      </c>
      <c r="D203" s="168" t="str">
        <f>+VLOOKUP(B203,[1]Hoja2!$B$2:$F$194,5,FALSE)</f>
        <v>8.3</v>
      </c>
      <c r="E203" s="32" t="s">
        <v>317</v>
      </c>
    </row>
    <row r="204" spans="1:25">
      <c r="A204" s="2" t="s">
        <v>138</v>
      </c>
      <c r="B204" s="2" t="s">
        <v>139</v>
      </c>
      <c r="C204" s="2" t="str">
        <f t="shared" si="2"/>
        <v>SUFIMOTOS S.A.S.SINCELEJO</v>
      </c>
      <c r="D204" s="168" t="str">
        <f>+VLOOKUP(B204,[1]Hoja2!$B$2:$F$194,5,FALSE)</f>
        <v>10.1</v>
      </c>
      <c r="E204" s="32" t="s">
        <v>317</v>
      </c>
    </row>
    <row r="205" spans="1:25">
      <c r="A205" s="2" t="s">
        <v>138</v>
      </c>
      <c r="B205" s="2" t="s">
        <v>141</v>
      </c>
      <c r="C205" s="2" t="str">
        <f t="shared" si="2"/>
        <v>SUFIMOTOS S.A.S.COROZAL</v>
      </c>
      <c r="D205" s="168" t="str">
        <f>+VLOOKUP(B205,[1]Hoja2!$B$2:$F$194,5,FALSE)</f>
        <v>10.2</v>
      </c>
      <c r="E205" s="32" t="s">
        <v>317</v>
      </c>
    </row>
    <row r="206" spans="1:25">
      <c r="A206" s="2" t="s">
        <v>138</v>
      </c>
      <c r="B206" s="2" t="s">
        <v>236</v>
      </c>
      <c r="C206" s="2" t="str">
        <f t="shared" si="2"/>
        <v>SUFIMOTOS S.A.S.CHINU</v>
      </c>
      <c r="D206" s="168" t="str">
        <f>+VLOOKUP(B206,[1]Hoja2!$B$2:$F$194,5,FALSE)</f>
        <v>10.1</v>
      </c>
      <c r="E206" s="32" t="s">
        <v>317</v>
      </c>
    </row>
    <row r="207" spans="1:25">
      <c r="A207" s="2" t="s">
        <v>140</v>
      </c>
      <c r="B207" s="2" t="s">
        <v>139</v>
      </c>
      <c r="C207" s="2" t="str">
        <f t="shared" ref="C207:C263" si="3">+CONCATENATE(A207,B207)</f>
        <v>SUPERMOTOS DE CORDOBA S.ASINCELEJO</v>
      </c>
      <c r="D207" s="168" t="str">
        <f>+VLOOKUP(B207,[1]Hoja2!$B$2:$F$194,5,FALSE)</f>
        <v>10.1</v>
      </c>
      <c r="E207" s="32" t="s">
        <v>317</v>
      </c>
    </row>
    <row r="208" spans="1:25">
      <c r="A208" s="2" t="s">
        <v>140</v>
      </c>
      <c r="B208" s="2" t="s">
        <v>233</v>
      </c>
      <c r="C208" s="2" t="str">
        <f t="shared" si="3"/>
        <v>SUPERMOTOS DE CORDOBA S.AMONTERIA</v>
      </c>
      <c r="D208" s="168" t="str">
        <f>+VLOOKUP(B208,[1]Hoja2!$B$2:$F$194,5,FALSE)</f>
        <v>9.2</v>
      </c>
      <c r="E208" s="32" t="s">
        <v>317</v>
      </c>
    </row>
    <row r="209" spans="1:25">
      <c r="A209" s="2" t="s">
        <v>140</v>
      </c>
      <c r="B209" s="2" t="s">
        <v>238</v>
      </c>
      <c r="C209" s="2" t="str">
        <f t="shared" si="3"/>
        <v>SUPERMOTOS DE CORDOBA S.ALORICA</v>
      </c>
      <c r="D209" s="168" t="str">
        <f>+VLOOKUP(B209,[1]Hoja2!$B$2:$F$194,5,FALSE)</f>
        <v>9.2</v>
      </c>
      <c r="E209" s="32" t="s">
        <v>317</v>
      </c>
    </row>
    <row r="210" spans="1:25">
      <c r="A210" s="2" t="s">
        <v>165</v>
      </c>
      <c r="B210" s="2" t="s">
        <v>166</v>
      </c>
      <c r="C210" s="2" t="str">
        <f t="shared" si="3"/>
        <v>ZUPERMOTO S.A.CAUCASIA</v>
      </c>
      <c r="D210" s="168" t="str">
        <f>+VLOOKUP(B210,[1]Hoja2!$B$2:$F$194,5,FALSE)</f>
        <v>8.3</v>
      </c>
      <c r="E210" s="32" t="s">
        <v>317</v>
      </c>
    </row>
    <row r="211" spans="1:25">
      <c r="A211" s="2" t="s">
        <v>142</v>
      </c>
      <c r="B211" s="157" t="s">
        <v>196</v>
      </c>
      <c r="C211" s="2" t="str">
        <f t="shared" si="3"/>
        <v>CASTILLO NOGUERA LEIDY ALEJANDRAMAGANGUE</v>
      </c>
      <c r="D211" s="168" t="str">
        <f>+VLOOKUP(B211,[1]Hoja2!$B$2:$F$194,5,FALSE)</f>
        <v>10.2</v>
      </c>
      <c r="E211" s="32" t="s">
        <v>317</v>
      </c>
    </row>
    <row r="212" spans="1:25">
      <c r="A212" s="2" t="s">
        <v>142</v>
      </c>
      <c r="B212" s="2" t="s">
        <v>143</v>
      </c>
      <c r="C212" s="2" t="str">
        <f t="shared" si="3"/>
        <v>CASTILLO NOGUERA LEIDY ALEJANDRAMAJAGUAL</v>
      </c>
      <c r="D212" s="168" t="str">
        <f>+VLOOKUP(B212,[1]Hoja2!$B$2:$F$194,5,FALSE)</f>
        <v>10.1</v>
      </c>
      <c r="E212" s="32" t="s">
        <v>317</v>
      </c>
    </row>
    <row r="213" spans="1:25">
      <c r="A213" s="2" t="s">
        <v>300</v>
      </c>
      <c r="B213" s="2" t="s">
        <v>198</v>
      </c>
      <c r="C213" s="2" t="str">
        <f t="shared" si="3"/>
        <v>DELCO S.A.SMOMPOS</v>
      </c>
      <c r="D213" s="168" t="str">
        <f>+VLOOKUP(B213,[1]Hoja2!$B$2:$F$194,5,FALSE)</f>
        <v>10.2</v>
      </c>
      <c r="E213" s="32" t="s">
        <v>317</v>
      </c>
    </row>
    <row r="214" spans="1:25">
      <c r="A214" s="2" t="s">
        <v>97</v>
      </c>
      <c r="B214" s="2" t="s">
        <v>98</v>
      </c>
      <c r="C214" s="2" t="str">
        <f t="shared" si="3"/>
        <v>DISTRIGON LIMITADASANTA ANA</v>
      </c>
      <c r="D214" s="168" t="str">
        <f>+VLOOKUP(B214,[1]Hoja2!$B$2:$F$194,5,FALSE)</f>
        <v>10.2</v>
      </c>
      <c r="E214" s="32" t="s">
        <v>317</v>
      </c>
    </row>
    <row r="215" spans="1:25">
      <c r="A215" s="2" t="s">
        <v>97</v>
      </c>
      <c r="B215" s="2" t="s">
        <v>96</v>
      </c>
      <c r="C215" s="2" t="str">
        <f t="shared" si="3"/>
        <v>DISTRIGON LIMITADASAN SEBASTIAN BUENAVIST</v>
      </c>
      <c r="D215" s="168" t="str">
        <f>+VLOOKUP(B215,[1]Hoja2!$B$2:$F$194,5,FALSE)</f>
        <v>10.2</v>
      </c>
      <c r="E215" s="32" t="s">
        <v>317</v>
      </c>
    </row>
    <row r="216" spans="1:25">
      <c r="A216" s="2" t="s">
        <v>197</v>
      </c>
      <c r="B216" s="2" t="s">
        <v>198</v>
      </c>
      <c r="C216" s="2" t="str">
        <f t="shared" si="3"/>
        <v>JISSEN HANNA SIRENEMOMPOS</v>
      </c>
      <c r="D216" s="168" t="str">
        <f>+VLOOKUP(B216,[1]Hoja2!$B$2:$F$194,5,FALSE)</f>
        <v>10.2</v>
      </c>
      <c r="E216" s="32" t="s">
        <v>317</v>
      </c>
    </row>
    <row r="217" spans="1:25">
      <c r="A217" s="2" t="s">
        <v>91</v>
      </c>
      <c r="B217" s="2" t="s">
        <v>92</v>
      </c>
      <c r="C217" s="2" t="str">
        <f t="shared" si="3"/>
        <v>LOPEZ NARVAEZ JOSE DAVIDGUAMAL</v>
      </c>
      <c r="D217" s="168" t="str">
        <f>+VLOOKUP(B217,[1]Hoja2!$B$2:$F$194,5,FALSE)</f>
        <v>10.2</v>
      </c>
      <c r="E217" s="32" t="s">
        <v>317</v>
      </c>
    </row>
    <row r="218" spans="1:25">
      <c r="A218" s="2" t="s">
        <v>91</v>
      </c>
      <c r="B218" s="2" t="s">
        <v>98</v>
      </c>
      <c r="C218" s="2" t="str">
        <f t="shared" si="3"/>
        <v>LOPEZ NARVAEZ JOSE DAVIDSANTA ANA</v>
      </c>
      <c r="D218" s="168" t="str">
        <f>+VLOOKUP(B218,[1]Hoja2!$B$2:$F$194,5,FALSE)</f>
        <v>10.2</v>
      </c>
      <c r="E218" s="32" t="s">
        <v>317</v>
      </c>
    </row>
    <row r="219" spans="1:25">
      <c r="A219" s="2" t="s">
        <v>93</v>
      </c>
      <c r="B219" s="2" t="s">
        <v>196</v>
      </c>
      <c r="C219" s="2" t="str">
        <f t="shared" si="3"/>
        <v>MOTO HIT LTDAMAGANGUE</v>
      </c>
      <c r="D219" s="168" t="str">
        <f>+VLOOKUP(B219,[1]Hoja2!$B$2:$F$194,5,FALSE)</f>
        <v>10.2</v>
      </c>
      <c r="E219" s="32" t="s">
        <v>317</v>
      </c>
    </row>
    <row r="220" spans="1:25">
      <c r="A220" s="2" t="s">
        <v>195</v>
      </c>
      <c r="B220" s="2" t="s">
        <v>196</v>
      </c>
      <c r="C220" s="2" t="str">
        <f t="shared" si="3"/>
        <v>MOTOMAS DE LA COSTA LTDAMAGANGUE</v>
      </c>
      <c r="D220" s="168" t="str">
        <f>+VLOOKUP(B220,[1]Hoja2!$B$2:$F$194,5,FALSE)</f>
        <v>10.2</v>
      </c>
      <c r="E220" s="32" t="s">
        <v>317</v>
      </c>
    </row>
    <row r="221" spans="1:25" s="137" customFormat="1">
      <c r="A221" s="2" t="s">
        <v>87</v>
      </c>
      <c r="B221" s="161" t="s">
        <v>88</v>
      </c>
      <c r="C221" s="2" t="str">
        <f t="shared" si="3"/>
        <v>RUBE MOTOS S.A.S.EL BANCO</v>
      </c>
      <c r="D221" s="168" t="str">
        <f>+VLOOKUP(B221,[1]Hoja2!$B$2:$F$194,5,FALSE)</f>
        <v>10.2</v>
      </c>
      <c r="E221" s="32" t="s">
        <v>317</v>
      </c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</row>
    <row r="222" spans="1:25">
      <c r="A222" s="2" t="s">
        <v>95</v>
      </c>
      <c r="B222" s="158" t="s">
        <v>306</v>
      </c>
      <c r="C222" s="2" t="str">
        <f t="shared" si="3"/>
        <v>MOTO SUPER S.A.SASTREA</v>
      </c>
      <c r="D222" s="168" t="str">
        <f>+VLOOKUP(B222,[1]Hoja2!$B$2:$F$194,5,FALSE)</f>
        <v>6.4</v>
      </c>
      <c r="E222" s="32" t="s">
        <v>317</v>
      </c>
    </row>
    <row r="223" spans="1:25">
      <c r="A223" s="2" t="s">
        <v>398</v>
      </c>
      <c r="B223" s="170" t="s">
        <v>236</v>
      </c>
      <c r="C223" s="2" t="str">
        <f t="shared" si="3"/>
        <v>SUPREMOTOS S.A.S.CHINU</v>
      </c>
      <c r="D223" s="168" t="str">
        <f>+VLOOKUP(B223,[1]Hoja2!$B$2:$F$194,5,FALSE)</f>
        <v>10.1</v>
      </c>
      <c r="E223" s="32" t="s">
        <v>317</v>
      </c>
    </row>
    <row r="224" spans="1:25">
      <c r="A224" s="2" t="s">
        <v>398</v>
      </c>
      <c r="B224" s="2" t="s">
        <v>141</v>
      </c>
      <c r="C224" s="2" t="str">
        <f t="shared" si="3"/>
        <v>SUPREMOTOS S.A.S.COROZAL</v>
      </c>
      <c r="D224" s="168" t="str">
        <f>+VLOOKUP(B224,[1]Hoja2!$B$2:$F$194,5,FALSE)</f>
        <v>10.2</v>
      </c>
      <c r="E224" s="32" t="s">
        <v>317</v>
      </c>
    </row>
    <row r="225" spans="1:25">
      <c r="A225" s="2" t="s">
        <v>398</v>
      </c>
      <c r="B225" s="2" t="s">
        <v>139</v>
      </c>
      <c r="C225" s="2" t="str">
        <f t="shared" si="3"/>
        <v>SUPREMOTOS S.A.S.SINCELEJO</v>
      </c>
      <c r="D225" s="168" t="str">
        <f>+VLOOKUP(B225,[1]Hoja2!$B$2:$F$194,5,FALSE)</f>
        <v>10.1</v>
      </c>
      <c r="E225" s="32" t="s">
        <v>317</v>
      </c>
    </row>
    <row r="226" spans="1:25">
      <c r="A226" s="2" t="s">
        <v>239</v>
      </c>
      <c r="B226" s="2" t="s">
        <v>240</v>
      </c>
      <c r="C226" s="2" t="str">
        <f t="shared" si="3"/>
        <v>MOTOCENTRO HONDA S.A.MONTELIBANO</v>
      </c>
      <c r="D226" s="168" t="str">
        <f>+VLOOKUP(B226,[1]Hoja2!$B$2:$F$194,5,FALSE)</f>
        <v>8.3.A</v>
      </c>
      <c r="E226" s="32" t="s">
        <v>317</v>
      </c>
    </row>
    <row r="227" spans="1:25" s="127" customFormat="1">
      <c r="A227" s="161" t="str">
        <f>+A226</f>
        <v>MOTOCENTRO HONDA S.A.</v>
      </c>
      <c r="B227" s="2" t="s">
        <v>415</v>
      </c>
      <c r="C227" s="2" t="str">
        <f t="shared" si="3"/>
        <v>MOTOCENTRO HONDA S.A.LA APARTADA</v>
      </c>
      <c r="D227" s="168" t="str">
        <f>+VLOOKUP(B227,[1]Hoja2!$B$2:$F$194,5,FALSE)</f>
        <v>8.3</v>
      </c>
      <c r="E227" s="32" t="s">
        <v>317</v>
      </c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</row>
    <row r="228" spans="1:25">
      <c r="A228" s="2" t="s">
        <v>239</v>
      </c>
      <c r="B228" s="2" t="s">
        <v>327</v>
      </c>
      <c r="C228" s="2" t="str">
        <f t="shared" si="3"/>
        <v>MOTOCENTRO HONDA S.A.PUERTO LIBERTADOR</v>
      </c>
      <c r="D228" s="168" t="str">
        <f>+VLOOKUP(B228,[1]Hoja2!$B$2:$F$194,5,FALSE)</f>
        <v>8.3.A</v>
      </c>
      <c r="E228" s="32" t="s">
        <v>317</v>
      </c>
    </row>
    <row r="229" spans="1:25" s="173" customFormat="1">
      <c r="A229" s="2" t="s">
        <v>239</v>
      </c>
      <c r="B229" s="2" t="s">
        <v>170</v>
      </c>
      <c r="C229" s="2" t="str">
        <f t="shared" si="3"/>
        <v>MOTOCENTRO HONDA S.A.PUERTO BERRIO</v>
      </c>
      <c r="D229" s="168" t="s">
        <v>1269</v>
      </c>
      <c r="E229" s="32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</row>
    <row r="230" spans="1:25">
      <c r="A230" s="2" t="s">
        <v>239</v>
      </c>
      <c r="B230" s="2" t="s">
        <v>328</v>
      </c>
      <c r="C230" s="2" t="str">
        <f t="shared" si="3"/>
        <v>MOTOCENTRO HONDA S.A.AYAPEL</v>
      </c>
      <c r="D230" s="168" t="str">
        <f>+VLOOKUP(B230,[1]Hoja2!$B$2:$F$194,5,FALSE)</f>
        <v>8.3.A</v>
      </c>
      <c r="E230" s="32" t="s">
        <v>317</v>
      </c>
    </row>
    <row r="231" spans="1:25">
      <c r="A231" s="2" t="s">
        <v>239</v>
      </c>
      <c r="B231" s="2" t="s">
        <v>235</v>
      </c>
      <c r="C231" s="2" t="str">
        <f t="shared" si="3"/>
        <v>MOTOCENTRO HONDA S.A.CERETE</v>
      </c>
      <c r="D231" s="168" t="str">
        <f>+VLOOKUP(B231,[1]Hoja2!$B$2:$F$194,5,FALSE)</f>
        <v>9.2</v>
      </c>
      <c r="E231" s="32" t="s">
        <v>317</v>
      </c>
    </row>
    <row r="232" spans="1:25">
      <c r="A232" s="2" t="s">
        <v>239</v>
      </c>
      <c r="B232" s="2" t="s">
        <v>329</v>
      </c>
      <c r="C232" s="2" t="str">
        <f t="shared" si="3"/>
        <v>MOTOCENTRO HONDA S.A.TARAZA</v>
      </c>
      <c r="D232" s="168" t="str">
        <f>+VLOOKUP(B232,[1]Hoja2!$B$2:$F$194,5,FALSE)</f>
        <v>8.3</v>
      </c>
      <c r="E232" s="32" t="s">
        <v>317</v>
      </c>
    </row>
    <row r="233" spans="1:25">
      <c r="A233" s="2" t="s">
        <v>182</v>
      </c>
      <c r="B233" s="2" t="s">
        <v>183</v>
      </c>
      <c r="C233" s="2" t="str">
        <f t="shared" si="3"/>
        <v>BICIMOTOS Y REPUESTOS S.A.SSOLEDAD</v>
      </c>
      <c r="D233" s="168" t="str">
        <f>+VLOOKUP(B233,[1]Hoja2!$B$2:$F$194,5,FALSE)</f>
        <v>11.2</v>
      </c>
      <c r="E233" s="32" t="s">
        <v>408</v>
      </c>
    </row>
    <row r="234" spans="1:25">
      <c r="A234" s="2" t="s">
        <v>297</v>
      </c>
      <c r="B234" s="2" t="s">
        <v>179</v>
      </c>
      <c r="C234" s="2" t="str">
        <f t="shared" si="3"/>
        <v>COLVENTAS S.A.BARRANQUILLA</v>
      </c>
      <c r="D234" s="168" t="str">
        <f>+VLOOKUP(B234,[1]Hoja2!$B$2:$F$194,5,FALSE)</f>
        <v>11.2</v>
      </c>
      <c r="E234" s="32" t="s">
        <v>408</v>
      </c>
    </row>
    <row r="235" spans="1:25">
      <c r="A235" s="2" t="s">
        <v>297</v>
      </c>
      <c r="B235" s="2" t="s">
        <v>194</v>
      </c>
      <c r="C235" s="2" t="str">
        <f t="shared" si="3"/>
        <v>COLVENTAS S.A.CARTAGENA</v>
      </c>
      <c r="D235" s="168" t="str">
        <f>+VLOOKUP(B235,[1]Hoja2!$B$2:$F$194,5,FALSE)</f>
        <v>11.1.A</v>
      </c>
      <c r="E235" s="32" t="s">
        <v>408</v>
      </c>
    </row>
    <row r="236" spans="1:25">
      <c r="A236" s="2" t="s">
        <v>297</v>
      </c>
      <c r="B236" s="2" t="s">
        <v>86</v>
      </c>
      <c r="C236" s="2" t="str">
        <f t="shared" si="3"/>
        <v>COLVENTAS S.A.SANTA MARTA</v>
      </c>
      <c r="D236" s="168" t="str">
        <f>+VLOOKUP(B236,[1]Hoja2!$B$2:$F$194,5,FALSE)</f>
        <v>11.2</v>
      </c>
      <c r="E236" s="32" t="s">
        <v>408</v>
      </c>
    </row>
    <row r="237" spans="1:25">
      <c r="A237" s="2" t="s">
        <v>300</v>
      </c>
      <c r="B237" s="2" t="s">
        <v>301</v>
      </c>
      <c r="C237" s="2" t="str">
        <f t="shared" si="3"/>
        <v>DELCO S.A.SCIENAGA</v>
      </c>
      <c r="D237" s="168" t="str">
        <f>+VLOOKUP(B237,[1]Hoja2!$B$2:$F$194,5,FALSE)</f>
        <v>11.2</v>
      </c>
      <c r="E237" s="32" t="s">
        <v>408</v>
      </c>
    </row>
    <row r="238" spans="1:25">
      <c r="A238" s="2" t="s">
        <v>300</v>
      </c>
      <c r="B238" s="160" t="s">
        <v>90</v>
      </c>
      <c r="C238" s="2" t="str">
        <f t="shared" si="3"/>
        <v>DELCO S.A.SFUNDACION</v>
      </c>
      <c r="D238" s="168" t="str">
        <f>+VLOOKUP(B238,[1]Hoja2!$B$2:$F$194,5,FALSE)</f>
        <v>11.2</v>
      </c>
      <c r="E238" s="32" t="s">
        <v>408</v>
      </c>
    </row>
    <row r="239" spans="1:25">
      <c r="A239" s="2" t="s">
        <v>300</v>
      </c>
      <c r="B239" s="160" t="s">
        <v>302</v>
      </c>
      <c r="C239" s="2" t="str">
        <f t="shared" si="3"/>
        <v>DELCO S.A.SPIVIJAY</v>
      </c>
      <c r="D239" s="168" t="str">
        <f>+VLOOKUP(B239,[1]Hoja2!$B$2:$F$194,5,FALSE)</f>
        <v>11.2</v>
      </c>
      <c r="E239" s="32" t="s">
        <v>408</v>
      </c>
    </row>
    <row r="240" spans="1:25">
      <c r="A240" s="32" t="s">
        <v>300</v>
      </c>
      <c r="B240" s="2" t="s">
        <v>86</v>
      </c>
      <c r="C240" s="2" t="str">
        <f t="shared" si="3"/>
        <v>DELCO S.A.SSANTA MARTA</v>
      </c>
      <c r="D240" s="168" t="str">
        <f>+VLOOKUP(B240,[1]Hoja2!$B$2:$F$194,5,FALSE)</f>
        <v>11.2</v>
      </c>
      <c r="E240" s="32" t="s">
        <v>408</v>
      </c>
    </row>
    <row r="241" spans="1:25">
      <c r="A241" s="2" t="s">
        <v>180</v>
      </c>
      <c r="B241" s="157" t="s">
        <v>1245</v>
      </c>
      <c r="C241" s="2" t="str">
        <f t="shared" si="3"/>
        <v>INVERSIONES HERNANDEZ SINNING H&amp;S S.A.SSANTO TOMAS</v>
      </c>
      <c r="D241" s="171" t="s">
        <v>1258</v>
      </c>
      <c r="E241" s="2" t="s">
        <v>408</v>
      </c>
    </row>
    <row r="242" spans="1:25">
      <c r="A242" s="32" t="s">
        <v>180</v>
      </c>
      <c r="B242" s="2" t="s">
        <v>181</v>
      </c>
      <c r="C242" s="2" t="str">
        <f t="shared" si="3"/>
        <v>INVERSIONES HERNANDEZ SINNING H&amp;S S.A.SSABANALARGA</v>
      </c>
      <c r="D242" s="168" t="str">
        <f>+VLOOKUP(B242,[1]Hoja2!$B$2:$F$194,5,FALSE)</f>
        <v>11.2</v>
      </c>
      <c r="E242" s="32" t="s">
        <v>408</v>
      </c>
    </row>
    <row r="243" spans="1:25">
      <c r="A243" s="32" t="s">
        <v>89</v>
      </c>
      <c r="B243" s="2" t="s">
        <v>90</v>
      </c>
      <c r="C243" s="2" t="str">
        <f t="shared" si="3"/>
        <v>MOTOS IBC S.A.SFUNDACION</v>
      </c>
      <c r="D243" s="168" t="str">
        <f>+VLOOKUP(B243,[1]Hoja2!$B$2:$F$194,5,FALSE)</f>
        <v>11.2</v>
      </c>
      <c r="E243" s="32" t="s">
        <v>408</v>
      </c>
    </row>
    <row r="244" spans="1:25">
      <c r="A244" s="2" t="s">
        <v>193</v>
      </c>
      <c r="B244" s="35" t="s">
        <v>194</v>
      </c>
      <c r="C244" s="2" t="str">
        <f t="shared" si="3"/>
        <v>SUPERMOTOS DE BOLIVAR S.A.S.CARTAGENA</v>
      </c>
      <c r="D244" s="168" t="str">
        <f>+VLOOKUP(B244,[1]Hoja2!$B$2:$F$194,5,FALSE)</f>
        <v>11.1.A</v>
      </c>
      <c r="E244" s="32" t="s">
        <v>408</v>
      </c>
    </row>
    <row r="245" spans="1:25" s="23" customFormat="1">
      <c r="A245" s="2" t="s">
        <v>178</v>
      </c>
      <c r="B245" s="2" t="s">
        <v>179</v>
      </c>
      <c r="C245" s="2" t="str">
        <f t="shared" si="3"/>
        <v>SUPERMOTOS DEL ATLANTICO S.A.SBARRANQUILLA</v>
      </c>
      <c r="D245" s="168" t="str">
        <f>+VLOOKUP(B245,[1]Hoja2!$B$2:$F$194,5,FALSE)</f>
        <v>11.2</v>
      </c>
      <c r="E245" s="32" t="s">
        <v>408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2" t="s">
        <v>85</v>
      </c>
      <c r="B246" s="2" t="s">
        <v>86</v>
      </c>
      <c r="C246" s="2" t="str">
        <f t="shared" si="3"/>
        <v>SUPERMOTOS DEL MAGDALENA S.A.SSANTA MARTA</v>
      </c>
      <c r="D246" s="168" t="str">
        <f>+VLOOKUP(B246,[1]Hoja2!$B$2:$F$194,5,FALSE)</f>
        <v>11.2</v>
      </c>
      <c r="E246" s="2" t="s">
        <v>408</v>
      </c>
    </row>
    <row r="247" spans="1:25" s="36" customFormat="1">
      <c r="A247" s="2" t="s">
        <v>95</v>
      </c>
      <c r="B247" s="160" t="s">
        <v>96</v>
      </c>
      <c r="C247" s="2" t="str">
        <f t="shared" si="3"/>
        <v>MOTO SUPER S.A.SSAN SEBASTIAN BUENAVIST</v>
      </c>
      <c r="D247" s="168" t="str">
        <f>+VLOOKUP(B247,[1]Hoja2!$B$2:$F$194,5,FALSE)</f>
        <v>10.2</v>
      </c>
      <c r="E247" s="32" t="s">
        <v>408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36" customFormat="1">
      <c r="A248" s="2" t="s">
        <v>95</v>
      </c>
      <c r="B248" s="169" t="s">
        <v>98</v>
      </c>
      <c r="C248" s="2" t="str">
        <f t="shared" si="3"/>
        <v>MOTO SUPER S.A.SSANTA ANA</v>
      </c>
      <c r="D248" s="168" t="str">
        <f>+VLOOKUP(B248,[1]Hoja2!$B$2:$F$194,5,FALSE)</f>
        <v>10.2</v>
      </c>
      <c r="E248" s="32" t="s">
        <v>408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36" customFormat="1">
      <c r="A249" s="2" t="s">
        <v>95</v>
      </c>
      <c r="B249" s="2" t="s">
        <v>305</v>
      </c>
      <c r="C249" s="2" t="str">
        <f t="shared" si="3"/>
        <v>MOTO SUPER S.A.SRIOHACHA</v>
      </c>
      <c r="D249" s="168" t="str">
        <f>+VLOOKUP(B249,[1]Hoja2!$B$2:$F$194,5,FALSE)</f>
        <v>6.4</v>
      </c>
      <c r="E249" s="32" t="s">
        <v>408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2" t="s">
        <v>300</v>
      </c>
      <c r="B250" s="2" t="s">
        <v>230</v>
      </c>
      <c r="C250" s="2" t="str">
        <f t="shared" si="3"/>
        <v>DELCO S.A.SBOSCONIA</v>
      </c>
      <c r="D250" s="168" t="str">
        <f>+VLOOKUP(B250,[1]Hoja2!$B$2:$F$194,5,FALSE)</f>
        <v>6.4</v>
      </c>
      <c r="E250" s="32" t="s">
        <v>409</v>
      </c>
    </row>
    <row r="251" spans="1:25">
      <c r="A251" s="2" t="s">
        <v>97</v>
      </c>
      <c r="B251" s="2" t="s">
        <v>306</v>
      </c>
      <c r="C251" s="2" t="str">
        <f t="shared" si="3"/>
        <v>DISTRIGON LIMITADAASTREA</v>
      </c>
      <c r="D251" s="168" t="str">
        <f>+VLOOKUP(B251,[1]Hoja2!$B$2:$F$194,5,FALSE)</f>
        <v>6.4</v>
      </c>
      <c r="E251" s="32" t="s">
        <v>409</v>
      </c>
    </row>
    <row r="252" spans="1:25">
      <c r="A252" s="2" t="s">
        <v>311</v>
      </c>
      <c r="B252" s="2" t="s">
        <v>313</v>
      </c>
      <c r="C252" s="2" t="str">
        <f t="shared" si="3"/>
        <v>GOMEZ GUERRERO MAURICIOSAN ALBERTO</v>
      </c>
      <c r="D252" s="168" t="str">
        <f>+VLOOKUP(B252,[1]Hoja2!$B$2:$F$194,5,FALSE)</f>
        <v>6.3.A</v>
      </c>
      <c r="E252" s="32" t="s">
        <v>409</v>
      </c>
    </row>
    <row r="253" spans="1:25">
      <c r="A253" s="2" t="s">
        <v>116</v>
      </c>
      <c r="B253" s="2" t="s">
        <v>313</v>
      </c>
      <c r="C253" s="2" t="str">
        <f t="shared" si="3"/>
        <v>OSORIO RIVERO CIRO ALFONSOSAN ALBERTO</v>
      </c>
      <c r="D253" s="168" t="str">
        <f>+VLOOKUP(B253,[1]Hoja2!$B$2:$F$194,5,FALSE)</f>
        <v>6.3.A</v>
      </c>
      <c r="E253" s="32" t="s">
        <v>409</v>
      </c>
    </row>
    <row r="254" spans="1:25">
      <c r="A254" s="2" t="s">
        <v>116</v>
      </c>
      <c r="B254" s="2" t="s">
        <v>117</v>
      </c>
      <c r="C254" s="2" t="str">
        <f t="shared" si="3"/>
        <v>OSORIO RIVERO CIRO ALFONSOOCAÑA</v>
      </c>
      <c r="D254" s="168" t="str">
        <f>+VLOOKUP(B254,[1]Hoja2!$B$2:$F$194,5,FALSE)</f>
        <v>6.3</v>
      </c>
      <c r="E254" s="32" t="s">
        <v>409</v>
      </c>
    </row>
    <row r="255" spans="1:25">
      <c r="A255" s="2" t="s">
        <v>229</v>
      </c>
      <c r="B255" s="2" t="s">
        <v>230</v>
      </c>
      <c r="C255" s="2" t="str">
        <f t="shared" si="3"/>
        <v>RODRIGUEZ ROSA CECILIABOSCONIA</v>
      </c>
      <c r="D255" s="168" t="str">
        <f>+VLOOKUP(B255,[1]Hoja2!$B$2:$F$194,5,FALSE)</f>
        <v>6.4</v>
      </c>
      <c r="E255" s="32" t="s">
        <v>409</v>
      </c>
    </row>
    <row r="256" spans="1:25">
      <c r="A256" s="2" t="s">
        <v>229</v>
      </c>
      <c r="B256" s="2" t="s">
        <v>228</v>
      </c>
      <c r="C256" s="2" t="str">
        <f t="shared" si="3"/>
        <v>RODRIGUEZ ROSA CECILIAVALLEDUPAR</v>
      </c>
      <c r="D256" s="168" t="str">
        <f>+VLOOKUP(B256,[1]Hoja2!$B$2:$F$194,5,FALSE)</f>
        <v>6.4</v>
      </c>
      <c r="E256" s="32" t="s">
        <v>409</v>
      </c>
    </row>
    <row r="257" spans="1:5">
      <c r="A257" s="2" t="s">
        <v>227</v>
      </c>
      <c r="B257" s="2" t="s">
        <v>228</v>
      </c>
      <c r="C257" s="2" t="str">
        <f t="shared" si="3"/>
        <v>SUPERMOTOS DEL CESAR S.A.S.VALLEDUPAR</v>
      </c>
      <c r="D257" s="168" t="str">
        <f>+VLOOKUP(B257,[1]Hoja2!$B$2:$F$194,5,FALSE)</f>
        <v>6.4</v>
      </c>
      <c r="E257" s="2" t="s">
        <v>409</v>
      </c>
    </row>
    <row r="258" spans="1:5">
      <c r="A258" s="2" t="s">
        <v>318</v>
      </c>
      <c r="B258" s="2" t="s">
        <v>319</v>
      </c>
      <c r="C258" s="2" t="str">
        <f t="shared" si="3"/>
        <v>LA BUENA HONDA DEL CARIBE S.A.S.SAN JUAN DEL CESAR</v>
      </c>
      <c r="D258" s="168" t="str">
        <f>+VLOOKUP(B258,[1]Hoja2!$B$2:$F$194,5,FALSE)</f>
        <v>6.4</v>
      </c>
      <c r="E258" s="2" t="s">
        <v>409</v>
      </c>
    </row>
    <row r="259" spans="1:5">
      <c r="A259" s="2" t="s">
        <v>318</v>
      </c>
      <c r="B259" s="158" t="s">
        <v>411</v>
      </c>
      <c r="C259" s="2" t="str">
        <f t="shared" si="3"/>
        <v>LA BUENA HONDA DEL CARIBE S.A.S.HATO NUEVO</v>
      </c>
      <c r="D259" s="168" t="str">
        <f>+VLOOKUP(B259,[1]Hoja2!$B$2:$F$194,5,FALSE)</f>
        <v>6.4</v>
      </c>
      <c r="E259" s="32" t="s">
        <v>409</v>
      </c>
    </row>
    <row r="260" spans="1:5">
      <c r="A260" s="2" t="s">
        <v>318</v>
      </c>
      <c r="B260" s="2" t="s">
        <v>412</v>
      </c>
      <c r="C260" s="2" t="str">
        <f t="shared" si="3"/>
        <v>LA BUENA HONDA DEL CARIBE S.A.S.VILLANUEVA</v>
      </c>
      <c r="D260" s="168" t="str">
        <f>+VLOOKUP(B260,[1]Hoja2!$B$2:$F$194,5,FALSE)</f>
        <v>6.4</v>
      </c>
      <c r="E260" s="32" t="s">
        <v>409</v>
      </c>
    </row>
    <row r="261" spans="1:5">
      <c r="A261" s="2" t="s">
        <v>231</v>
      </c>
      <c r="B261" s="2" t="s">
        <v>232</v>
      </c>
      <c r="C261" s="2" t="str">
        <f t="shared" si="3"/>
        <v>MOTOS GAP S.A.S.CURUMANI</v>
      </c>
      <c r="D261" s="168" t="str">
        <f>+VLOOKUP(B261,[1]Hoja2!$B$2:$F$194,5,FALSE)</f>
        <v>6.4</v>
      </c>
      <c r="E261" s="2" t="s">
        <v>409</v>
      </c>
    </row>
    <row r="262" spans="1:5">
      <c r="A262" s="2" t="s">
        <v>334</v>
      </c>
      <c r="B262" s="2" t="s">
        <v>232</v>
      </c>
      <c r="C262" s="2" t="str">
        <f t="shared" si="3"/>
        <v>PEREZ RODRIGUEZ GUSTAVO ANDRESCURUMANI</v>
      </c>
      <c r="D262" s="168" t="str">
        <f>+VLOOKUP(B262,[1]Hoja2!$B$2:$F$194,5,FALSE)</f>
        <v>6.4</v>
      </c>
      <c r="E262" s="32" t="s">
        <v>416</v>
      </c>
    </row>
    <row r="263" spans="1:5">
      <c r="A263" s="2" t="s">
        <v>74</v>
      </c>
      <c r="B263" s="2" t="s">
        <v>73</v>
      </c>
      <c r="C263" s="2" t="str">
        <f t="shared" si="3"/>
        <v>SALAZAR ACOSTA EDWIN ARTUROPUERTO ASIS</v>
      </c>
      <c r="D263" s="168" t="str">
        <f>+VLOOKUP(B263,[1]Hoja2!$B$2:$F$194,5,FALSE)</f>
        <v>5.2.A</v>
      </c>
      <c r="E263" s="2" t="s">
        <v>416</v>
      </c>
    </row>
  </sheetData>
  <autoFilter ref="A1:D263" xr:uid="{00000000-0009-0000-0000-000000000000}"/>
  <sortState ref="A2:E249">
    <sortCondition ref="D2:D249"/>
  </sortState>
  <pageMargins left="0.7" right="0.7" top="0.75" bottom="0.75" header="0.3" footer="0.3"/>
  <pageSetup scale="82" orientation="portrait" r:id="rId1"/>
  <rowBreaks count="3" manualBreakCount="3">
    <brk id="115" max="16383" man="1"/>
    <brk id="158" max="16383" man="1"/>
    <brk id="2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M82"/>
  <sheetViews>
    <sheetView workbookViewId="0"/>
  </sheetViews>
  <sheetFormatPr defaultColWidth="11.42578125" defaultRowHeight="12.75"/>
  <cols>
    <col min="1" max="1" width="21.5703125" style="88" customWidth="1"/>
    <col min="2" max="2" width="20.140625" style="88" customWidth="1"/>
    <col min="3" max="3" width="19.42578125" style="106" customWidth="1"/>
    <col min="4" max="4" width="29.85546875" style="195" customWidth="1"/>
    <col min="5" max="5" width="22.7109375" style="106" customWidth="1"/>
    <col min="6" max="6" width="48.85546875" style="106" customWidth="1"/>
    <col min="7" max="7" width="15.28515625" style="106" customWidth="1"/>
    <col min="8" max="8" width="16" style="106" customWidth="1"/>
    <col min="9" max="16384" width="11.42578125" style="88"/>
  </cols>
  <sheetData>
    <row r="1" spans="1:13">
      <c r="A1" s="124" t="s">
        <v>5</v>
      </c>
      <c r="B1" s="116" t="s">
        <v>1907</v>
      </c>
      <c r="C1" s="115" t="s">
        <v>495</v>
      </c>
      <c r="D1" s="193" t="s">
        <v>517</v>
      </c>
      <c r="E1" s="125" t="s">
        <v>518</v>
      </c>
      <c r="F1" s="125" t="s">
        <v>356</v>
      </c>
      <c r="G1" s="125" t="s">
        <v>284</v>
      </c>
      <c r="H1" s="125" t="s">
        <v>283</v>
      </c>
    </row>
    <row r="2" spans="1:13" ht="15">
      <c r="A2" s="137" t="s">
        <v>1414</v>
      </c>
      <c r="B2" s="137" t="s">
        <v>1415</v>
      </c>
      <c r="C2" s="30">
        <v>14</v>
      </c>
      <c r="D2" s="194">
        <v>0</v>
      </c>
      <c r="E2" s="152">
        <f>+Tabla1[[#This Row],[Total]]-Tabla1[[#This Row],[Programacion dia anterior]]</f>
        <v>14</v>
      </c>
      <c r="F2" s="122" t="str">
        <f t="shared" ref="F2:F35" si="0">+A2&amp;B2</f>
        <v>*CB1 PRO                                          PEARL PRO</v>
      </c>
      <c r="G2" s="126">
        <f>+SUMIF(DATOS!$Z$1:$Z$3501,"="&amp;Tabla1[[#This Row],[Referencia-Color]],DATOS!$V$1:$V$3501)</f>
        <v>0</v>
      </c>
      <c r="H2" s="122">
        <f>+Tabla1[[#This Row],[Disponibilidad Real]]-Tabla1[[#This Row],[Programación]]</f>
        <v>14</v>
      </c>
      <c r="M2" s="95"/>
    </row>
    <row r="3" spans="1:13" ht="15">
      <c r="A3" s="137" t="s">
        <v>1414</v>
      </c>
      <c r="B3" s="137" t="s">
        <v>1416</v>
      </c>
      <c r="C3" s="30">
        <v>80</v>
      </c>
      <c r="D3" s="194">
        <v>0</v>
      </c>
      <c r="E3" s="152">
        <f>+Tabla1[[#This Row],[Total]]-Tabla1[[#This Row],[Programacion dia anterior]]</f>
        <v>80</v>
      </c>
      <c r="F3" s="122" t="str">
        <f t="shared" si="0"/>
        <v>*CB1 PRO                                          ROJO LUCY</v>
      </c>
      <c r="G3" s="126">
        <f>+SUMIF(DATOS!$Z$1:$Z$3501,"="&amp;Tabla1[[#This Row],[Referencia-Color]],DATOS!$V$1:$V$3501)</f>
        <v>0</v>
      </c>
      <c r="H3" s="122">
        <f>+Tabla1[[#This Row],[Disponibilidad Real]]-Tabla1[[#This Row],[Programación]]</f>
        <v>80</v>
      </c>
      <c r="M3" s="95"/>
    </row>
    <row r="4" spans="1:13" ht="15">
      <c r="A4" s="137" t="s">
        <v>14</v>
      </c>
      <c r="B4" s="137" t="s">
        <v>15</v>
      </c>
      <c r="C4" s="30">
        <v>114</v>
      </c>
      <c r="D4" s="194">
        <v>12</v>
      </c>
      <c r="E4" s="152">
        <f>+Tabla1[[#This Row],[Total]]-Tabla1[[#This Row],[Programacion dia anterior]]</f>
        <v>102</v>
      </c>
      <c r="F4" s="122" t="str">
        <f t="shared" si="0"/>
        <v>*CB-110                                           AZUL FIJI</v>
      </c>
      <c r="G4" s="126">
        <f>+SUMIF(DATOS!$Z$1:$Z$3501,"="&amp;Tabla1[[#This Row],[Referencia-Color]],DATOS!$V$1:$V$3501)</f>
        <v>3</v>
      </c>
      <c r="H4" s="122">
        <f>+Tabla1[[#This Row],[Disponibilidad Real]]-Tabla1[[#This Row],[Programación]]</f>
        <v>99</v>
      </c>
      <c r="M4" s="95"/>
    </row>
    <row r="5" spans="1:13" ht="15">
      <c r="A5" s="137" t="s">
        <v>14</v>
      </c>
      <c r="B5" s="137" t="s">
        <v>1417</v>
      </c>
      <c r="C5" s="30">
        <v>43</v>
      </c>
      <c r="D5" s="194">
        <v>17</v>
      </c>
      <c r="E5" s="152">
        <f>+Tabla1[[#This Row],[Total]]-Tabla1[[#This Row],[Programacion dia anterior]]</f>
        <v>26</v>
      </c>
      <c r="F5" s="122" t="str">
        <f t="shared" si="0"/>
        <v xml:space="preserve">*CB-110                                           GRIS MET </v>
      </c>
      <c r="G5" s="126">
        <f>+SUMIF(DATOS!$Z$1:$Z$3501,"="&amp;Tabla1[[#This Row],[Referencia-Color]],DATOS!$V$1:$V$3501)</f>
        <v>2</v>
      </c>
      <c r="H5" s="122">
        <f>+Tabla1[[#This Row],[Disponibilidad Real]]-Tabla1[[#This Row],[Programación]]</f>
        <v>24</v>
      </c>
      <c r="M5" s="95"/>
    </row>
    <row r="6" spans="1:13" ht="15">
      <c r="A6" s="137" t="s">
        <v>14</v>
      </c>
      <c r="B6" s="137" t="s">
        <v>16</v>
      </c>
      <c r="C6" s="30">
        <v>125</v>
      </c>
      <c r="D6" s="194">
        <v>36</v>
      </c>
      <c r="E6" s="152">
        <f>+Tabla1[[#This Row],[Total]]-Tabla1[[#This Row],[Programacion dia anterior]]</f>
        <v>89</v>
      </c>
      <c r="F6" s="122" t="str">
        <f t="shared" si="0"/>
        <v xml:space="preserve">*CB-110                                           NEGRO    </v>
      </c>
      <c r="G6" s="126">
        <f>+SUMIF(DATOS!$Z$1:$Z$3501,"="&amp;Tabla1[[#This Row],[Referencia-Color]],DATOS!$V$1:$V$3501)</f>
        <v>6</v>
      </c>
      <c r="H6" s="122">
        <f>+Tabla1[[#This Row],[Disponibilidad Real]]-Tabla1[[#This Row],[Programación]]</f>
        <v>83</v>
      </c>
      <c r="M6" s="95"/>
    </row>
    <row r="7" spans="1:13" ht="15">
      <c r="A7" s="137" t="s">
        <v>14</v>
      </c>
      <c r="B7" s="137" t="s">
        <v>17</v>
      </c>
      <c r="C7" s="30">
        <v>50</v>
      </c>
      <c r="D7" s="194">
        <v>9</v>
      </c>
      <c r="E7" s="152">
        <f>+Tabla1[[#This Row],[Total]]-Tabla1[[#This Row],[Programacion dia anterior]]</f>
        <v>41</v>
      </c>
      <c r="F7" s="122" t="str">
        <f t="shared" si="0"/>
        <v>*CB-110                                           ROJO SPOR</v>
      </c>
      <c r="G7" s="126">
        <f>+SUMIF(DATOS!$Z$1:$Z$3501,"="&amp;Tabla1[[#This Row],[Referencia-Color]],DATOS!$V$1:$V$3501)</f>
        <v>3</v>
      </c>
      <c r="H7" s="122">
        <f>+Tabla1[[#This Row],[Disponibilidad Real]]-Tabla1[[#This Row],[Programación]]</f>
        <v>38</v>
      </c>
      <c r="M7" s="95"/>
    </row>
    <row r="8" spans="1:13" ht="15">
      <c r="A8" s="137" t="s">
        <v>14</v>
      </c>
      <c r="B8" s="137" t="s">
        <v>1418</v>
      </c>
      <c r="C8" s="30">
        <v>2</v>
      </c>
      <c r="D8" s="194">
        <v>2</v>
      </c>
      <c r="E8" s="152">
        <f>+Tabla1[[#This Row],[Total]]-Tabla1[[#This Row],[Programacion dia anterior]]</f>
        <v>0</v>
      </c>
      <c r="F8" s="122" t="str">
        <f t="shared" si="0"/>
        <v>*CB-110                                           VERDE CAN</v>
      </c>
      <c r="G8" s="126">
        <f>+SUMIF(DATOS!$Z$1:$Z$3501,"="&amp;Tabla1[[#This Row],[Referencia-Color]],DATOS!$V$1:$V$3501)</f>
        <v>0</v>
      </c>
      <c r="H8" s="122">
        <f>+Tabla1[[#This Row],[Disponibilidad Real]]-Tabla1[[#This Row],[Programación]]</f>
        <v>0</v>
      </c>
      <c r="M8" s="95"/>
    </row>
    <row r="9" spans="1:13" ht="15">
      <c r="A9" s="137" t="s">
        <v>28</v>
      </c>
      <c r="B9" s="137" t="s">
        <v>16</v>
      </c>
      <c r="C9" s="30">
        <v>7</v>
      </c>
      <c r="D9" s="194">
        <v>1</v>
      </c>
      <c r="E9" s="152">
        <f>+Tabla1[[#This Row],[Total]]-Tabla1[[#This Row],[Programacion dia anterior]]</f>
        <v>6</v>
      </c>
      <c r="F9" s="122" t="str">
        <f t="shared" si="0"/>
        <v xml:space="preserve">*CBF-125 pt                                       NEGRO    </v>
      </c>
      <c r="G9" s="126">
        <f>+SUMIF(DATOS!$Z$1:$Z$3501,"="&amp;Tabla1[[#This Row],[Referencia-Color]],DATOS!$V$1:$V$3501)</f>
        <v>0</v>
      </c>
      <c r="H9" s="122">
        <f>+Tabla1[[#This Row],[Disponibilidad Real]]-Tabla1[[#This Row],[Programación]]</f>
        <v>6</v>
      </c>
      <c r="M9" s="95"/>
    </row>
    <row r="10" spans="1:13" ht="15">
      <c r="A10" s="137" t="s">
        <v>18</v>
      </c>
      <c r="B10" s="137" t="s">
        <v>1419</v>
      </c>
      <c r="C10" s="30">
        <v>22</v>
      </c>
      <c r="D10" s="194">
        <v>4</v>
      </c>
      <c r="E10" s="152">
        <f>+Tabla1[[#This Row],[Total]]-Tabla1[[#This Row],[Programacion dia anterior]]</f>
        <v>18</v>
      </c>
      <c r="F10" s="122" t="str">
        <f t="shared" si="0"/>
        <v>*INVICTA                                          AZUL NEON</v>
      </c>
      <c r="G10" s="126">
        <f>+SUMIF(DATOS!$Z$1:$Z$3501,"="&amp;Tabla1[[#This Row],[Referencia-Color]],DATOS!$V$1:$V$3501)</f>
        <v>0</v>
      </c>
      <c r="H10" s="122">
        <f>+Tabla1[[#This Row],[Disponibilidad Real]]-Tabla1[[#This Row],[Programación]]</f>
        <v>18</v>
      </c>
      <c r="M10" s="95"/>
    </row>
    <row r="11" spans="1:13" ht="15">
      <c r="A11" s="137" t="s">
        <v>21</v>
      </c>
      <c r="B11" s="137" t="s">
        <v>22</v>
      </c>
      <c r="C11" s="30">
        <v>2</v>
      </c>
      <c r="D11" s="194">
        <v>0</v>
      </c>
      <c r="E11" s="152">
        <f>+Tabla1[[#This Row],[Total]]-Tabla1[[#This Row],[Programacion dia anterior]]</f>
        <v>2</v>
      </c>
      <c r="F11" s="122" t="str">
        <f t="shared" si="0"/>
        <v>*WAVE 110                                         AZUL GEMI</v>
      </c>
      <c r="G11" s="126">
        <f>+SUMIF(DATOS!$Z$1:$Z$3501,"="&amp;Tabla1[[#This Row],[Referencia-Color]],DATOS!$V$1:$V$3501)</f>
        <v>0</v>
      </c>
      <c r="H11" s="122">
        <f>+Tabla1[[#This Row],[Disponibilidad Real]]-Tabla1[[#This Row],[Programación]]</f>
        <v>2</v>
      </c>
      <c r="M11" s="95"/>
    </row>
    <row r="12" spans="1:13" ht="15">
      <c r="A12" s="137" t="s">
        <v>21</v>
      </c>
      <c r="B12" s="137" t="s">
        <v>1420</v>
      </c>
      <c r="C12" s="30">
        <v>7</v>
      </c>
      <c r="D12" s="194">
        <v>0</v>
      </c>
      <c r="E12" s="152">
        <f>+Tabla1[[#This Row],[Total]]-Tabla1[[#This Row],[Programacion dia anterior]]</f>
        <v>7</v>
      </c>
      <c r="F12" s="122" t="str">
        <f t="shared" si="0"/>
        <v>*WAVE 110                                         BLAN ROSS</v>
      </c>
      <c r="G12" s="126">
        <f>+SUMIF(DATOS!$Z$1:$Z$3501,"="&amp;Tabla1[[#This Row],[Referencia-Color]],DATOS!$V$1:$V$3501)</f>
        <v>0</v>
      </c>
      <c r="H12" s="122">
        <f>+Tabla1[[#This Row],[Disponibilidad Real]]-Tabla1[[#This Row],[Programación]]</f>
        <v>7</v>
      </c>
      <c r="M12" s="95"/>
    </row>
    <row r="13" spans="1:13" ht="15">
      <c r="A13" s="137" t="s">
        <v>21</v>
      </c>
      <c r="B13" s="137" t="s">
        <v>16</v>
      </c>
      <c r="C13" s="30">
        <v>6</v>
      </c>
      <c r="D13" s="194">
        <v>0</v>
      </c>
      <c r="E13" s="152">
        <f>+Tabla1[[#This Row],[Total]]-Tabla1[[#This Row],[Programacion dia anterior]]</f>
        <v>6</v>
      </c>
      <c r="F13" s="122" t="str">
        <f t="shared" si="0"/>
        <v xml:space="preserve">*WAVE 110                                         NEGRO    </v>
      </c>
      <c r="G13" s="126">
        <f>+SUMIF(DATOS!$Z$1:$Z$3501,"="&amp;Tabla1[[#This Row],[Referencia-Color]],DATOS!$V$1:$V$3501)</f>
        <v>0</v>
      </c>
      <c r="H13" s="122">
        <f>+Tabla1[[#This Row],[Disponibilidad Real]]-Tabla1[[#This Row],[Programación]]</f>
        <v>6</v>
      </c>
      <c r="M13" s="95"/>
    </row>
    <row r="14" spans="1:13" ht="15">
      <c r="A14" s="137" t="s">
        <v>21</v>
      </c>
      <c r="B14" s="137" t="s">
        <v>1416</v>
      </c>
      <c r="C14" s="30">
        <v>29</v>
      </c>
      <c r="D14" s="194">
        <v>0</v>
      </c>
      <c r="E14" s="152">
        <f>+Tabla1[[#This Row],[Total]]-Tabla1[[#This Row],[Programacion dia anterior]]</f>
        <v>29</v>
      </c>
      <c r="F14" s="122" t="str">
        <f t="shared" si="0"/>
        <v>*WAVE 110                                         ROJO LUCY</v>
      </c>
      <c r="G14" s="126">
        <f>+SUMIF(DATOS!$Z$1:$Z$3501,"="&amp;Tabla1[[#This Row],[Referencia-Color]],DATOS!$V$1:$V$3501)</f>
        <v>0</v>
      </c>
      <c r="H14" s="122">
        <f>+Tabla1[[#This Row],[Disponibilidad Real]]-Tabla1[[#This Row],[Programación]]</f>
        <v>29</v>
      </c>
      <c r="M14" s="95"/>
    </row>
    <row r="15" spans="1:13" ht="15">
      <c r="A15" s="137" t="s">
        <v>27</v>
      </c>
      <c r="B15" s="137" t="s">
        <v>16</v>
      </c>
      <c r="C15" s="30">
        <v>10</v>
      </c>
      <c r="D15" s="194">
        <v>5</v>
      </c>
      <c r="E15" s="152">
        <f>+Tabla1[[#This Row],[Total]]-Tabla1[[#This Row],[Programacion dia anterior]]</f>
        <v>5</v>
      </c>
      <c r="F15" s="122" t="str">
        <f t="shared" si="0"/>
        <v xml:space="preserve">*XR 150L                                          NEGRO    </v>
      </c>
      <c r="G15" s="126">
        <f>+SUMIF(DATOS!$Z$1:$Z$3501,"="&amp;Tabla1[[#This Row],[Referencia-Color]],DATOS!$V$1:$V$3501)</f>
        <v>2</v>
      </c>
      <c r="H15" s="122">
        <f>+Tabla1[[#This Row],[Disponibilidad Real]]-Tabla1[[#This Row],[Programación]]</f>
        <v>3</v>
      </c>
      <c r="M15" s="95"/>
    </row>
    <row r="16" spans="1:13" ht="15">
      <c r="A16" s="137" t="s">
        <v>27</v>
      </c>
      <c r="B16" s="137" t="s">
        <v>26</v>
      </c>
      <c r="C16" s="30">
        <v>100</v>
      </c>
      <c r="D16" s="194">
        <v>26</v>
      </c>
      <c r="E16" s="152">
        <f>+Tabla1[[#This Row],[Total]]-Tabla1[[#This Row],[Programacion dia anterior]]</f>
        <v>74</v>
      </c>
      <c r="F16" s="122" t="str">
        <f t="shared" si="0"/>
        <v>*XR 150L                                          NEGRO BLA</v>
      </c>
      <c r="G16" s="126">
        <f>+SUMIF(DATOS!$Z$1:$Z$3501,"="&amp;Tabla1[[#This Row],[Referencia-Color]],DATOS!$V$1:$V$3501)</f>
        <v>15</v>
      </c>
      <c r="H16" s="122">
        <f>+Tabla1[[#This Row],[Disponibilidad Real]]-Tabla1[[#This Row],[Programación]]</f>
        <v>59</v>
      </c>
      <c r="M16" s="95"/>
    </row>
    <row r="17" spans="1:13" ht="15">
      <c r="A17" s="137" t="s">
        <v>27</v>
      </c>
      <c r="B17" s="137" t="s">
        <v>32</v>
      </c>
      <c r="C17" s="30">
        <v>15</v>
      </c>
      <c r="D17" s="194">
        <v>6</v>
      </c>
      <c r="E17" s="152">
        <f>+Tabla1[[#This Row],[Total]]-Tabla1[[#This Row],[Programacion dia anterior]]</f>
        <v>9</v>
      </c>
      <c r="F17" s="122" t="str">
        <f>+A17&amp;B17</f>
        <v>*XR 150L                                          NEGRO ROJ</v>
      </c>
      <c r="G17" s="126">
        <f>+SUMIF(DATOS!$Z$1:$Z$3501,"="&amp;Tabla1[[#This Row],[Referencia-Color]],DATOS!$V$1:$V$3501)</f>
        <v>2</v>
      </c>
      <c r="H17" s="122">
        <f>+Tabla1[[#This Row],[Disponibilidad Real]]-Tabla1[[#This Row],[Programación]]</f>
        <v>7</v>
      </c>
      <c r="M17" s="95"/>
    </row>
    <row r="18" spans="1:13" ht="15">
      <c r="A18" s="137" t="s">
        <v>1421</v>
      </c>
      <c r="B18" s="137" t="s">
        <v>1422</v>
      </c>
      <c r="C18" s="30">
        <v>13</v>
      </c>
      <c r="D18" s="194">
        <v>0</v>
      </c>
      <c r="E18" s="152">
        <f>+Tabla1[[#This Row],[Total]]-Tabla1[[#This Row],[Programacion dia anterior]]</f>
        <v>13</v>
      </c>
      <c r="F18" s="122" t="str">
        <f t="shared" si="0"/>
        <v>*XR-250 TORNADO pt MD34                           ROJO BLAN</v>
      </c>
      <c r="G18" s="126">
        <f>+SUMIF(DATOS!$Z$1:$Z$3501,"="&amp;Tabla1[[#This Row],[Referencia-Color]],DATOS!$V$1:$V$3501)</f>
        <v>0</v>
      </c>
      <c r="H18" s="122">
        <f>+Tabla1[[#This Row],[Disponibilidad Real]]-Tabla1[[#This Row],[Programación]]</f>
        <v>13</v>
      </c>
      <c r="M18" s="95"/>
    </row>
    <row r="19" spans="1:13" ht="15">
      <c r="A19" s="137" t="s">
        <v>1423</v>
      </c>
      <c r="B19" s="137" t="s">
        <v>1424</v>
      </c>
      <c r="C19" s="30">
        <v>61</v>
      </c>
      <c r="D19" s="194">
        <v>0</v>
      </c>
      <c r="E19" s="152">
        <f>+Tabla1[[#This Row],[Total]]-Tabla1[[#This Row],[Programacion dia anterior]]</f>
        <v>61</v>
      </c>
      <c r="F19" s="122" t="str">
        <f t="shared" si="0"/>
        <v>CB 125F                                           AZUL ONIX</v>
      </c>
      <c r="G19" s="126">
        <f>+SUMIF(DATOS!$Z$1:$Z$3501,"="&amp;Tabla1[[#This Row],[Referencia-Color]],DATOS!$V$1:$V$3501)</f>
        <v>0</v>
      </c>
      <c r="H19" s="122">
        <f>+Tabla1[[#This Row],[Disponibilidad Real]]-Tabla1[[#This Row],[Programación]]</f>
        <v>61</v>
      </c>
      <c r="M19" s="95"/>
    </row>
    <row r="20" spans="1:13" ht="15">
      <c r="A20" s="137" t="s">
        <v>1423</v>
      </c>
      <c r="B20" s="137" t="s">
        <v>44</v>
      </c>
      <c r="C20" s="30">
        <v>27</v>
      </c>
      <c r="D20" s="194">
        <v>0</v>
      </c>
      <c r="E20" s="152">
        <f>+Tabla1[[#This Row],[Total]]-Tabla1[[#This Row],[Programacion dia anterior]]</f>
        <v>27</v>
      </c>
      <c r="F20" s="122" t="str">
        <f t="shared" si="0"/>
        <v>CB 125F                                           BLANCO PE</v>
      </c>
      <c r="G20" s="126">
        <f>+SUMIF(DATOS!$Z$1:$Z$3501,"="&amp;Tabla1[[#This Row],[Referencia-Color]],DATOS!$V$1:$V$3501)</f>
        <v>0</v>
      </c>
      <c r="H20" s="122">
        <f>+Tabla1[[#This Row],[Disponibilidad Real]]-Tabla1[[#This Row],[Programación]]</f>
        <v>27</v>
      </c>
      <c r="M20" s="95"/>
    </row>
    <row r="21" spans="1:13" ht="15">
      <c r="A21" s="137" t="s">
        <v>1423</v>
      </c>
      <c r="B21" s="137" t="s">
        <v>1416</v>
      </c>
      <c r="C21" s="30">
        <v>44</v>
      </c>
      <c r="D21" s="194">
        <v>0</v>
      </c>
      <c r="E21" s="152">
        <f>+Tabla1[[#This Row],[Total]]-Tabla1[[#This Row],[Programacion dia anterior]]</f>
        <v>44</v>
      </c>
      <c r="F21" s="122" t="str">
        <f t="shared" si="0"/>
        <v>CB 125F                                           ROJO LUCY</v>
      </c>
      <c r="G21" s="126">
        <f>+SUMIF(DATOS!$Z$1:$Z$3501,"="&amp;Tabla1[[#This Row],[Referencia-Color]],DATOS!$V$1:$V$3501)</f>
        <v>0</v>
      </c>
      <c r="H21" s="122">
        <f>+Tabla1[[#This Row],[Disponibilidad Real]]-Tabla1[[#This Row],[Programación]]</f>
        <v>44</v>
      </c>
      <c r="M21" s="95"/>
    </row>
    <row r="22" spans="1:13" ht="15">
      <c r="A22" s="137" t="s">
        <v>1234</v>
      </c>
      <c r="B22" s="137" t="s">
        <v>44</v>
      </c>
      <c r="C22" s="30">
        <v>1</v>
      </c>
      <c r="D22" s="194">
        <v>0</v>
      </c>
      <c r="E22" s="152">
        <f>+Tabla1[[#This Row],[Total]]-Tabla1[[#This Row],[Programacion dia anterior]]</f>
        <v>1</v>
      </c>
      <c r="F22" s="122" t="str">
        <f t="shared" si="0"/>
        <v>CB 160F STD                                       BLANCO PE</v>
      </c>
      <c r="G22" s="126">
        <f>+SUMIF(DATOS!$Z$1:$Z$3501,"="&amp;Tabla1[[#This Row],[Referencia-Color]],DATOS!$V$1:$V$3501)</f>
        <v>0</v>
      </c>
      <c r="H22" s="122">
        <f>+Tabla1[[#This Row],[Disponibilidad Real]]-Tabla1[[#This Row],[Programación]]</f>
        <v>1</v>
      </c>
      <c r="M22" s="95"/>
    </row>
    <row r="23" spans="1:13" ht="15">
      <c r="A23" s="137" t="s">
        <v>1425</v>
      </c>
      <c r="B23" s="137" t="s">
        <v>1426</v>
      </c>
      <c r="C23" s="30">
        <v>113</v>
      </c>
      <c r="D23" s="194">
        <v>9</v>
      </c>
      <c r="E23" s="152">
        <f>+Tabla1[[#This Row],[Total]]-Tabla1[[#This Row],[Programacion dia anterior]]</f>
        <v>104</v>
      </c>
      <c r="F23" s="122" t="str">
        <f t="shared" si="0"/>
        <v>CB 190 REPSOL                                     NARANJA B</v>
      </c>
      <c r="G23" s="126">
        <f>+SUMIF(DATOS!$Z$1:$Z$3501,"="&amp;Tabla1[[#This Row],[Referencia-Color]],DATOS!$V$1:$V$3501)</f>
        <v>0</v>
      </c>
      <c r="H23" s="122">
        <f>+Tabla1[[#This Row],[Disponibilidad Real]]-Tabla1[[#This Row],[Programación]]</f>
        <v>104</v>
      </c>
      <c r="M23" s="95"/>
    </row>
    <row r="24" spans="1:13" ht="15">
      <c r="A24" s="137" t="s">
        <v>10</v>
      </c>
      <c r="B24" s="137" t="s">
        <v>13</v>
      </c>
      <c r="C24" s="30">
        <v>82</v>
      </c>
      <c r="D24" s="194">
        <v>7</v>
      </c>
      <c r="E24" s="152">
        <f>+Tabla1[[#This Row],[Total]]-Tabla1[[#This Row],[Programacion dia anterior]]</f>
        <v>75</v>
      </c>
      <c r="F24" s="122" t="str">
        <f t="shared" si="0"/>
        <v>CB 190R                                           ROJO NEGR</v>
      </c>
      <c r="G24" s="126">
        <f>+SUMIF(DATOS!$Z$1:$Z$3501,"="&amp;Tabla1[[#This Row],[Referencia-Color]],DATOS!$V$1:$V$3501)</f>
        <v>0</v>
      </c>
      <c r="H24" s="122">
        <f>+Tabla1[[#This Row],[Disponibilidad Real]]-Tabla1[[#This Row],[Programación]]</f>
        <v>75</v>
      </c>
      <c r="M24" s="95"/>
    </row>
    <row r="25" spans="1:13" ht="15">
      <c r="A25" s="137" t="s">
        <v>23</v>
      </c>
      <c r="B25" s="137" t="s">
        <v>1427</v>
      </c>
      <c r="C25" s="30">
        <v>3</v>
      </c>
      <c r="D25" s="194">
        <v>0</v>
      </c>
      <c r="E25" s="152">
        <f>+Tabla1[[#This Row],[Total]]-Tabla1[[#This Row],[Programacion dia anterior]]</f>
        <v>3</v>
      </c>
      <c r="F25" s="122" t="str">
        <f t="shared" si="0"/>
        <v>CLICK 125i                                        AZUL VICT</v>
      </c>
      <c r="G25" s="126">
        <f>+SUMIF(DATOS!$Z$1:$Z$3501,"="&amp;Tabla1[[#This Row],[Referencia-Color]],DATOS!$V$1:$V$3501)</f>
        <v>0</v>
      </c>
      <c r="H25" s="122">
        <f>+Tabla1[[#This Row],[Disponibilidad Real]]-Tabla1[[#This Row],[Programación]]</f>
        <v>3</v>
      </c>
      <c r="M25" s="95"/>
    </row>
    <row r="26" spans="1:13" ht="15">
      <c r="A26" s="137" t="s">
        <v>25</v>
      </c>
      <c r="B26" s="137" t="s">
        <v>31</v>
      </c>
      <c r="C26" s="30">
        <v>9</v>
      </c>
      <c r="D26" s="194">
        <v>1</v>
      </c>
      <c r="E26" s="152">
        <f>+Tabla1[[#This Row],[Total]]-Tabla1[[#This Row],[Programacion dia anterior]]</f>
        <v>8</v>
      </c>
      <c r="F26" s="122" t="str">
        <f t="shared" si="0"/>
        <v>DIO 110                                           AZUL BLAN</v>
      </c>
      <c r="G26" s="126">
        <f>+SUMIF(DATOS!$Z$1:$Z$3501,"="&amp;Tabla1[[#This Row],[Referencia-Color]],DATOS!$V$1:$V$3501)</f>
        <v>0</v>
      </c>
      <c r="H26" s="122">
        <f>+Tabla1[[#This Row],[Disponibilidad Real]]-Tabla1[[#This Row],[Programación]]</f>
        <v>8</v>
      </c>
      <c r="M26" s="95"/>
    </row>
    <row r="27" spans="1:13" ht="15">
      <c r="A27" s="137" t="s">
        <v>25</v>
      </c>
      <c r="B27" s="137" t="s">
        <v>26</v>
      </c>
      <c r="C27" s="30">
        <v>15</v>
      </c>
      <c r="D27" s="194">
        <v>0</v>
      </c>
      <c r="E27" s="152">
        <f>+Tabla1[[#This Row],[Total]]-Tabla1[[#This Row],[Programacion dia anterior]]</f>
        <v>15</v>
      </c>
      <c r="F27" s="122" t="str">
        <f t="shared" si="0"/>
        <v>DIO 110                                           NEGRO BLA</v>
      </c>
      <c r="G27" s="126">
        <f>+SUMIF(DATOS!$Z$1:$Z$3501,"="&amp;Tabla1[[#This Row],[Referencia-Color]],DATOS!$V$1:$V$3501)</f>
        <v>0</v>
      </c>
      <c r="H27" s="122">
        <f>+Tabla1[[#This Row],[Disponibilidad Real]]-Tabla1[[#This Row],[Programación]]</f>
        <v>15</v>
      </c>
      <c r="M27" s="95"/>
    </row>
    <row r="28" spans="1:13" ht="15">
      <c r="A28" s="137" t="s">
        <v>25</v>
      </c>
      <c r="B28" s="137" t="s">
        <v>1422</v>
      </c>
      <c r="C28" s="30">
        <v>3</v>
      </c>
      <c r="D28" s="194">
        <v>0</v>
      </c>
      <c r="E28" s="152">
        <f>+Tabla1[[#This Row],[Total]]-Tabla1[[#This Row],[Programacion dia anterior]]</f>
        <v>3</v>
      </c>
      <c r="F28" s="122" t="str">
        <f t="shared" si="0"/>
        <v>DIO 110                                           ROJO BLAN</v>
      </c>
      <c r="G28" s="126">
        <f>+SUMIF(DATOS!$Z$1:$Z$3501,"="&amp;Tabla1[[#This Row],[Referencia-Color]],DATOS!$V$1:$V$3501)</f>
        <v>0</v>
      </c>
      <c r="H28" s="122">
        <f>+Tabla1[[#This Row],[Disponibilidad Real]]-Tabla1[[#This Row],[Programación]]</f>
        <v>3</v>
      </c>
      <c r="M28" s="95"/>
    </row>
    <row r="29" spans="1:13" ht="15">
      <c r="A29" s="137" t="s">
        <v>1428</v>
      </c>
      <c r="B29" s="137" t="s">
        <v>1429</v>
      </c>
      <c r="C29" s="30">
        <v>20</v>
      </c>
      <c r="D29" s="194">
        <v>20</v>
      </c>
      <c r="E29" s="152">
        <f>+Tabla1[[#This Row],[Total]]-Tabla1[[#This Row],[Programacion dia anterior]]</f>
        <v>0</v>
      </c>
      <c r="F29" s="122" t="str">
        <f t="shared" si="0"/>
        <v>DREAM  NEO                                        NEGRO AZU</v>
      </c>
      <c r="G29" s="126">
        <f>+SUMIF(DATOS!$Z$1:$Z$3501,"="&amp;Tabla1[[#This Row],[Referencia-Color]],DATOS!$V$1:$V$3501)</f>
        <v>0</v>
      </c>
      <c r="H29" s="122">
        <f>+Tabla1[[#This Row],[Disponibilidad Real]]-Tabla1[[#This Row],[Programación]]</f>
        <v>0</v>
      </c>
      <c r="M29" s="95"/>
    </row>
    <row r="30" spans="1:13" ht="15">
      <c r="A30" s="137" t="s">
        <v>1428</v>
      </c>
      <c r="B30" s="137" t="s">
        <v>32</v>
      </c>
      <c r="C30" s="30">
        <v>16</v>
      </c>
      <c r="D30" s="194">
        <v>16</v>
      </c>
      <c r="E30" s="152">
        <f>+Tabla1[[#This Row],[Total]]-Tabla1[[#This Row],[Programacion dia anterior]]</f>
        <v>0</v>
      </c>
      <c r="F30" s="122" t="str">
        <f t="shared" si="0"/>
        <v>DREAM  NEO                                        NEGRO ROJ</v>
      </c>
      <c r="G30" s="126">
        <f>+SUMIF(DATOS!$Z$1:$Z$3501,"="&amp;Tabla1[[#This Row],[Referencia-Color]],DATOS!$V$1:$V$3501)</f>
        <v>0</v>
      </c>
      <c r="H30" s="122">
        <f>+Tabla1[[#This Row],[Disponibilidad Real]]-Tabla1[[#This Row],[Programación]]</f>
        <v>0</v>
      </c>
      <c r="M30" s="95"/>
    </row>
    <row r="31" spans="1:13" ht="15">
      <c r="A31" s="137" t="s">
        <v>1430</v>
      </c>
      <c r="B31" s="137" t="s">
        <v>16</v>
      </c>
      <c r="C31" s="30">
        <v>7</v>
      </c>
      <c r="D31" s="194">
        <v>7</v>
      </c>
      <c r="E31" s="152">
        <f>+Tabla1[[#This Row],[Total]]-Tabla1[[#This Row],[Programacion dia anterior]]</f>
        <v>0</v>
      </c>
      <c r="F31" s="122" t="str">
        <f>+A31&amp;B31</f>
        <v xml:space="preserve">WAVE 110S                                         NEGRO    </v>
      </c>
      <c r="G31" s="126">
        <f>+SUMIF(DATOS!$Z$1:$Z$3501,"="&amp;Tabla1[[#This Row],[Referencia-Color]],DATOS!$V$1:$V$3501)</f>
        <v>0</v>
      </c>
      <c r="H31" s="122">
        <f>+Tabla1[[#This Row],[Disponibilidad Real]]-Tabla1[[#This Row],[Programación]]</f>
        <v>0</v>
      </c>
      <c r="M31" s="95"/>
    </row>
    <row r="32" spans="1:13" ht="15">
      <c r="A32" s="137" t="s">
        <v>1430</v>
      </c>
      <c r="B32" s="137" t="s">
        <v>1431</v>
      </c>
      <c r="C32" s="30">
        <v>8</v>
      </c>
      <c r="D32" s="194">
        <v>8</v>
      </c>
      <c r="E32" s="152">
        <f>+Tabla1[[#This Row],[Total]]-Tabla1[[#This Row],[Programacion dia anterior]]</f>
        <v>0</v>
      </c>
      <c r="F32" s="122" t="str">
        <f t="shared" si="0"/>
        <v xml:space="preserve">WAVE 110S                                         ROJO     </v>
      </c>
      <c r="G32" s="126">
        <f>+SUMIF(DATOS!$Z$1:$Z$3501,"="&amp;Tabla1[[#This Row],[Referencia-Color]],DATOS!$V$1:$V$3501)</f>
        <v>0</v>
      </c>
      <c r="H32" s="122">
        <f>+Tabla1[[#This Row],[Disponibilidad Real]]-Tabla1[[#This Row],[Programación]]</f>
        <v>0</v>
      </c>
      <c r="M32" s="95"/>
    </row>
    <row r="33" spans="1:13" ht="15">
      <c r="A33" s="137" t="s">
        <v>1430</v>
      </c>
      <c r="B33" s="137" t="s">
        <v>1432</v>
      </c>
      <c r="C33" s="30">
        <v>29</v>
      </c>
      <c r="D33" s="194">
        <v>6</v>
      </c>
      <c r="E33" s="152">
        <f>+Tabla1[[#This Row],[Total]]-Tabla1[[#This Row],[Programacion dia anterior]]</f>
        <v>23</v>
      </c>
      <c r="F33" s="122" t="str">
        <f t="shared" si="0"/>
        <v xml:space="preserve">WAVE 110S                                         BLANCO   </v>
      </c>
      <c r="G33" s="126">
        <f>+SUMIF(DATOS!$Z$1:$Z$3501,"="&amp;Tabla1[[#This Row],[Referencia-Color]],DATOS!$V$1:$V$3501)</f>
        <v>0</v>
      </c>
      <c r="H33" s="122">
        <f>+Tabla1[[#This Row],[Disponibilidad Real]]-Tabla1[[#This Row],[Programación]]</f>
        <v>23</v>
      </c>
      <c r="M33" s="95"/>
    </row>
    <row r="34" spans="1:13" ht="15">
      <c r="A34" s="137" t="s">
        <v>354</v>
      </c>
      <c r="B34" s="137" t="s">
        <v>44</v>
      </c>
      <c r="C34" s="30">
        <v>16</v>
      </c>
      <c r="D34" s="194">
        <v>10</v>
      </c>
      <c r="E34" s="152">
        <f>+Tabla1[[#This Row],[Total]]-Tabla1[[#This Row],[Programacion dia anterior]]</f>
        <v>6</v>
      </c>
      <c r="F34" s="122" t="str">
        <f t="shared" si="0"/>
        <v>CB 160F DLX                                       BLANCO PE</v>
      </c>
      <c r="G34" s="126">
        <f>+SUMIF(DATOS!$Z$1:$Z$3501,"="&amp;Tabla1[[#This Row],[Referencia-Color]],DATOS!$V$1:$V$3501)</f>
        <v>0</v>
      </c>
      <c r="H34" s="122">
        <f>+Tabla1[[#This Row],[Disponibilidad Real]]-Tabla1[[#This Row],[Programación]]</f>
        <v>6</v>
      </c>
      <c r="M34" s="95"/>
    </row>
    <row r="35" spans="1:13" ht="15">
      <c r="A35" s="137" t="s">
        <v>354</v>
      </c>
      <c r="B35" s="137" t="s">
        <v>355</v>
      </c>
      <c r="C35" s="30">
        <v>5</v>
      </c>
      <c r="D35" s="194">
        <v>5</v>
      </c>
      <c r="E35" s="152">
        <f>+Tabla1[[#This Row],[Total]]-Tabla1[[#This Row],[Programacion dia anterior]]</f>
        <v>0</v>
      </c>
      <c r="F35" s="122" t="str">
        <f t="shared" si="0"/>
        <v>CB 160F DLX                                       NEGRO PER</v>
      </c>
      <c r="G35" s="126">
        <f>+SUMIF(DATOS!$Z$1:$Z$3501,"="&amp;Tabla1[[#This Row],[Referencia-Color]],DATOS!$V$1:$V$3501)</f>
        <v>0</v>
      </c>
      <c r="H35" s="122">
        <f>+Tabla1[[#This Row],[Disponibilidad Real]]-Tabla1[[#This Row],[Programación]]</f>
        <v>0</v>
      </c>
      <c r="M35" s="95"/>
    </row>
    <row r="36" spans="1:13" ht="15">
      <c r="A36" s="137" t="s">
        <v>354</v>
      </c>
      <c r="B36" s="137" t="s">
        <v>17</v>
      </c>
      <c r="C36" s="30">
        <v>52</v>
      </c>
      <c r="D36" s="194">
        <v>3</v>
      </c>
      <c r="E36" s="152">
        <f>+Tabla1[[#This Row],[Total]]-Tabla1[[#This Row],[Programacion dia anterior]]</f>
        <v>49</v>
      </c>
      <c r="F36" s="122" t="str">
        <f t="shared" ref="F36:F66" si="1">+A36&amp;B36</f>
        <v>CB 160F DLX                                       ROJO SPOR</v>
      </c>
      <c r="G36" s="126">
        <f>+SUMIF(DATOS!$Z$1:$Z$3501,"="&amp;Tabla1[[#This Row],[Referencia-Color]],DATOS!$V$1:$V$3501)</f>
        <v>1</v>
      </c>
      <c r="H36" s="122">
        <f>+Tabla1[[#This Row],[Disponibilidad Real]]-Tabla1[[#This Row],[Programación]]</f>
        <v>48</v>
      </c>
      <c r="M36" s="95"/>
    </row>
    <row r="37" spans="1:13" ht="15">
      <c r="A37" s="137" t="s">
        <v>354</v>
      </c>
      <c r="B37" s="137" t="s">
        <v>474</v>
      </c>
      <c r="C37" s="30">
        <v>14</v>
      </c>
      <c r="D37" s="194">
        <v>10</v>
      </c>
      <c r="E37" s="152">
        <f>+Tabla1[[#This Row],[Total]]-Tabla1[[#This Row],[Programacion dia anterior]]</f>
        <v>4</v>
      </c>
      <c r="F37" s="122" t="str">
        <f t="shared" si="1"/>
        <v>CB 160F DLX                                       NARANJA N</v>
      </c>
      <c r="G37" s="126">
        <f>+SUMIF(DATOS!$Z$1:$Z$3501,"="&amp;Tabla1[[#This Row],[Referencia-Color]],DATOS!$V$1:$V$3501)</f>
        <v>1</v>
      </c>
      <c r="H37" s="122">
        <f>+Tabla1[[#This Row],[Disponibilidad Real]]-Tabla1[[#This Row],[Programación]]</f>
        <v>3</v>
      </c>
      <c r="M37" s="95"/>
    </row>
    <row r="38" spans="1:13" ht="15">
      <c r="A38" s="137" t="s">
        <v>1433</v>
      </c>
      <c r="B38" s="137" t="s">
        <v>1431</v>
      </c>
      <c r="C38" s="30">
        <v>8</v>
      </c>
      <c r="D38" s="194">
        <v>8</v>
      </c>
      <c r="E38" s="152">
        <f>+Tabla1[[#This Row],[Total]]-Tabla1[[#This Row],[Programacion dia anterior]]</f>
        <v>0</v>
      </c>
      <c r="F38" s="122" t="str">
        <f t="shared" si="1"/>
        <v xml:space="preserve">DIO  110                                          ROJO     </v>
      </c>
      <c r="G38" s="126">
        <f>+SUMIF(DATOS!$Z$1:$Z$3501,"="&amp;Tabla1[[#This Row],[Referencia-Color]],DATOS!$V$1:$V$3501)</f>
        <v>0</v>
      </c>
      <c r="H38" s="122">
        <f>+Tabla1[[#This Row],[Disponibilidad Real]]-Tabla1[[#This Row],[Programación]]</f>
        <v>0</v>
      </c>
      <c r="M38" s="95"/>
    </row>
    <row r="39" spans="1:13" ht="15">
      <c r="A39" s="137" t="s">
        <v>1433</v>
      </c>
      <c r="B39" s="137" t="s">
        <v>1434</v>
      </c>
      <c r="C39" s="30">
        <v>29</v>
      </c>
      <c r="D39" s="194">
        <v>6</v>
      </c>
      <c r="E39" s="152">
        <f>+Tabla1[[#This Row],[Total]]-Tabla1[[#This Row],[Programacion dia anterior]]</f>
        <v>23</v>
      </c>
      <c r="F39" s="122" t="str">
        <f t="shared" si="1"/>
        <v>DIO  110                                          BLANCO NE</v>
      </c>
      <c r="G39" s="126">
        <f>+SUMIF(DATOS!$Z$1:$Z$3501,"="&amp;Tabla1[[#This Row],[Referencia-Color]],DATOS!$V$1:$V$3501)</f>
        <v>0</v>
      </c>
      <c r="H39" s="122">
        <f>+Tabla1[[#This Row],[Disponibilidad Real]]-Tabla1[[#This Row],[Programación]]</f>
        <v>23</v>
      </c>
      <c r="M39" s="95"/>
    </row>
    <row r="40" spans="1:13" ht="15">
      <c r="A40" s="137" t="s">
        <v>1435</v>
      </c>
      <c r="B40" s="137" t="s">
        <v>16</v>
      </c>
      <c r="C40" s="30">
        <v>27</v>
      </c>
      <c r="D40" s="194">
        <v>0</v>
      </c>
      <c r="E40" s="152">
        <f>+Tabla1[[#This Row],[Total]]-Tabla1[[#This Row],[Programacion dia anterior]]</f>
        <v>27</v>
      </c>
      <c r="F40" s="122" t="str">
        <f t="shared" si="1"/>
        <v xml:space="preserve">CBR 250RD                                         NEGRO    </v>
      </c>
      <c r="G40" s="126">
        <f>+SUMIF(DATOS!$Z$1:$Z$3501,"="&amp;Tabla1[[#This Row],[Referencia-Color]],DATOS!$V$1:$V$3501)</f>
        <v>0</v>
      </c>
      <c r="H40" s="122">
        <f>+Tabla1[[#This Row],[Disponibilidad Real]]-Tabla1[[#This Row],[Programación]]</f>
        <v>27</v>
      </c>
      <c r="M40" s="95"/>
    </row>
    <row r="41" spans="1:13" ht="15">
      <c r="A41" s="137" t="s">
        <v>1435</v>
      </c>
      <c r="B41" s="137" t="s">
        <v>1431</v>
      </c>
      <c r="C41" s="30">
        <v>109</v>
      </c>
      <c r="D41" s="194">
        <v>0</v>
      </c>
      <c r="E41" s="152">
        <f>+Tabla1[[#This Row],[Total]]-Tabla1[[#This Row],[Programacion dia anterior]]</f>
        <v>109</v>
      </c>
      <c r="F41" s="122" t="str">
        <f t="shared" si="1"/>
        <v xml:space="preserve">CBR 250RD                                         ROJO     </v>
      </c>
      <c r="G41" s="126">
        <f>+SUMIF(DATOS!$Z$1:$Z$3501,"="&amp;Tabla1[[#This Row],[Referencia-Color]],DATOS!$V$1:$V$3501)</f>
        <v>0</v>
      </c>
      <c r="H41" s="122">
        <f>+Tabla1[[#This Row],[Disponibilidad Real]]-Tabla1[[#This Row],[Programación]]</f>
        <v>109</v>
      </c>
      <c r="M41" s="95"/>
    </row>
    <row r="42" spans="1:13" ht="15">
      <c r="A42" s="137" t="s">
        <v>1436</v>
      </c>
      <c r="B42" s="137" t="s">
        <v>16</v>
      </c>
      <c r="C42" s="30">
        <v>25</v>
      </c>
      <c r="D42" s="194">
        <v>0</v>
      </c>
      <c r="E42" s="152">
        <f>+Tabla1[[#This Row],[Total]]-Tabla1[[#This Row],[Programacion dia anterior]]</f>
        <v>25</v>
      </c>
      <c r="F42" s="122" t="str">
        <f t="shared" si="1"/>
        <v xml:space="preserve">CB 250 TWISTER                                    NEGRO    </v>
      </c>
      <c r="G42" s="126">
        <f>+SUMIF(DATOS!$Z$1:$Z$3501,"="&amp;Tabla1[[#This Row],[Referencia-Color]],DATOS!$V$1:$V$3501)</f>
        <v>0</v>
      </c>
      <c r="H42" s="122">
        <f>+Tabla1[[#This Row],[Disponibilidad Real]]-Tabla1[[#This Row],[Programación]]</f>
        <v>25</v>
      </c>
      <c r="M42" s="95"/>
    </row>
    <row r="43" spans="1:13" ht="15">
      <c r="A43" s="137" t="s">
        <v>1436</v>
      </c>
      <c r="B43" s="137" t="s">
        <v>1431</v>
      </c>
      <c r="C43" s="30">
        <v>22</v>
      </c>
      <c r="D43" s="194">
        <v>0</v>
      </c>
      <c r="E43" s="152">
        <f>+Tabla1[[#This Row],[Total]]-Tabla1[[#This Row],[Programacion dia anterior]]</f>
        <v>22</v>
      </c>
      <c r="F43" s="122" t="str">
        <f t="shared" si="1"/>
        <v xml:space="preserve">CB 250 TWISTER                                    ROJO     </v>
      </c>
      <c r="G43" s="126">
        <f>+SUMIF(DATOS!$Z$1:$Z$3501,"="&amp;Tabla1[[#This Row],[Referencia-Color]],DATOS!$V$1:$V$3501)</f>
        <v>0</v>
      </c>
      <c r="H43" s="122">
        <f>+Tabla1[[#This Row],[Disponibilidad Real]]-Tabla1[[#This Row],[Programación]]</f>
        <v>22</v>
      </c>
      <c r="M43" s="95"/>
    </row>
    <row r="44" spans="1:13" ht="15">
      <c r="A44" s="137" t="s">
        <v>1436</v>
      </c>
      <c r="B44" s="137" t="s">
        <v>1432</v>
      </c>
      <c r="C44" s="30">
        <v>11</v>
      </c>
      <c r="D44" s="194">
        <v>0</v>
      </c>
      <c r="E44" s="152">
        <f>+Tabla1[[#This Row],[Total]]-Tabla1[[#This Row],[Programacion dia anterior]]</f>
        <v>11</v>
      </c>
      <c r="F44" s="122" t="str">
        <f t="shared" si="1"/>
        <v xml:space="preserve">CB 250 TWISTER                                    BLANCO   </v>
      </c>
      <c r="G44" s="126">
        <f>+SUMIF(DATOS!$Z$1:$Z$3501,"="&amp;Tabla1[[#This Row],[Referencia-Color]],DATOS!$V$1:$V$3501)</f>
        <v>0</v>
      </c>
      <c r="H44" s="122">
        <f>+Tabla1[[#This Row],[Disponibilidad Real]]-Tabla1[[#This Row],[Programación]]</f>
        <v>11</v>
      </c>
      <c r="M44" s="95"/>
    </row>
    <row r="45" spans="1:13" ht="15">
      <c r="A45" s="137" t="s">
        <v>1437</v>
      </c>
      <c r="B45" s="137" t="s">
        <v>1431</v>
      </c>
      <c r="C45" s="30">
        <v>1</v>
      </c>
      <c r="D45" s="194">
        <v>0</v>
      </c>
      <c r="E45" s="152">
        <f>+Tabla1[[#This Row],[Total]]-Tabla1[[#This Row],[Programacion dia anterior]]</f>
        <v>1</v>
      </c>
      <c r="F45" s="122" t="str">
        <f t="shared" si="1"/>
        <v xml:space="preserve">CRF 50FH                                          ROJO     </v>
      </c>
      <c r="G45" s="126">
        <f>+SUMIF(DATOS!$Z$1:$Z$3501,"="&amp;Tabla1[[#This Row],[Referencia-Color]],DATOS!$V$1:$V$3501)</f>
        <v>0</v>
      </c>
      <c r="H45" s="122">
        <f>+Tabla1[[#This Row],[Disponibilidad Real]]-Tabla1[[#This Row],[Programación]]</f>
        <v>1</v>
      </c>
      <c r="M45" s="95"/>
    </row>
    <row r="46" spans="1:13" ht="15">
      <c r="A46" s="137" t="s">
        <v>1438</v>
      </c>
      <c r="B46" s="137" t="s">
        <v>16</v>
      </c>
      <c r="C46" s="30">
        <v>40</v>
      </c>
      <c r="D46" s="194">
        <v>0</v>
      </c>
      <c r="E46" s="152">
        <f>+Tabla1[[#This Row],[Total]]-Tabla1[[#This Row],[Programacion dia anterior]]</f>
        <v>40</v>
      </c>
      <c r="F46" s="122" t="str">
        <f t="shared" si="1"/>
        <v xml:space="preserve">CBR250 RG                                         NEGRO    </v>
      </c>
      <c r="G46" s="126">
        <f>+SUMIF(DATOS!$Z$1:$Z$3501,"="&amp;Tabla1[[#This Row],[Referencia-Color]],DATOS!$V$1:$V$3501)</f>
        <v>0</v>
      </c>
      <c r="H46" s="122">
        <f>+Tabla1[[#This Row],[Disponibilidad Real]]-Tabla1[[#This Row],[Programación]]</f>
        <v>40</v>
      </c>
      <c r="M46" s="95"/>
    </row>
    <row r="47" spans="1:13" ht="15">
      <c r="A47" s="137" t="s">
        <v>1438</v>
      </c>
      <c r="B47" s="137" t="s">
        <v>1431</v>
      </c>
      <c r="C47" s="30">
        <v>20</v>
      </c>
      <c r="D47" s="194">
        <v>0</v>
      </c>
      <c r="E47" s="152">
        <f>+Tabla1[[#This Row],[Total]]-Tabla1[[#This Row],[Programacion dia anterior]]</f>
        <v>20</v>
      </c>
      <c r="F47" s="122" t="str">
        <f t="shared" si="1"/>
        <v xml:space="preserve">CBR250 RG                                         ROJO     </v>
      </c>
      <c r="G47" s="126">
        <f>+SUMIF(DATOS!$Z$1:$Z$3501,"="&amp;Tabla1[[#This Row],[Referencia-Color]],DATOS!$V$1:$V$3501)</f>
        <v>0</v>
      </c>
      <c r="H47" s="122">
        <f>+Tabla1[[#This Row],[Disponibilidad Real]]-Tabla1[[#This Row],[Programación]]</f>
        <v>20</v>
      </c>
      <c r="M47" s="95"/>
    </row>
    <row r="48" spans="1:13" ht="15">
      <c r="A48" s="137" t="s">
        <v>1439</v>
      </c>
      <c r="B48" s="137" t="s">
        <v>16</v>
      </c>
      <c r="C48" s="30">
        <v>69</v>
      </c>
      <c r="D48" s="194">
        <v>2</v>
      </c>
      <c r="E48" s="152">
        <f>+Tabla1[[#This Row],[Total]]-Tabla1[[#This Row],[Programacion dia anterior]]</f>
        <v>67</v>
      </c>
      <c r="F48" s="122" t="str">
        <f t="shared" si="1"/>
        <v xml:space="preserve">XRE 190                                           NEGRO    </v>
      </c>
      <c r="G48" s="126">
        <f>+SUMIF(DATOS!$Z$1:$Z$3501,"="&amp;Tabla1[[#This Row],[Referencia-Color]],DATOS!$V$1:$V$3501)</f>
        <v>0</v>
      </c>
      <c r="H48" s="122">
        <f>+Tabla1[[#This Row],[Disponibilidad Real]]-Tabla1[[#This Row],[Programación]]</f>
        <v>67</v>
      </c>
      <c r="M48" s="95"/>
    </row>
    <row r="49" spans="1:13" ht="15">
      <c r="A49" s="137" t="s">
        <v>1439</v>
      </c>
      <c r="B49" s="137" t="s">
        <v>1431</v>
      </c>
      <c r="C49" s="30">
        <v>31</v>
      </c>
      <c r="D49" s="194">
        <v>1</v>
      </c>
      <c r="E49" s="152">
        <f>+Tabla1[[#This Row],[Total]]-Tabla1[[#This Row],[Programacion dia anterior]]</f>
        <v>30</v>
      </c>
      <c r="F49" s="122" t="str">
        <f t="shared" si="1"/>
        <v xml:space="preserve">XRE 190                                           ROJO     </v>
      </c>
      <c r="G49" s="126">
        <f>+SUMIF(DATOS!$Z$1:$Z$3501,"="&amp;Tabla1[[#This Row],[Referencia-Color]],DATOS!$V$1:$V$3501)</f>
        <v>0</v>
      </c>
      <c r="H49" s="122">
        <f>+Tabla1[[#This Row],[Disponibilidad Real]]-Tabla1[[#This Row],[Programación]]</f>
        <v>30</v>
      </c>
      <c r="M49" s="95"/>
    </row>
    <row r="50" spans="1:13" ht="15">
      <c r="A50" s="137" t="s">
        <v>1440</v>
      </c>
      <c r="B50" s="137" t="s">
        <v>16</v>
      </c>
      <c r="C50" s="30">
        <v>1</v>
      </c>
      <c r="D50" s="194">
        <v>0</v>
      </c>
      <c r="E50" s="152">
        <f>+Tabla1[[#This Row],[Total]]-Tabla1[[#This Row],[Programacion dia anterior]]</f>
        <v>1</v>
      </c>
      <c r="F50" s="122" t="str">
        <f t="shared" si="1"/>
        <v xml:space="preserve">CBR 500RAH                                        NEGRO    </v>
      </c>
      <c r="G50" s="126">
        <f>+SUMIF(DATOS!$Z$1:$Z$3501,"="&amp;Tabla1[[#This Row],[Referencia-Color]],DATOS!$V$1:$V$3501)</f>
        <v>0</v>
      </c>
      <c r="H50" s="122">
        <f>+Tabla1[[#This Row],[Disponibilidad Real]]-Tabla1[[#This Row],[Programación]]</f>
        <v>1</v>
      </c>
      <c r="M50" s="95"/>
    </row>
    <row r="51" spans="1:13" ht="15">
      <c r="A51" s="137" t="s">
        <v>1440</v>
      </c>
      <c r="B51" s="137" t="s">
        <v>1432</v>
      </c>
      <c r="C51" s="30">
        <v>1</v>
      </c>
      <c r="D51" s="194">
        <v>0</v>
      </c>
      <c r="E51" s="152">
        <f>+Tabla1[[#This Row],[Total]]-Tabla1[[#This Row],[Programacion dia anterior]]</f>
        <v>1</v>
      </c>
      <c r="F51" s="122" t="str">
        <f t="shared" si="1"/>
        <v xml:space="preserve">CBR 500RAH                                        BLANCO   </v>
      </c>
      <c r="G51" s="126">
        <f>+SUMIF(DATOS!$Z$1:$Z$3501,"="&amp;Tabla1[[#This Row],[Referencia-Color]],DATOS!$V$1:$V$3501)</f>
        <v>0</v>
      </c>
      <c r="H51" s="122">
        <f>+Tabla1[[#This Row],[Disponibilidad Real]]-Tabla1[[#This Row],[Programación]]</f>
        <v>1</v>
      </c>
      <c r="M51" s="95"/>
    </row>
    <row r="52" spans="1:13" ht="15">
      <c r="A52" s="137" t="s">
        <v>1441</v>
      </c>
      <c r="B52" s="137" t="s">
        <v>1442</v>
      </c>
      <c r="C52" s="30">
        <v>2</v>
      </c>
      <c r="D52" s="194">
        <v>0</v>
      </c>
      <c r="E52" s="152">
        <f>+Tabla1[[#This Row],[Total]]-Tabla1[[#This Row],[Programacion dia anterior]]</f>
        <v>2</v>
      </c>
      <c r="F52" s="122" t="str">
        <f t="shared" si="1"/>
        <v xml:space="preserve">NC 750XAH                                         PLATA    </v>
      </c>
      <c r="G52" s="126">
        <f>+SUMIF(DATOS!$Z$1:$Z$3501,"="&amp;Tabla1[[#This Row],[Referencia-Color]],DATOS!$V$1:$V$3501)</f>
        <v>0</v>
      </c>
      <c r="H52" s="122">
        <f>+Tabla1[[#This Row],[Disponibilidad Real]]-Tabla1[[#This Row],[Programación]]</f>
        <v>2</v>
      </c>
      <c r="M52" s="95"/>
    </row>
    <row r="53" spans="1:13" ht="15">
      <c r="A53" s="137" t="s">
        <v>1441</v>
      </c>
      <c r="B53" s="137" t="s">
        <v>1443</v>
      </c>
      <c r="C53" s="30">
        <v>1</v>
      </c>
      <c r="D53" s="194">
        <v>0</v>
      </c>
      <c r="E53" s="152">
        <f>+Tabla1[[#This Row],[Total]]-Tabla1[[#This Row],[Programacion dia anterior]]</f>
        <v>1</v>
      </c>
      <c r="F53" s="122" t="str">
        <f t="shared" si="1"/>
        <v>NC 750XAH                                         BLANCO MA</v>
      </c>
      <c r="G53" s="126">
        <f>+SUMIF(DATOS!$Z$1:$Z$3501,"="&amp;Tabla1[[#This Row],[Referencia-Color]],DATOS!$V$1:$V$3501)</f>
        <v>0</v>
      </c>
      <c r="H53" s="122">
        <f>+Tabla1[[#This Row],[Disponibilidad Real]]-Tabla1[[#This Row],[Programación]]</f>
        <v>1</v>
      </c>
      <c r="M53" s="95"/>
    </row>
    <row r="54" spans="1:13" ht="15">
      <c r="A54" s="137" t="s">
        <v>1444</v>
      </c>
      <c r="B54" s="137" t="s">
        <v>1432</v>
      </c>
      <c r="C54" s="30">
        <v>1</v>
      </c>
      <c r="D54" s="194">
        <v>0</v>
      </c>
      <c r="E54" s="152">
        <f>+Tabla1[[#This Row],[Total]]-Tabla1[[#This Row],[Programacion dia anterior]]</f>
        <v>1</v>
      </c>
      <c r="F54" s="122" t="str">
        <f t="shared" si="1"/>
        <v xml:space="preserve">VFR 1200XH                                        BLANCO   </v>
      </c>
      <c r="G54" s="126">
        <f>+SUMIF(DATOS!$Z$1:$Z$3501,"="&amp;Tabla1[[#This Row],[Referencia-Color]],DATOS!$V$1:$V$3501)</f>
        <v>0</v>
      </c>
      <c r="H54" s="122">
        <f>+Tabla1[[#This Row],[Disponibilidad Real]]-Tabla1[[#This Row],[Programación]]</f>
        <v>1</v>
      </c>
      <c r="M54" s="95"/>
    </row>
    <row r="55" spans="1:13" ht="15">
      <c r="A55" s="137" t="s">
        <v>1445</v>
      </c>
      <c r="B55" s="137" t="s">
        <v>1431</v>
      </c>
      <c r="C55" s="30">
        <v>2</v>
      </c>
      <c r="D55" s="194">
        <v>0</v>
      </c>
      <c r="E55" s="152">
        <f>+Tabla1[[#This Row],[Total]]-Tabla1[[#This Row],[Programacion dia anterior]]</f>
        <v>2</v>
      </c>
      <c r="F55" s="122" t="str">
        <f t="shared" si="1"/>
        <v xml:space="preserve">XR 650LH                                          ROJO     </v>
      </c>
      <c r="G55" s="126">
        <f>+SUMIF(DATOS!$Z$1:$Z$3501,"="&amp;Tabla1[[#This Row],[Referencia-Color]],DATOS!$V$1:$V$3501)</f>
        <v>0</v>
      </c>
      <c r="H55" s="122">
        <f>+Tabla1[[#This Row],[Disponibilidad Real]]-Tabla1[[#This Row],[Programación]]</f>
        <v>2</v>
      </c>
      <c r="M55" s="95"/>
    </row>
    <row r="56" spans="1:13" ht="15">
      <c r="A56" s="137" t="s">
        <v>1446</v>
      </c>
      <c r="B56" s="137" t="s">
        <v>1431</v>
      </c>
      <c r="C56" s="30">
        <v>3</v>
      </c>
      <c r="D56" s="194">
        <v>0</v>
      </c>
      <c r="E56" s="152">
        <f>+Tabla1[[#This Row],[Total]]-Tabla1[[#This Row],[Programacion dia anterior]]</f>
        <v>3</v>
      </c>
      <c r="F56" s="122" t="str">
        <f t="shared" si="1"/>
        <v xml:space="preserve">CRF 150RBH                                        ROJO     </v>
      </c>
      <c r="G56" s="126">
        <f>+SUMIF(DATOS!$Z$1:$Z$3501,"="&amp;Tabla1[[#This Row],[Referencia-Color]],DATOS!$V$1:$V$3501)</f>
        <v>0</v>
      </c>
      <c r="H56" s="122">
        <f>+Tabla1[[#This Row],[Disponibilidad Real]]-Tabla1[[#This Row],[Programación]]</f>
        <v>3</v>
      </c>
      <c r="M56" s="95"/>
    </row>
    <row r="57" spans="1:13" ht="15">
      <c r="A57" s="137" t="s">
        <v>1447</v>
      </c>
      <c r="B57" s="137" t="s">
        <v>1233</v>
      </c>
      <c r="C57" s="30">
        <v>1</v>
      </c>
      <c r="D57" s="194">
        <v>0</v>
      </c>
      <c r="E57" s="152">
        <f>+Tabla1[[#This Row],[Total]]-Tabla1[[#This Row],[Programacion dia anterior]]</f>
        <v>1</v>
      </c>
      <c r="F57" s="122" t="str">
        <f t="shared" si="1"/>
        <v>CB 500XAH                                         NEGRO MAT</v>
      </c>
      <c r="G57" s="126">
        <f>+SUMIF(DATOS!$Z$1:$Z$3501,"="&amp;Tabla1[[#This Row],[Referencia-Color]],DATOS!$V$1:$V$3501)</f>
        <v>0</v>
      </c>
      <c r="H57" s="122">
        <f>+Tabla1[[#This Row],[Disponibilidad Real]]-Tabla1[[#This Row],[Programación]]</f>
        <v>1</v>
      </c>
    </row>
    <row r="58" spans="1:13" ht="15">
      <c r="A58" s="137" t="s">
        <v>1448</v>
      </c>
      <c r="B58" s="137" t="s">
        <v>1449</v>
      </c>
      <c r="C58" s="30">
        <v>57</v>
      </c>
      <c r="D58" s="194">
        <v>0</v>
      </c>
      <c r="E58" s="152">
        <f>+Tabla1[[#This Row],[Total]]-Tabla1[[#This Row],[Programacion dia anterior]]</f>
        <v>57</v>
      </c>
      <c r="F58" s="122" t="str">
        <f t="shared" si="1"/>
        <v xml:space="preserve">PCX 150                                           GRIS     </v>
      </c>
      <c r="G58" s="126">
        <f>+SUMIF(DATOS!$Z$1:$Z$3501,"="&amp;Tabla1[[#This Row],[Referencia-Color]],DATOS!$V$1:$V$3501)</f>
        <v>0</v>
      </c>
      <c r="H58" s="122">
        <f>+Tabla1[[#This Row],[Disponibilidad Real]]-Tabla1[[#This Row],[Programación]]</f>
        <v>57</v>
      </c>
    </row>
    <row r="59" spans="1:13" ht="15">
      <c r="A59" s="137" t="s">
        <v>1448</v>
      </c>
      <c r="B59" s="137" t="s">
        <v>1450</v>
      </c>
      <c r="C59" s="30">
        <v>62</v>
      </c>
      <c r="D59" s="194">
        <v>1</v>
      </c>
      <c r="E59" s="152">
        <f>+Tabla1[[#This Row],[Total]]-Tabla1[[#This Row],[Programacion dia anterior]]</f>
        <v>61</v>
      </c>
      <c r="F59" s="122" t="str">
        <f t="shared" si="1"/>
        <v xml:space="preserve">PCX 150                                           PLATEADO </v>
      </c>
      <c r="G59" s="126">
        <f>+SUMIF(DATOS!$Z$1:$Z$3501,"="&amp;Tabla1[[#This Row],[Referencia-Color]],DATOS!$V$1:$V$3501)</f>
        <v>0</v>
      </c>
      <c r="H59" s="122">
        <f>+Tabla1[[#This Row],[Disponibilidad Real]]-Tabla1[[#This Row],[Programación]]</f>
        <v>61</v>
      </c>
    </row>
    <row r="60" spans="1:13" ht="15">
      <c r="A60" s="137" t="s">
        <v>1451</v>
      </c>
      <c r="B60" s="137" t="s">
        <v>16</v>
      </c>
      <c r="C60" s="30">
        <v>67</v>
      </c>
      <c r="D60" s="194">
        <v>53</v>
      </c>
      <c r="E60" s="152">
        <f>+Tabla1[[#This Row],[Total]]-Tabla1[[#This Row],[Programacion dia anterior]]</f>
        <v>14</v>
      </c>
      <c r="F60" s="122" t="str">
        <f t="shared" si="1"/>
        <v xml:space="preserve">CB 110 DLX                                        NEGRO    </v>
      </c>
      <c r="G60" s="126">
        <f>+SUMIF(DATOS!$Z$1:$Z$3501,"="&amp;Tabla1[[#This Row],[Referencia-Color]],DATOS!$V$1:$V$3501)</f>
        <v>11</v>
      </c>
      <c r="H60" s="122">
        <f>+Tabla1[[#This Row],[Disponibilidad Real]]-Tabla1[[#This Row],[Programación]]</f>
        <v>3</v>
      </c>
    </row>
    <row r="61" spans="1:13" ht="15">
      <c r="A61" s="137" t="s">
        <v>1451</v>
      </c>
      <c r="B61" s="137" t="s">
        <v>1431</v>
      </c>
      <c r="C61" s="30">
        <v>33</v>
      </c>
      <c r="D61" s="194">
        <v>11</v>
      </c>
      <c r="E61" s="152">
        <f>+Tabla1[[#This Row],[Total]]-Tabla1[[#This Row],[Programacion dia anterior]]</f>
        <v>22</v>
      </c>
      <c r="F61" s="122" t="str">
        <f t="shared" si="1"/>
        <v xml:space="preserve">CB 110 DLX                                        ROJO     </v>
      </c>
      <c r="G61" s="126">
        <f>+SUMIF(DATOS!$Z$1:$Z$3501,"="&amp;Tabla1[[#This Row],[Referencia-Color]],DATOS!$V$1:$V$3501)</f>
        <v>1</v>
      </c>
      <c r="H61" s="122">
        <f>+Tabla1[[#This Row],[Disponibilidad Real]]-Tabla1[[#This Row],[Programación]]</f>
        <v>21</v>
      </c>
    </row>
    <row r="62" spans="1:13" ht="15">
      <c r="A62" s="137" t="s">
        <v>1451</v>
      </c>
      <c r="B62" s="137" t="s">
        <v>1452</v>
      </c>
      <c r="C62" s="30">
        <v>46</v>
      </c>
      <c r="D62" s="194">
        <v>19</v>
      </c>
      <c r="E62" s="152">
        <f>+Tabla1[[#This Row],[Total]]-Tabla1[[#This Row],[Programacion dia anterior]]</f>
        <v>27</v>
      </c>
      <c r="F62" s="122" t="str">
        <f t="shared" si="1"/>
        <v xml:space="preserve">CB 110 DLX                                        AZUL     </v>
      </c>
      <c r="G62" s="126">
        <f>+SUMIF(DATOS!$Z$1:$Z$3501,"="&amp;Tabla1[[#This Row],[Referencia-Color]],DATOS!$V$1:$V$3501)</f>
        <v>6</v>
      </c>
      <c r="H62" s="122">
        <f>+Tabla1[[#This Row],[Disponibilidad Real]]-Tabla1[[#This Row],[Programación]]</f>
        <v>21</v>
      </c>
    </row>
    <row r="63" spans="1:13" ht="15">
      <c r="A63" s="137" t="s">
        <v>1451</v>
      </c>
      <c r="B63" s="137" t="s">
        <v>1449</v>
      </c>
      <c r="C63" s="30">
        <v>45</v>
      </c>
      <c r="D63" s="194">
        <v>15</v>
      </c>
      <c r="E63" s="152">
        <f>+Tabla1[[#This Row],[Total]]-Tabla1[[#This Row],[Programacion dia anterior]]</f>
        <v>30</v>
      </c>
      <c r="F63" s="122" t="str">
        <f t="shared" si="1"/>
        <v xml:space="preserve">CB 110 DLX                                        GRIS     </v>
      </c>
      <c r="G63" s="126">
        <f>+SUMIF(DATOS!$Z$1:$Z$3501,"="&amp;Tabla1[[#This Row],[Referencia-Color]],DATOS!$V$1:$V$3501)</f>
        <v>6</v>
      </c>
      <c r="H63" s="122">
        <f>+Tabla1[[#This Row],[Disponibilidad Real]]-Tabla1[[#This Row],[Programación]]</f>
        <v>24</v>
      </c>
    </row>
    <row r="64" spans="1:13" ht="15">
      <c r="A64" s="137" t="s">
        <v>1453</v>
      </c>
      <c r="B64" s="137" t="s">
        <v>11</v>
      </c>
      <c r="C64" s="30">
        <v>3</v>
      </c>
      <c r="D64" s="194">
        <v>3</v>
      </c>
      <c r="E64" s="152">
        <f>+Tabla1[[#This Row],[Total]]-Tabla1[[#This Row],[Programacion dia anterior]]</f>
        <v>0</v>
      </c>
      <c r="F64" s="122" t="str">
        <f t="shared" si="1"/>
        <v>CB 190R INSTINTO R                                NEGRO ONI</v>
      </c>
      <c r="G64" s="126">
        <f>+SUMIF(DATOS!$Z$1:$Z$3501,"="&amp;Tabla1[[#This Row],[Referencia-Color]],DATOS!$V$1:$V$3501)</f>
        <v>0</v>
      </c>
      <c r="H64" s="122">
        <f>+Tabla1[[#This Row],[Disponibilidad Real]]-Tabla1[[#This Row],[Programación]]</f>
        <v>0</v>
      </c>
    </row>
    <row r="65" spans="1:8" ht="15">
      <c r="A65" s="137" t="s">
        <v>1454</v>
      </c>
      <c r="B65" s="137" t="s">
        <v>16</v>
      </c>
      <c r="C65" s="30"/>
      <c r="D65" s="194">
        <v>0</v>
      </c>
      <c r="E65" s="152">
        <f>+Tabla1[[#This Row],[Total]]-Tabla1[[#This Row],[Programacion dia anterior]]</f>
        <v>0</v>
      </c>
      <c r="F65" s="122" t="str">
        <f t="shared" si="1"/>
        <v xml:space="preserve">XRE  300                                          NEGRO    </v>
      </c>
      <c r="G65" s="126">
        <f>+SUMIF(DATOS!$Z$1:$Z$3501,"="&amp;Tabla1[[#This Row],[Referencia-Color]],DATOS!$V$1:$V$3501)</f>
        <v>0</v>
      </c>
      <c r="H65" s="122">
        <f>+Tabla1[[#This Row],[Disponibilidad Real]]-Tabla1[[#This Row],[Programación]]</f>
        <v>0</v>
      </c>
    </row>
    <row r="66" spans="1:8" ht="15">
      <c r="A66" s="137" t="s">
        <v>1454</v>
      </c>
      <c r="B66" s="137" t="s">
        <v>1455</v>
      </c>
      <c r="C66" s="30">
        <v>21</v>
      </c>
      <c r="D66" s="194">
        <v>2</v>
      </c>
      <c r="E66" s="152">
        <f>+Tabla1[[#This Row],[Total]]-Tabla1[[#This Row],[Programacion dia anterior]]</f>
        <v>19</v>
      </c>
      <c r="F66" s="123" t="str">
        <f t="shared" si="1"/>
        <v xml:space="preserve">XRE  300                                          VERDE    </v>
      </c>
      <c r="G66" s="126">
        <f>+SUMIF(DATOS!$Z$1:$Z$3501,"="&amp;Tabla1[[#This Row],[Referencia-Color]],DATOS!$V$1:$V$3501)</f>
        <v>0</v>
      </c>
      <c r="H66" s="122">
        <f>+Tabla1[[#This Row],[Disponibilidad Real]]-Tabla1[[#This Row],[Programación]]</f>
        <v>19</v>
      </c>
    </row>
    <row r="67" spans="1:8" ht="15">
      <c r="A67" s="137" t="s">
        <v>1456</v>
      </c>
      <c r="B67" s="137" t="s">
        <v>1457</v>
      </c>
      <c r="C67" s="30">
        <v>2</v>
      </c>
      <c r="D67" s="194">
        <v>0</v>
      </c>
      <c r="E67" s="152">
        <f>+Tabla1[[#This Row],[Total]]-Tabla1[[#This Row],[Programacion dia anterior]]</f>
        <v>2</v>
      </c>
      <c r="F67" s="153" t="str">
        <f>+A67&amp;B67</f>
        <v>CRF 1000DH                                        BLANCO AZ</v>
      </c>
      <c r="G67" s="153">
        <f>+SUMIF(DATOS!$Z$1:$Z$3501,"="&amp;Tabla1[[#This Row],[Referencia-Color]],DATOS!$V$1:$V$3501)</f>
        <v>0</v>
      </c>
      <c r="H67" s="153">
        <f>+Tabla1[[#This Row],[Disponibilidad Real]]-Tabla1[[#This Row],[Programación]]</f>
        <v>2</v>
      </c>
    </row>
    <row r="68" spans="1:8" ht="15">
      <c r="A68" s="137" t="s">
        <v>1456</v>
      </c>
      <c r="B68" s="137" t="s">
        <v>1422</v>
      </c>
      <c r="C68" s="30">
        <v>1</v>
      </c>
      <c r="D68" s="194">
        <v>0</v>
      </c>
      <c r="E68" s="164">
        <f>+Tabla1[[#This Row],[Total]]-Tabla1[[#This Row],[Programacion dia anterior]]</f>
        <v>1</v>
      </c>
      <c r="F68" s="163" t="str">
        <f t="shared" ref="F68:F81" si="2">+A68&amp;B68</f>
        <v>CRF 1000DH                                        ROJO BLAN</v>
      </c>
      <c r="G68" s="163">
        <f>+SUMIF(DATOS!$Z$1:$Z$3501,"="&amp;Tabla1[[#This Row],[Referencia-Color]],DATOS!$V$1:$V$3501)</f>
        <v>0</v>
      </c>
      <c r="H68" s="163">
        <f>+Tabla1[[#This Row],[Disponibilidad Real]]-Tabla1[[#This Row],[Programación]]</f>
        <v>1</v>
      </c>
    </row>
    <row r="69" spans="1:8" ht="15">
      <c r="A69" s="137" t="s">
        <v>1458</v>
      </c>
      <c r="B69" s="137" t="s">
        <v>1459</v>
      </c>
      <c r="C69" s="30">
        <v>1</v>
      </c>
      <c r="D69" s="194">
        <v>0</v>
      </c>
      <c r="E69" s="164">
        <f>+Tabla1[[#This Row],[Total]]-Tabla1[[#This Row],[Programacion dia anterior]]</f>
        <v>1</v>
      </c>
      <c r="F69" s="163" t="str">
        <f t="shared" si="2"/>
        <v>DIO                                               GRIS MATE</v>
      </c>
      <c r="G69" s="163">
        <f>+SUMIF(DATOS!$Z$1:$Z$3501,"="&amp;Tabla1[[#This Row],[Referencia-Color]],DATOS!$V$1:$V$3501)</f>
        <v>0</v>
      </c>
      <c r="H69" s="163">
        <f>+Tabla1[[#This Row],[Disponibilidad Real]]-Tabla1[[#This Row],[Programación]]</f>
        <v>1</v>
      </c>
    </row>
    <row r="70" spans="1:8" ht="15">
      <c r="A70" s="137" t="s">
        <v>1460</v>
      </c>
      <c r="B70" s="137" t="s">
        <v>1457</v>
      </c>
      <c r="C70" s="30">
        <v>1</v>
      </c>
      <c r="D70" s="194">
        <v>0</v>
      </c>
      <c r="E70" s="164">
        <f>+Tabla1[[#This Row],[Total]]-Tabla1[[#This Row],[Programacion dia anterior]]</f>
        <v>1</v>
      </c>
      <c r="F70" s="163" t="str">
        <f t="shared" si="2"/>
        <v>XRE 300 RALLY                                     BLANCO AZ</v>
      </c>
      <c r="G70" s="163">
        <f>+SUMIF(DATOS!$Z$1:$Z$3501,"="&amp;Tabla1[[#This Row],[Referencia-Color]],DATOS!$V$1:$V$3501)</f>
        <v>0</v>
      </c>
      <c r="H70" s="163">
        <f>+Tabla1[[#This Row],[Disponibilidad Real]]-Tabla1[[#This Row],[Programación]]</f>
        <v>1</v>
      </c>
    </row>
    <row r="71" spans="1:8" ht="15">
      <c r="A71" s="137"/>
      <c r="B71" s="137"/>
      <c r="C71" s="30"/>
      <c r="D71" s="194">
        <f>+IFERROR(VLOOKUP(Tabla1[[#This Row],[Referencia]]&amp;Tabla1[[#This Row],[Desc detalle ext 1]],Tabla5[],2,FALSE),0)</f>
        <v>0</v>
      </c>
      <c r="E71" s="164">
        <f>+Tabla1[[#This Row],[Total]]-Tabla1[[#This Row],[Programacion dia anterior]]</f>
        <v>0</v>
      </c>
      <c r="F71" s="163" t="str">
        <f t="shared" si="2"/>
        <v/>
      </c>
      <c r="G71" s="163">
        <f>+SUMIF(DATOS!$Z$1:$Z$3501,"="&amp;Tabla1[[#This Row],[Referencia-Color]],DATOS!$V$1:$V$3501)</f>
        <v>0</v>
      </c>
      <c r="H71" s="163">
        <f>+Tabla1[[#This Row],[Disponibilidad Real]]-Tabla1[[#This Row],[Programación]]</f>
        <v>0</v>
      </c>
    </row>
    <row r="72" spans="1:8" ht="15">
      <c r="A72" s="137"/>
      <c r="B72" s="137"/>
      <c r="C72" s="30"/>
      <c r="D72" s="194">
        <f>+IFERROR(VLOOKUP(Tabla1[[#This Row],[Referencia]]&amp;Tabla1[[#This Row],[Desc detalle ext 1]],Tabla5[],2,FALSE),0)</f>
        <v>0</v>
      </c>
      <c r="E72" s="164">
        <f>+Tabla1[[#This Row],[Total]]-Tabla1[[#This Row],[Programacion dia anterior]]</f>
        <v>0</v>
      </c>
      <c r="F72" s="163" t="str">
        <f t="shared" si="2"/>
        <v/>
      </c>
      <c r="G72" s="163">
        <f>+SUMIF(DATOS!$Z$1:$Z$3501,"="&amp;Tabla1[[#This Row],[Referencia-Color]],DATOS!$V$1:$V$3501)</f>
        <v>0</v>
      </c>
      <c r="H72" s="163">
        <f>+Tabla1[[#This Row],[Disponibilidad Real]]-Tabla1[[#This Row],[Programación]]</f>
        <v>0</v>
      </c>
    </row>
    <row r="73" spans="1:8" ht="15">
      <c r="A73" s="137"/>
      <c r="B73" s="137"/>
      <c r="C73" s="30"/>
      <c r="D73" s="194">
        <f>+IFERROR(VLOOKUP(Tabla1[[#This Row],[Referencia]]&amp;Tabla1[[#This Row],[Desc detalle ext 1]],Tabla5[],2,FALSE),0)</f>
        <v>0</v>
      </c>
      <c r="E73" s="164">
        <f>+Tabla1[[#This Row],[Total]]-Tabla1[[#This Row],[Programacion dia anterior]]</f>
        <v>0</v>
      </c>
      <c r="F73" s="163" t="str">
        <f t="shared" si="2"/>
        <v/>
      </c>
      <c r="G73" s="163">
        <f>+SUMIF(DATOS!$Z$1:$Z$3501,"="&amp;Tabla1[[#This Row],[Referencia-Color]],DATOS!$V$1:$V$3501)</f>
        <v>0</v>
      </c>
      <c r="H73" s="163">
        <f>+Tabla1[[#This Row],[Disponibilidad Real]]-Tabla1[[#This Row],[Programación]]</f>
        <v>0</v>
      </c>
    </row>
    <row r="74" spans="1:8" ht="15">
      <c r="A74" s="137"/>
      <c r="B74" s="137"/>
      <c r="C74" s="30"/>
      <c r="D74" s="194">
        <f>+IFERROR(VLOOKUP(Tabla1[[#This Row],[Referencia]]&amp;Tabla1[[#This Row],[Desc detalle ext 1]],Tabla5[],2,FALSE),0)</f>
        <v>0</v>
      </c>
      <c r="E74" s="164">
        <f>+Tabla1[[#This Row],[Total]]-Tabla1[[#This Row],[Programacion dia anterior]]</f>
        <v>0</v>
      </c>
      <c r="F74" s="163" t="str">
        <f t="shared" si="2"/>
        <v/>
      </c>
      <c r="G74" s="163">
        <f>+SUMIF(DATOS!$Z$1:$Z$3501,"="&amp;Tabla1[[#This Row],[Referencia-Color]],DATOS!$V$1:$V$3501)</f>
        <v>0</v>
      </c>
      <c r="H74" s="163">
        <f>+Tabla1[[#This Row],[Disponibilidad Real]]-Tabla1[[#This Row],[Programación]]</f>
        <v>0</v>
      </c>
    </row>
    <row r="75" spans="1:8" ht="15">
      <c r="A75" s="137"/>
      <c r="B75" s="137"/>
      <c r="C75" s="30"/>
      <c r="D75" s="194">
        <f>+IFERROR(VLOOKUP(Tabla1[[#This Row],[Referencia]]&amp;Tabla1[[#This Row],[Desc detalle ext 1]],Tabla5[],2,FALSE),0)</f>
        <v>0</v>
      </c>
      <c r="E75" s="164">
        <f>+Tabla1[[#This Row],[Total]]-Tabla1[[#This Row],[Programacion dia anterior]]</f>
        <v>0</v>
      </c>
      <c r="F75" s="163" t="str">
        <f t="shared" si="2"/>
        <v/>
      </c>
      <c r="G75" s="163">
        <f>+SUMIF(DATOS!$Z$1:$Z$3501,"="&amp;Tabla1[[#This Row],[Referencia-Color]],DATOS!$V$1:$V$3501)</f>
        <v>0</v>
      </c>
      <c r="H75" s="163">
        <f>+Tabla1[[#This Row],[Disponibilidad Real]]-Tabla1[[#This Row],[Programación]]</f>
        <v>0</v>
      </c>
    </row>
    <row r="76" spans="1:8" ht="15">
      <c r="A76" s="137"/>
      <c r="B76" s="137"/>
      <c r="C76" s="30"/>
      <c r="D76" s="194">
        <f>+IFERROR(VLOOKUP(Tabla1[[#This Row],[Referencia]]&amp;Tabla1[[#This Row],[Desc detalle ext 1]],Tabla5[],2,FALSE),0)</f>
        <v>0</v>
      </c>
      <c r="E76" s="164">
        <f>+Tabla1[[#This Row],[Total]]-Tabla1[[#This Row],[Programacion dia anterior]]</f>
        <v>0</v>
      </c>
      <c r="F76" s="163" t="str">
        <f t="shared" si="2"/>
        <v/>
      </c>
      <c r="G76" s="163">
        <f>+SUMIF(DATOS!$Z$1:$Z$3501,"="&amp;Tabla1[[#This Row],[Referencia-Color]],DATOS!$V$1:$V$3501)</f>
        <v>0</v>
      </c>
      <c r="H76" s="163">
        <f>+Tabla1[[#This Row],[Disponibilidad Real]]-Tabla1[[#This Row],[Programación]]</f>
        <v>0</v>
      </c>
    </row>
    <row r="77" spans="1:8" ht="15">
      <c r="A77" s="137"/>
      <c r="B77" s="137"/>
      <c r="C77" s="30"/>
      <c r="D77" s="194">
        <f>+IFERROR(VLOOKUP(Tabla1[[#This Row],[Referencia]]&amp;Tabla1[[#This Row],[Desc detalle ext 1]],Tabla5[],2,FALSE),0)</f>
        <v>0</v>
      </c>
      <c r="E77" s="164">
        <f>+Tabla1[[#This Row],[Total]]-Tabla1[[#This Row],[Programacion dia anterior]]</f>
        <v>0</v>
      </c>
      <c r="F77" s="163" t="str">
        <f t="shared" si="2"/>
        <v/>
      </c>
      <c r="G77" s="163">
        <f>+SUMIF(DATOS!$Z$1:$Z$3501,"="&amp;Tabla1[[#This Row],[Referencia-Color]],DATOS!$V$1:$V$3501)</f>
        <v>0</v>
      </c>
      <c r="H77" s="163">
        <f>+Tabla1[[#This Row],[Disponibilidad Real]]-Tabla1[[#This Row],[Programación]]</f>
        <v>0</v>
      </c>
    </row>
    <row r="78" spans="1:8" ht="15">
      <c r="A78" s="137"/>
      <c r="B78" s="137"/>
      <c r="C78" s="30"/>
      <c r="D78" s="194">
        <f>+IFERROR(VLOOKUP(Tabla1[[#This Row],[Referencia]]&amp;Tabla1[[#This Row],[Desc detalle ext 1]],Tabla5[],2,FALSE),0)</f>
        <v>0</v>
      </c>
      <c r="E78" s="164">
        <f>+Tabla1[[#This Row],[Total]]-Tabla1[[#This Row],[Programacion dia anterior]]</f>
        <v>0</v>
      </c>
      <c r="F78" s="163" t="str">
        <f t="shared" si="2"/>
        <v/>
      </c>
      <c r="G78" s="163">
        <f>+SUMIF(DATOS!$Z$1:$Z$3501,"="&amp;Tabla1[[#This Row],[Referencia-Color]],DATOS!$V$1:$V$3501)</f>
        <v>0</v>
      </c>
      <c r="H78" s="163">
        <f>+Tabla1[[#This Row],[Disponibilidad Real]]-Tabla1[[#This Row],[Programación]]</f>
        <v>0</v>
      </c>
    </row>
    <row r="79" spans="1:8" ht="15">
      <c r="A79" s="137"/>
      <c r="B79" s="137"/>
      <c r="C79" s="30"/>
      <c r="D79" s="194">
        <f>+IFERROR(VLOOKUP(Tabla1[[#This Row],[Referencia]]&amp;Tabla1[[#This Row],[Desc detalle ext 1]],Tabla5[],2,FALSE),0)</f>
        <v>0</v>
      </c>
      <c r="E79" s="164">
        <f>+Tabla1[[#This Row],[Total]]-Tabla1[[#This Row],[Programacion dia anterior]]</f>
        <v>0</v>
      </c>
      <c r="F79" s="163" t="str">
        <f t="shared" si="2"/>
        <v/>
      </c>
      <c r="G79" s="163">
        <f>+SUMIF(DATOS!$Z$1:$Z$3501,"="&amp;Tabla1[[#This Row],[Referencia-Color]],DATOS!$V$1:$V$3501)</f>
        <v>0</v>
      </c>
      <c r="H79" s="163">
        <f>+Tabla1[[#This Row],[Disponibilidad Real]]-Tabla1[[#This Row],[Programación]]</f>
        <v>0</v>
      </c>
    </row>
    <row r="80" spans="1:8" ht="15">
      <c r="A80" s="137"/>
      <c r="B80" s="137"/>
      <c r="C80" s="30"/>
      <c r="D80" s="194">
        <f>+IFERROR(VLOOKUP(Tabla1[[#This Row],[Referencia]]&amp;Tabla1[[#This Row],[Desc detalle ext 1]],Tabla5[],2,FALSE),0)</f>
        <v>0</v>
      </c>
      <c r="E80" s="164">
        <f>+Tabla1[[#This Row],[Total]]-Tabla1[[#This Row],[Programacion dia anterior]]</f>
        <v>0</v>
      </c>
      <c r="F80" s="163" t="str">
        <f t="shared" si="2"/>
        <v/>
      </c>
      <c r="G80" s="163">
        <f>+SUMIF(DATOS!$Z$1:$Z$3501,"="&amp;Tabla1[[#This Row],[Referencia-Color]],DATOS!$V$1:$V$3501)</f>
        <v>0</v>
      </c>
      <c r="H80" s="163">
        <f>+Tabla1[[#This Row],[Disponibilidad Real]]-Tabla1[[#This Row],[Programación]]</f>
        <v>0</v>
      </c>
    </row>
    <row r="81" spans="1:8" ht="15">
      <c r="A81" s="137"/>
      <c r="B81" s="137"/>
      <c r="C81" s="30"/>
      <c r="D81" s="194">
        <f>+IFERROR(VLOOKUP(Tabla1[[#This Row],[Referencia]]&amp;Tabla1[[#This Row],[Desc detalle ext 1]],Tabla5[],2,FALSE),0)</f>
        <v>0</v>
      </c>
      <c r="E81" s="164">
        <f>+Tabla1[[#This Row],[Total]]-Tabla1[[#This Row],[Programacion dia anterior]]</f>
        <v>0</v>
      </c>
      <c r="F81" s="163" t="str">
        <f t="shared" si="2"/>
        <v/>
      </c>
      <c r="G81" s="163">
        <f>+SUMIF(DATOS!$Z$1:$Z$3501,"="&amp;Tabla1[[#This Row],[Referencia-Color]],DATOS!$V$1:$V$3501)</f>
        <v>0</v>
      </c>
      <c r="H81" s="163">
        <f>+Tabla1[[#This Row],[Disponibilidad Real]]-Tabla1[[#This Row],[Programación]]</f>
        <v>0</v>
      </c>
    </row>
    <row r="82" spans="1:8" ht="15">
      <c r="A82" s="137"/>
      <c r="B82" s="137"/>
      <c r="C82" s="30"/>
    </row>
  </sheetData>
  <pageMargins left="0.7" right="0.7" top="0.75" bottom="0.75" header="0.3" footer="0.3"/>
  <ignoredErrors>
    <ignoredError sqref="D17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AEAF6"/>
  </sheetPr>
  <dimension ref="A1:O197"/>
  <sheetViews>
    <sheetView workbookViewId="0">
      <selection sqref="A1:A1048576"/>
    </sheetView>
  </sheetViews>
  <sheetFormatPr defaultColWidth="11.42578125" defaultRowHeight="12.75"/>
  <cols>
    <col min="1" max="1" width="11.42578125" style="88"/>
    <col min="2" max="2" width="17.28515625" style="88" customWidth="1"/>
    <col min="3" max="5" width="11.42578125" style="88"/>
    <col min="6" max="6" width="59" style="88" customWidth="1"/>
    <col min="7" max="7" width="12" style="88" customWidth="1"/>
    <col min="8" max="15" width="11.42578125" style="88"/>
    <col min="16" max="16384" width="11.42578125" style="89"/>
  </cols>
  <sheetData>
    <row r="1" spans="2:7">
      <c r="B1" s="252" t="s">
        <v>520</v>
      </c>
      <c r="C1" s="252"/>
      <c r="D1" s="252"/>
      <c r="F1" s="141" t="s">
        <v>516</v>
      </c>
      <c r="G1" s="106" t="s">
        <v>521</v>
      </c>
    </row>
    <row r="2" spans="2:7">
      <c r="B2" s="143" t="s">
        <v>523</v>
      </c>
      <c r="C2" s="143" t="s">
        <v>524</v>
      </c>
      <c r="D2" s="143" t="s">
        <v>282</v>
      </c>
      <c r="F2" s="142" t="s">
        <v>522</v>
      </c>
      <c r="G2" s="142" t="s">
        <v>515</v>
      </c>
    </row>
    <row r="3" spans="2:7">
      <c r="B3" s="140" t="s">
        <v>14</v>
      </c>
      <c r="C3" s="140" t="s">
        <v>15</v>
      </c>
      <c r="D3" s="140">
        <v>12</v>
      </c>
      <c r="F3" s="139" t="str">
        <f>+CONCATENATE(B3,C3)</f>
        <v>*CB-110                                           AZUL FIJI</v>
      </c>
      <c r="G3" s="90">
        <f>+D3</f>
        <v>12</v>
      </c>
    </row>
    <row r="4" spans="2:7">
      <c r="B4" s="140" t="s">
        <v>14</v>
      </c>
      <c r="C4" s="140" t="s">
        <v>16</v>
      </c>
      <c r="D4" s="140">
        <v>36</v>
      </c>
      <c r="F4" s="139" t="str">
        <f t="shared" ref="F4:F67" si="0">+CONCATENATE(B4,C4)</f>
        <v xml:space="preserve">*CB-110                                           NEGRO    </v>
      </c>
      <c r="G4" s="90">
        <f t="shared" ref="G4:G67" si="1">+D4</f>
        <v>36</v>
      </c>
    </row>
    <row r="5" spans="2:7">
      <c r="B5" s="140" t="s">
        <v>14</v>
      </c>
      <c r="C5" s="140" t="s">
        <v>17</v>
      </c>
      <c r="D5" s="140">
        <v>9</v>
      </c>
      <c r="F5" s="139" t="str">
        <f t="shared" si="0"/>
        <v>*CB-110                                           ROJO SPOR</v>
      </c>
      <c r="G5" s="90">
        <f t="shared" si="1"/>
        <v>9</v>
      </c>
    </row>
    <row r="6" spans="2:7">
      <c r="B6" s="140" t="s">
        <v>14</v>
      </c>
      <c r="C6" s="140" t="s">
        <v>1418</v>
      </c>
      <c r="D6" s="140">
        <v>2</v>
      </c>
      <c r="F6" s="139" t="str">
        <f t="shared" si="0"/>
        <v>*CB-110                                           VERDE CAN</v>
      </c>
      <c r="G6" s="90">
        <f t="shared" si="1"/>
        <v>2</v>
      </c>
    </row>
    <row r="7" spans="2:7">
      <c r="B7" s="140" t="s">
        <v>14</v>
      </c>
      <c r="C7" s="140" t="s">
        <v>1417</v>
      </c>
      <c r="D7" s="140">
        <v>17</v>
      </c>
      <c r="F7" s="139" t="str">
        <f t="shared" si="0"/>
        <v xml:space="preserve">*CB-110                                           GRIS MET </v>
      </c>
      <c r="G7" s="90">
        <f t="shared" si="1"/>
        <v>17</v>
      </c>
    </row>
    <row r="8" spans="2:7">
      <c r="B8" s="140" t="s">
        <v>28</v>
      </c>
      <c r="C8" s="140" t="s">
        <v>16</v>
      </c>
      <c r="D8" s="140">
        <v>1</v>
      </c>
      <c r="F8" s="139" t="str">
        <f t="shared" si="0"/>
        <v xml:space="preserve">*CBF-125 pt                                       NEGRO    </v>
      </c>
      <c r="G8" s="90">
        <f t="shared" si="1"/>
        <v>1</v>
      </c>
    </row>
    <row r="9" spans="2:7">
      <c r="B9" s="140" t="s">
        <v>18</v>
      </c>
      <c r="C9" s="140" t="s">
        <v>1419</v>
      </c>
      <c r="D9" s="140">
        <v>4</v>
      </c>
      <c r="F9" s="139" t="str">
        <f t="shared" si="0"/>
        <v>*INVICTA                                          AZUL NEON</v>
      </c>
      <c r="G9" s="90">
        <f t="shared" si="1"/>
        <v>4</v>
      </c>
    </row>
    <row r="10" spans="2:7">
      <c r="B10" s="140" t="s">
        <v>27</v>
      </c>
      <c r="C10" s="140" t="s">
        <v>16</v>
      </c>
      <c r="D10" s="140">
        <v>5</v>
      </c>
      <c r="F10" s="139" t="str">
        <f t="shared" si="0"/>
        <v xml:space="preserve">*XR 150L                                          NEGRO    </v>
      </c>
      <c r="G10" s="90">
        <f t="shared" si="1"/>
        <v>5</v>
      </c>
    </row>
    <row r="11" spans="2:7">
      <c r="B11" s="140" t="s">
        <v>27</v>
      </c>
      <c r="C11" s="140" t="s">
        <v>26</v>
      </c>
      <c r="D11" s="140">
        <v>26</v>
      </c>
      <c r="F11" s="139" t="str">
        <f t="shared" si="0"/>
        <v>*XR 150L                                          NEGRO BLA</v>
      </c>
      <c r="G11" s="90">
        <f t="shared" si="1"/>
        <v>26</v>
      </c>
    </row>
    <row r="12" spans="2:7">
      <c r="B12" s="140" t="s">
        <v>27</v>
      </c>
      <c r="C12" s="140" t="s">
        <v>32</v>
      </c>
      <c r="D12" s="140">
        <v>15</v>
      </c>
      <c r="F12" s="139" t="str">
        <f t="shared" si="0"/>
        <v>*XR 150L                                          NEGRO ROJ</v>
      </c>
      <c r="G12" s="90">
        <f t="shared" si="1"/>
        <v>15</v>
      </c>
    </row>
    <row r="13" spans="2:7">
      <c r="B13" s="140" t="s">
        <v>354</v>
      </c>
      <c r="C13" s="140" t="s">
        <v>44</v>
      </c>
      <c r="D13" s="140">
        <v>10</v>
      </c>
      <c r="F13" s="139" t="str">
        <f t="shared" si="0"/>
        <v>CB 160F DLX                                       BLANCO PE</v>
      </c>
      <c r="G13" s="90">
        <f t="shared" si="1"/>
        <v>10</v>
      </c>
    </row>
    <row r="14" spans="2:7">
      <c r="B14" s="140" t="s">
        <v>354</v>
      </c>
      <c r="C14" s="140" t="s">
        <v>474</v>
      </c>
      <c r="D14" s="140">
        <v>10</v>
      </c>
      <c r="F14" s="139" t="str">
        <f t="shared" si="0"/>
        <v>CB 160F DLX                                       NARANJA N</v>
      </c>
      <c r="G14" s="90">
        <f t="shared" si="1"/>
        <v>10</v>
      </c>
    </row>
    <row r="15" spans="2:7">
      <c r="B15" s="140" t="s">
        <v>354</v>
      </c>
      <c r="C15" s="140" t="s">
        <v>355</v>
      </c>
      <c r="D15" s="140">
        <v>5</v>
      </c>
      <c r="F15" s="139" t="str">
        <f t="shared" si="0"/>
        <v>CB 160F DLX                                       NEGRO PER</v>
      </c>
      <c r="G15" s="90">
        <f t="shared" si="1"/>
        <v>5</v>
      </c>
    </row>
    <row r="16" spans="2:7">
      <c r="B16" s="140" t="s">
        <v>354</v>
      </c>
      <c r="C16" s="140" t="s">
        <v>17</v>
      </c>
      <c r="D16" s="140">
        <v>3</v>
      </c>
      <c r="F16" s="139" t="str">
        <f t="shared" si="0"/>
        <v>CB 160F DLX                                       ROJO SPOR</v>
      </c>
      <c r="G16" s="90">
        <f t="shared" si="1"/>
        <v>3</v>
      </c>
    </row>
    <row r="17" spans="2:7">
      <c r="B17" s="140" t="s">
        <v>1234</v>
      </c>
      <c r="C17" s="140" t="s">
        <v>355</v>
      </c>
      <c r="D17" s="140">
        <v>5</v>
      </c>
      <c r="F17" s="139" t="str">
        <f t="shared" si="0"/>
        <v>CB 160F STD                                       NEGRO PER</v>
      </c>
      <c r="G17" s="90">
        <f t="shared" si="1"/>
        <v>5</v>
      </c>
    </row>
    <row r="18" spans="2:7">
      <c r="B18" s="140" t="s">
        <v>1234</v>
      </c>
      <c r="C18" s="140" t="s">
        <v>17</v>
      </c>
      <c r="D18" s="140">
        <v>2</v>
      </c>
      <c r="F18" s="139" t="str">
        <f t="shared" si="0"/>
        <v>CB 160F STD                                       ROJO SPOR</v>
      </c>
      <c r="G18" s="90">
        <f t="shared" si="1"/>
        <v>2</v>
      </c>
    </row>
    <row r="19" spans="2:7">
      <c r="B19" s="140" t="s">
        <v>1425</v>
      </c>
      <c r="C19" s="140" t="s">
        <v>1426</v>
      </c>
      <c r="D19" s="140">
        <v>9</v>
      </c>
      <c r="F19" s="139" t="str">
        <f t="shared" si="0"/>
        <v>CB 190 REPSOL                                     NARANJA B</v>
      </c>
      <c r="G19" s="90">
        <f t="shared" si="1"/>
        <v>9</v>
      </c>
    </row>
    <row r="20" spans="2:7">
      <c r="B20" s="140" t="s">
        <v>10</v>
      </c>
      <c r="C20" s="140" t="s">
        <v>11</v>
      </c>
      <c r="D20" s="140">
        <v>3</v>
      </c>
      <c r="F20" s="139" t="str">
        <f t="shared" si="0"/>
        <v>CB 190R                                           NEGRO ONI</v>
      </c>
      <c r="G20" s="90">
        <f t="shared" si="1"/>
        <v>3</v>
      </c>
    </row>
    <row r="21" spans="2:7">
      <c r="B21" s="140" t="s">
        <v>10</v>
      </c>
      <c r="C21" s="140" t="s">
        <v>13</v>
      </c>
      <c r="D21" s="140">
        <v>7</v>
      </c>
      <c r="F21" s="139" t="str">
        <f t="shared" si="0"/>
        <v>CB 190R                                           ROJO NEGR</v>
      </c>
      <c r="G21" s="90">
        <f t="shared" si="1"/>
        <v>7</v>
      </c>
    </row>
    <row r="22" spans="2:7">
      <c r="B22" s="140" t="s">
        <v>25</v>
      </c>
      <c r="C22" s="140" t="s">
        <v>31</v>
      </c>
      <c r="D22" s="140">
        <v>1</v>
      </c>
      <c r="F22" s="139" t="str">
        <f t="shared" si="0"/>
        <v>DIO 110                                           AZUL BLAN</v>
      </c>
      <c r="G22" s="90">
        <f t="shared" si="1"/>
        <v>1</v>
      </c>
    </row>
    <row r="23" spans="2:7">
      <c r="B23" s="140" t="s">
        <v>1439</v>
      </c>
      <c r="C23" s="140" t="s">
        <v>16</v>
      </c>
      <c r="D23" s="140">
        <v>2</v>
      </c>
      <c r="F23" s="139" t="str">
        <f t="shared" si="0"/>
        <v xml:space="preserve">XRE 190                                           NEGRO    </v>
      </c>
      <c r="G23" s="90">
        <f t="shared" si="1"/>
        <v>2</v>
      </c>
    </row>
    <row r="24" spans="2:7">
      <c r="B24" s="140" t="s">
        <v>1439</v>
      </c>
      <c r="C24" s="140" t="s">
        <v>1455</v>
      </c>
      <c r="D24" s="140">
        <v>1</v>
      </c>
      <c r="F24" s="139" t="str">
        <f t="shared" si="0"/>
        <v xml:space="preserve">XRE 190                                           VERDE    </v>
      </c>
      <c r="G24" s="90">
        <f t="shared" si="1"/>
        <v>1</v>
      </c>
    </row>
    <row r="25" spans="2:7">
      <c r="B25" s="140" t="s">
        <v>1439</v>
      </c>
      <c r="C25" s="140" t="s">
        <v>1431</v>
      </c>
      <c r="D25" s="140">
        <v>1</v>
      </c>
      <c r="F25" s="139" t="str">
        <f t="shared" si="0"/>
        <v xml:space="preserve">XRE 190                                           ROJO     </v>
      </c>
      <c r="G25" s="90">
        <f t="shared" si="1"/>
        <v>1</v>
      </c>
    </row>
    <row r="26" spans="2:7">
      <c r="B26" s="140" t="s">
        <v>1428</v>
      </c>
      <c r="C26" s="140" t="s">
        <v>32</v>
      </c>
      <c r="D26" s="140">
        <v>16</v>
      </c>
      <c r="F26" s="139" t="str">
        <f t="shared" si="0"/>
        <v>DREAM  NEO                                        NEGRO ROJ</v>
      </c>
      <c r="G26" s="90">
        <f t="shared" si="1"/>
        <v>16</v>
      </c>
    </row>
    <row r="27" spans="2:7">
      <c r="B27" s="140" t="s">
        <v>1428</v>
      </c>
      <c r="C27" s="140" t="s">
        <v>1429</v>
      </c>
      <c r="D27" s="140">
        <v>20</v>
      </c>
      <c r="F27" s="139" t="str">
        <f t="shared" si="0"/>
        <v>DREAM  NEO                                        NEGRO AZU</v>
      </c>
      <c r="G27" s="90">
        <f t="shared" si="1"/>
        <v>20</v>
      </c>
    </row>
    <row r="28" spans="2:7">
      <c r="B28" s="140" t="s">
        <v>1428</v>
      </c>
      <c r="C28" s="140" t="s">
        <v>1461</v>
      </c>
      <c r="D28" s="140">
        <v>10</v>
      </c>
      <c r="F28" s="139" t="str">
        <f t="shared" si="0"/>
        <v>DREAM  NEO                                        ROJO ALFA</v>
      </c>
      <c r="G28" s="90">
        <f t="shared" si="1"/>
        <v>10</v>
      </c>
    </row>
    <row r="29" spans="2:7">
      <c r="B29" s="140" t="s">
        <v>1454</v>
      </c>
      <c r="C29" s="140" t="s">
        <v>1455</v>
      </c>
      <c r="D29" s="140">
        <v>2</v>
      </c>
      <c r="F29" s="139" t="str">
        <f t="shared" si="0"/>
        <v xml:space="preserve">XRE  300                                          VERDE    </v>
      </c>
      <c r="G29" s="90">
        <f t="shared" si="1"/>
        <v>2</v>
      </c>
    </row>
    <row r="30" spans="2:7">
      <c r="B30" s="140" t="s">
        <v>1430</v>
      </c>
      <c r="C30" s="140" t="s">
        <v>16</v>
      </c>
      <c r="D30" s="140">
        <v>7</v>
      </c>
      <c r="F30" s="139" t="str">
        <f t="shared" si="0"/>
        <v xml:space="preserve">WAVE 110S                                         NEGRO    </v>
      </c>
      <c r="G30" s="90">
        <f t="shared" si="1"/>
        <v>7</v>
      </c>
    </row>
    <row r="31" spans="2:7">
      <c r="B31" s="140" t="s">
        <v>1430</v>
      </c>
      <c r="C31" s="140" t="s">
        <v>1432</v>
      </c>
      <c r="D31" s="140">
        <v>6</v>
      </c>
      <c r="F31" s="139" t="str">
        <f t="shared" si="0"/>
        <v xml:space="preserve">WAVE 110S                                         BLANCO   </v>
      </c>
      <c r="G31" s="90">
        <f t="shared" si="1"/>
        <v>6</v>
      </c>
    </row>
    <row r="32" spans="2:7">
      <c r="B32" s="140" t="s">
        <v>1430</v>
      </c>
      <c r="C32" s="140" t="s">
        <v>1431</v>
      </c>
      <c r="D32" s="140">
        <v>8</v>
      </c>
      <c r="F32" s="139" t="str">
        <f t="shared" si="0"/>
        <v xml:space="preserve">WAVE 110S                                         ROJO     </v>
      </c>
      <c r="G32" s="90">
        <f t="shared" si="1"/>
        <v>8</v>
      </c>
    </row>
    <row r="33" spans="2:7">
      <c r="B33" s="140" t="s">
        <v>1433</v>
      </c>
      <c r="C33" s="140" t="s">
        <v>1434</v>
      </c>
      <c r="D33" s="140">
        <v>6</v>
      </c>
      <c r="F33" s="139" t="str">
        <f t="shared" si="0"/>
        <v>DIO  110                                          BLANCO NE</v>
      </c>
      <c r="G33" s="90">
        <f t="shared" si="1"/>
        <v>6</v>
      </c>
    </row>
    <row r="34" spans="2:7">
      <c r="B34" s="140" t="s">
        <v>1433</v>
      </c>
      <c r="C34" s="140" t="s">
        <v>1431</v>
      </c>
      <c r="D34" s="140">
        <v>8</v>
      </c>
      <c r="F34" s="139" t="str">
        <f t="shared" si="0"/>
        <v xml:space="preserve">DIO  110                                          ROJO     </v>
      </c>
      <c r="G34" s="90">
        <f t="shared" si="1"/>
        <v>8</v>
      </c>
    </row>
    <row r="35" spans="2:7">
      <c r="B35" s="140" t="s">
        <v>1433</v>
      </c>
      <c r="C35" s="140" t="s">
        <v>1452</v>
      </c>
      <c r="D35" s="140">
        <v>5</v>
      </c>
      <c r="F35" s="139" t="str">
        <f t="shared" si="0"/>
        <v xml:space="preserve">DIO  110                                          AZUL     </v>
      </c>
      <c r="G35" s="90">
        <f t="shared" si="1"/>
        <v>5</v>
      </c>
    </row>
    <row r="36" spans="2:7">
      <c r="B36" s="140" t="s">
        <v>1448</v>
      </c>
      <c r="C36" s="140" t="s">
        <v>1450</v>
      </c>
      <c r="D36" s="140">
        <v>1</v>
      </c>
      <c r="F36" s="139" t="str">
        <f t="shared" si="0"/>
        <v xml:space="preserve">PCX 150                                           PLATEADO </v>
      </c>
      <c r="G36" s="90">
        <f t="shared" si="1"/>
        <v>1</v>
      </c>
    </row>
    <row r="37" spans="2:7">
      <c r="B37" s="140" t="s">
        <v>1451</v>
      </c>
      <c r="C37" s="140" t="s">
        <v>16</v>
      </c>
      <c r="D37" s="140">
        <v>53</v>
      </c>
      <c r="F37" s="139" t="str">
        <f t="shared" si="0"/>
        <v xml:space="preserve">CB 110 DLX                                        NEGRO    </v>
      </c>
      <c r="G37" s="90">
        <f t="shared" si="1"/>
        <v>53</v>
      </c>
    </row>
    <row r="38" spans="2:7">
      <c r="B38" s="140" t="s">
        <v>1451</v>
      </c>
      <c r="C38" s="140" t="s">
        <v>1431</v>
      </c>
      <c r="D38" s="140">
        <v>11</v>
      </c>
      <c r="F38" s="139" t="str">
        <f t="shared" si="0"/>
        <v xml:space="preserve">CB 110 DLX                                        ROJO     </v>
      </c>
      <c r="G38" s="90">
        <f t="shared" si="1"/>
        <v>11</v>
      </c>
    </row>
    <row r="39" spans="2:7">
      <c r="B39" s="140" t="s">
        <v>1451</v>
      </c>
      <c r="C39" s="140" t="s">
        <v>1449</v>
      </c>
      <c r="D39" s="140">
        <v>15</v>
      </c>
      <c r="F39" s="139" t="str">
        <f t="shared" si="0"/>
        <v xml:space="preserve">CB 110 DLX                                        GRIS     </v>
      </c>
      <c r="G39" s="90">
        <f t="shared" si="1"/>
        <v>15</v>
      </c>
    </row>
    <row r="40" spans="2:7">
      <c r="B40" s="140" t="s">
        <v>1451</v>
      </c>
      <c r="C40" s="140" t="s">
        <v>1452</v>
      </c>
      <c r="D40" s="140">
        <v>19</v>
      </c>
      <c r="F40" s="139" t="str">
        <f t="shared" si="0"/>
        <v xml:space="preserve">CB 110 DLX                                        AZUL     </v>
      </c>
      <c r="G40" s="90">
        <f t="shared" si="1"/>
        <v>19</v>
      </c>
    </row>
    <row r="41" spans="2:7">
      <c r="B41" s="140" t="s">
        <v>1453</v>
      </c>
      <c r="C41" s="140" t="s">
        <v>11</v>
      </c>
      <c r="D41" s="140">
        <v>3</v>
      </c>
      <c r="F41" s="139" t="str">
        <f t="shared" si="0"/>
        <v>CB 190R INSTINTO R                                NEGRO ONI</v>
      </c>
      <c r="G41" s="90">
        <f t="shared" si="1"/>
        <v>3</v>
      </c>
    </row>
    <row r="42" spans="2:7">
      <c r="B42" s="140"/>
      <c r="C42" s="140"/>
      <c r="D42" s="140"/>
      <c r="F42" s="139" t="str">
        <f t="shared" si="0"/>
        <v/>
      </c>
      <c r="G42" s="90">
        <f t="shared" si="1"/>
        <v>0</v>
      </c>
    </row>
    <row r="43" spans="2:7">
      <c r="B43" s="140"/>
      <c r="C43" s="140"/>
      <c r="D43" s="140"/>
      <c r="F43" s="139" t="str">
        <f t="shared" si="0"/>
        <v/>
      </c>
      <c r="G43" s="90">
        <f t="shared" si="1"/>
        <v>0</v>
      </c>
    </row>
    <row r="44" spans="2:7">
      <c r="B44" s="140"/>
      <c r="C44" s="140"/>
      <c r="D44" s="140"/>
      <c r="F44" s="139" t="str">
        <f t="shared" si="0"/>
        <v/>
      </c>
      <c r="G44" s="90">
        <f t="shared" si="1"/>
        <v>0</v>
      </c>
    </row>
    <row r="45" spans="2:7">
      <c r="B45" s="140"/>
      <c r="C45" s="140"/>
      <c r="D45" s="140"/>
      <c r="F45" s="139" t="str">
        <f t="shared" si="0"/>
        <v/>
      </c>
      <c r="G45" s="90">
        <f t="shared" si="1"/>
        <v>0</v>
      </c>
    </row>
    <row r="46" spans="2:7">
      <c r="B46" s="140"/>
      <c r="C46" s="140"/>
      <c r="D46" s="140"/>
      <c r="F46" s="139" t="str">
        <f t="shared" si="0"/>
        <v/>
      </c>
      <c r="G46" s="90">
        <f t="shared" si="1"/>
        <v>0</v>
      </c>
    </row>
    <row r="47" spans="2:7">
      <c r="B47" s="140"/>
      <c r="C47" s="140"/>
      <c r="D47" s="140"/>
      <c r="F47" s="139" t="str">
        <f t="shared" si="0"/>
        <v/>
      </c>
      <c r="G47" s="90">
        <f t="shared" si="1"/>
        <v>0</v>
      </c>
    </row>
    <row r="48" spans="2:7">
      <c r="B48" s="140"/>
      <c r="C48" s="140"/>
      <c r="D48" s="140"/>
      <c r="F48" s="139" t="str">
        <f t="shared" si="0"/>
        <v/>
      </c>
      <c r="G48" s="90">
        <f t="shared" si="1"/>
        <v>0</v>
      </c>
    </row>
    <row r="49" spans="2:7">
      <c r="B49" s="140"/>
      <c r="C49" s="140"/>
      <c r="D49" s="140"/>
      <c r="F49" s="139" t="str">
        <f t="shared" si="0"/>
        <v/>
      </c>
      <c r="G49" s="90">
        <f t="shared" si="1"/>
        <v>0</v>
      </c>
    </row>
    <row r="50" spans="2:7">
      <c r="B50" s="140"/>
      <c r="C50" s="140"/>
      <c r="D50" s="140"/>
      <c r="F50" s="139" t="str">
        <f t="shared" si="0"/>
        <v/>
      </c>
      <c r="G50" s="90">
        <f t="shared" si="1"/>
        <v>0</v>
      </c>
    </row>
    <row r="51" spans="2:7">
      <c r="B51" s="140"/>
      <c r="C51" s="140"/>
      <c r="D51" s="140"/>
      <c r="F51" s="139" t="str">
        <f t="shared" si="0"/>
        <v/>
      </c>
      <c r="G51" s="90">
        <f t="shared" si="1"/>
        <v>0</v>
      </c>
    </row>
    <row r="52" spans="2:7">
      <c r="B52" s="140"/>
      <c r="C52" s="140"/>
      <c r="D52" s="140"/>
      <c r="F52" s="139" t="str">
        <f t="shared" si="0"/>
        <v/>
      </c>
      <c r="G52" s="90">
        <f t="shared" si="1"/>
        <v>0</v>
      </c>
    </row>
    <row r="53" spans="2:7">
      <c r="B53" s="140"/>
      <c r="C53" s="140"/>
      <c r="D53" s="140"/>
      <c r="F53" s="139" t="str">
        <f t="shared" si="0"/>
        <v/>
      </c>
      <c r="G53" s="90">
        <f t="shared" si="1"/>
        <v>0</v>
      </c>
    </row>
    <row r="54" spans="2:7">
      <c r="B54" s="140"/>
      <c r="C54" s="140"/>
      <c r="D54" s="140"/>
      <c r="F54" s="139" t="str">
        <f t="shared" si="0"/>
        <v/>
      </c>
      <c r="G54" s="90">
        <f t="shared" si="1"/>
        <v>0</v>
      </c>
    </row>
    <row r="55" spans="2:7">
      <c r="B55" s="140"/>
      <c r="C55" s="140"/>
      <c r="D55" s="140"/>
      <c r="F55" s="139" t="str">
        <f t="shared" si="0"/>
        <v/>
      </c>
      <c r="G55" s="90">
        <f t="shared" si="1"/>
        <v>0</v>
      </c>
    </row>
    <row r="56" spans="2:7">
      <c r="B56" s="140"/>
      <c r="C56" s="140"/>
      <c r="D56" s="140"/>
      <c r="F56" s="139" t="str">
        <f t="shared" si="0"/>
        <v/>
      </c>
      <c r="G56" s="90">
        <f t="shared" si="1"/>
        <v>0</v>
      </c>
    </row>
    <row r="57" spans="2:7">
      <c r="B57" s="140"/>
      <c r="C57" s="140"/>
      <c r="D57" s="140"/>
      <c r="F57" s="139" t="str">
        <f t="shared" si="0"/>
        <v/>
      </c>
      <c r="G57" s="90">
        <f t="shared" si="1"/>
        <v>0</v>
      </c>
    </row>
    <row r="58" spans="2:7">
      <c r="B58" s="140"/>
      <c r="C58" s="140"/>
      <c r="D58" s="140"/>
      <c r="F58" s="139" t="str">
        <f t="shared" si="0"/>
        <v/>
      </c>
      <c r="G58" s="90">
        <f t="shared" si="1"/>
        <v>0</v>
      </c>
    </row>
    <row r="59" spans="2:7">
      <c r="B59" s="140"/>
      <c r="C59" s="140"/>
      <c r="D59" s="140"/>
      <c r="F59" s="139" t="str">
        <f t="shared" si="0"/>
        <v/>
      </c>
      <c r="G59" s="90">
        <f t="shared" si="1"/>
        <v>0</v>
      </c>
    </row>
    <row r="60" spans="2:7">
      <c r="B60" s="140"/>
      <c r="C60" s="140"/>
      <c r="D60" s="140"/>
      <c r="F60" s="139" t="str">
        <f t="shared" si="0"/>
        <v/>
      </c>
      <c r="G60" s="90">
        <f t="shared" si="1"/>
        <v>0</v>
      </c>
    </row>
    <row r="61" spans="2:7">
      <c r="B61" s="140"/>
      <c r="C61" s="140"/>
      <c r="D61" s="140"/>
      <c r="F61" s="139" t="str">
        <f t="shared" si="0"/>
        <v/>
      </c>
      <c r="G61" s="90">
        <f t="shared" si="1"/>
        <v>0</v>
      </c>
    </row>
    <row r="62" spans="2:7">
      <c r="B62" s="140"/>
      <c r="C62" s="140"/>
      <c r="D62" s="140"/>
      <c r="F62" s="139" t="str">
        <f t="shared" si="0"/>
        <v/>
      </c>
      <c r="G62" s="90">
        <f t="shared" si="1"/>
        <v>0</v>
      </c>
    </row>
    <row r="63" spans="2:7">
      <c r="B63" s="140"/>
      <c r="C63" s="140"/>
      <c r="D63" s="140"/>
      <c r="F63" s="139" t="str">
        <f t="shared" si="0"/>
        <v/>
      </c>
      <c r="G63" s="90">
        <f t="shared" si="1"/>
        <v>0</v>
      </c>
    </row>
    <row r="64" spans="2:7">
      <c r="B64" s="140"/>
      <c r="C64" s="140"/>
      <c r="D64" s="140"/>
      <c r="F64" s="139" t="str">
        <f t="shared" si="0"/>
        <v/>
      </c>
      <c r="G64" s="90">
        <f t="shared" si="1"/>
        <v>0</v>
      </c>
    </row>
    <row r="65" spans="2:7">
      <c r="B65" s="140"/>
      <c r="C65" s="140"/>
      <c r="D65" s="140"/>
      <c r="F65" s="139" t="str">
        <f t="shared" si="0"/>
        <v/>
      </c>
      <c r="G65" s="90">
        <f t="shared" si="1"/>
        <v>0</v>
      </c>
    </row>
    <row r="66" spans="2:7">
      <c r="B66" s="140"/>
      <c r="C66" s="140"/>
      <c r="D66" s="140"/>
      <c r="F66" s="139" t="str">
        <f t="shared" si="0"/>
        <v/>
      </c>
      <c r="G66" s="90">
        <f t="shared" si="1"/>
        <v>0</v>
      </c>
    </row>
    <row r="67" spans="2:7">
      <c r="B67" s="140"/>
      <c r="C67" s="140"/>
      <c r="D67" s="140"/>
      <c r="F67" s="139" t="str">
        <f t="shared" si="0"/>
        <v/>
      </c>
      <c r="G67" s="90">
        <f t="shared" si="1"/>
        <v>0</v>
      </c>
    </row>
    <row r="68" spans="2:7">
      <c r="B68" s="140"/>
      <c r="C68" s="140"/>
      <c r="D68" s="140"/>
      <c r="F68" s="139" t="str">
        <f t="shared" ref="F68:F131" si="2">+CONCATENATE(B68,C68)</f>
        <v/>
      </c>
      <c r="G68" s="90">
        <f t="shared" ref="G68:G131" si="3">+D68</f>
        <v>0</v>
      </c>
    </row>
    <row r="69" spans="2:7">
      <c r="B69" s="140"/>
      <c r="C69" s="140"/>
      <c r="D69" s="140"/>
      <c r="F69" s="139" t="str">
        <f t="shared" si="2"/>
        <v/>
      </c>
      <c r="G69" s="90">
        <f t="shared" si="3"/>
        <v>0</v>
      </c>
    </row>
    <row r="70" spans="2:7">
      <c r="B70" s="140"/>
      <c r="C70" s="140"/>
      <c r="D70" s="140"/>
      <c r="F70" s="139" t="str">
        <f t="shared" si="2"/>
        <v/>
      </c>
      <c r="G70" s="90">
        <f t="shared" si="3"/>
        <v>0</v>
      </c>
    </row>
    <row r="71" spans="2:7">
      <c r="B71" s="140"/>
      <c r="C71" s="140"/>
      <c r="D71" s="140"/>
      <c r="F71" s="139" t="str">
        <f t="shared" si="2"/>
        <v/>
      </c>
      <c r="G71" s="90">
        <f t="shared" si="3"/>
        <v>0</v>
      </c>
    </row>
    <row r="72" spans="2:7">
      <c r="B72" s="140"/>
      <c r="C72" s="140"/>
      <c r="D72" s="140"/>
      <c r="F72" s="139" t="str">
        <f t="shared" si="2"/>
        <v/>
      </c>
      <c r="G72" s="90">
        <f t="shared" si="3"/>
        <v>0</v>
      </c>
    </row>
    <row r="73" spans="2:7">
      <c r="B73" s="140"/>
      <c r="C73" s="140"/>
      <c r="D73" s="140"/>
      <c r="F73" s="139" t="str">
        <f t="shared" si="2"/>
        <v/>
      </c>
      <c r="G73" s="90">
        <f t="shared" si="3"/>
        <v>0</v>
      </c>
    </row>
    <row r="74" spans="2:7">
      <c r="B74" s="140"/>
      <c r="C74" s="140"/>
      <c r="D74" s="140"/>
      <c r="F74" s="139" t="str">
        <f t="shared" si="2"/>
        <v/>
      </c>
      <c r="G74" s="90">
        <f t="shared" si="3"/>
        <v>0</v>
      </c>
    </row>
    <row r="75" spans="2:7">
      <c r="B75" s="140"/>
      <c r="C75" s="140"/>
      <c r="D75" s="140"/>
      <c r="F75" s="139" t="str">
        <f t="shared" si="2"/>
        <v/>
      </c>
      <c r="G75" s="90">
        <f t="shared" si="3"/>
        <v>0</v>
      </c>
    </row>
    <row r="76" spans="2:7">
      <c r="B76" s="140"/>
      <c r="C76" s="140"/>
      <c r="D76" s="140"/>
      <c r="F76" s="139" t="str">
        <f t="shared" si="2"/>
        <v/>
      </c>
      <c r="G76" s="90">
        <f t="shared" si="3"/>
        <v>0</v>
      </c>
    </row>
    <row r="77" spans="2:7">
      <c r="B77" s="140"/>
      <c r="C77" s="140"/>
      <c r="D77" s="140"/>
      <c r="F77" s="139" t="str">
        <f t="shared" si="2"/>
        <v/>
      </c>
      <c r="G77" s="90">
        <f t="shared" si="3"/>
        <v>0</v>
      </c>
    </row>
    <row r="78" spans="2:7">
      <c r="B78" s="140"/>
      <c r="C78" s="140"/>
      <c r="D78" s="140"/>
      <c r="F78" s="139" t="str">
        <f t="shared" si="2"/>
        <v/>
      </c>
      <c r="G78" s="90">
        <f t="shared" si="3"/>
        <v>0</v>
      </c>
    </row>
    <row r="79" spans="2:7">
      <c r="B79" s="140"/>
      <c r="C79" s="140"/>
      <c r="D79" s="140"/>
      <c r="F79" s="139" t="str">
        <f t="shared" si="2"/>
        <v/>
      </c>
      <c r="G79" s="90">
        <f t="shared" si="3"/>
        <v>0</v>
      </c>
    </row>
    <row r="80" spans="2:7">
      <c r="B80" s="140"/>
      <c r="C80" s="140"/>
      <c r="D80" s="140"/>
      <c r="F80" s="139" t="str">
        <f t="shared" si="2"/>
        <v/>
      </c>
      <c r="G80" s="90">
        <f t="shared" si="3"/>
        <v>0</v>
      </c>
    </row>
    <row r="81" spans="2:7">
      <c r="B81" s="140"/>
      <c r="C81" s="140"/>
      <c r="D81" s="140"/>
      <c r="F81" s="139" t="str">
        <f t="shared" si="2"/>
        <v/>
      </c>
      <c r="G81" s="90">
        <f t="shared" si="3"/>
        <v>0</v>
      </c>
    </row>
    <row r="82" spans="2:7">
      <c r="B82" s="140"/>
      <c r="C82" s="140"/>
      <c r="D82" s="140"/>
      <c r="F82" s="139" t="str">
        <f t="shared" si="2"/>
        <v/>
      </c>
      <c r="G82" s="90">
        <f t="shared" si="3"/>
        <v>0</v>
      </c>
    </row>
    <row r="83" spans="2:7">
      <c r="B83" s="140"/>
      <c r="C83" s="140"/>
      <c r="D83" s="140"/>
      <c r="F83" s="139" t="str">
        <f t="shared" si="2"/>
        <v/>
      </c>
      <c r="G83" s="90">
        <f t="shared" si="3"/>
        <v>0</v>
      </c>
    </row>
    <row r="84" spans="2:7">
      <c r="B84" s="140"/>
      <c r="C84" s="140"/>
      <c r="D84" s="140"/>
      <c r="F84" s="139" t="str">
        <f t="shared" si="2"/>
        <v/>
      </c>
      <c r="G84" s="90">
        <f t="shared" si="3"/>
        <v>0</v>
      </c>
    </row>
    <row r="85" spans="2:7">
      <c r="B85" s="140"/>
      <c r="C85" s="140"/>
      <c r="D85" s="140"/>
      <c r="F85" s="139" t="str">
        <f t="shared" si="2"/>
        <v/>
      </c>
      <c r="G85" s="90">
        <f t="shared" si="3"/>
        <v>0</v>
      </c>
    </row>
    <row r="86" spans="2:7">
      <c r="B86" s="140"/>
      <c r="C86" s="140"/>
      <c r="D86" s="140"/>
      <c r="F86" s="139" t="str">
        <f t="shared" si="2"/>
        <v/>
      </c>
      <c r="G86" s="90">
        <f t="shared" si="3"/>
        <v>0</v>
      </c>
    </row>
    <row r="87" spans="2:7">
      <c r="B87" s="140"/>
      <c r="C87" s="140"/>
      <c r="D87" s="140"/>
      <c r="F87" s="139" t="str">
        <f t="shared" si="2"/>
        <v/>
      </c>
      <c r="G87" s="90">
        <f t="shared" si="3"/>
        <v>0</v>
      </c>
    </row>
    <row r="88" spans="2:7">
      <c r="B88" s="140"/>
      <c r="C88" s="140"/>
      <c r="D88" s="140"/>
      <c r="F88" s="139" t="str">
        <f t="shared" si="2"/>
        <v/>
      </c>
      <c r="G88" s="90">
        <f t="shared" si="3"/>
        <v>0</v>
      </c>
    </row>
    <row r="89" spans="2:7">
      <c r="B89" s="140"/>
      <c r="C89" s="140"/>
      <c r="D89" s="140"/>
      <c r="F89" s="139" t="str">
        <f t="shared" si="2"/>
        <v/>
      </c>
      <c r="G89" s="90">
        <f t="shared" si="3"/>
        <v>0</v>
      </c>
    </row>
    <row r="90" spans="2:7">
      <c r="B90" s="140"/>
      <c r="C90" s="140"/>
      <c r="D90" s="140"/>
      <c r="F90" s="139" t="str">
        <f t="shared" si="2"/>
        <v/>
      </c>
      <c r="G90" s="90">
        <f t="shared" si="3"/>
        <v>0</v>
      </c>
    </row>
    <row r="91" spans="2:7">
      <c r="B91" s="140"/>
      <c r="C91" s="140"/>
      <c r="D91" s="140"/>
      <c r="F91" s="139" t="str">
        <f t="shared" si="2"/>
        <v/>
      </c>
      <c r="G91" s="90">
        <f t="shared" si="3"/>
        <v>0</v>
      </c>
    </row>
    <row r="92" spans="2:7">
      <c r="B92" s="140"/>
      <c r="C92" s="140"/>
      <c r="D92" s="140"/>
      <c r="F92" s="139" t="str">
        <f t="shared" si="2"/>
        <v/>
      </c>
      <c r="G92" s="90">
        <f t="shared" si="3"/>
        <v>0</v>
      </c>
    </row>
    <row r="93" spans="2:7">
      <c r="B93" s="140"/>
      <c r="C93" s="140"/>
      <c r="D93" s="140"/>
      <c r="F93" s="139" t="str">
        <f t="shared" si="2"/>
        <v/>
      </c>
      <c r="G93" s="90">
        <f t="shared" si="3"/>
        <v>0</v>
      </c>
    </row>
    <row r="94" spans="2:7">
      <c r="B94" s="140"/>
      <c r="C94" s="140"/>
      <c r="D94" s="140"/>
      <c r="F94" s="139" t="str">
        <f t="shared" si="2"/>
        <v/>
      </c>
      <c r="G94" s="90">
        <f t="shared" si="3"/>
        <v>0</v>
      </c>
    </row>
    <row r="95" spans="2:7">
      <c r="B95" s="140"/>
      <c r="C95" s="140"/>
      <c r="D95" s="140"/>
      <c r="F95" s="139" t="str">
        <f t="shared" si="2"/>
        <v/>
      </c>
      <c r="G95" s="90">
        <f t="shared" si="3"/>
        <v>0</v>
      </c>
    </row>
    <row r="96" spans="2:7">
      <c r="B96" s="140"/>
      <c r="C96" s="140"/>
      <c r="D96" s="140"/>
      <c r="F96" s="139" t="str">
        <f t="shared" si="2"/>
        <v/>
      </c>
      <c r="G96" s="90">
        <f t="shared" si="3"/>
        <v>0</v>
      </c>
    </row>
    <row r="97" spans="2:7">
      <c r="B97" s="140"/>
      <c r="C97" s="140"/>
      <c r="D97" s="140"/>
      <c r="F97" s="139" t="str">
        <f t="shared" si="2"/>
        <v/>
      </c>
      <c r="G97" s="90">
        <f t="shared" si="3"/>
        <v>0</v>
      </c>
    </row>
    <row r="98" spans="2:7">
      <c r="B98" s="140"/>
      <c r="C98" s="140"/>
      <c r="D98" s="140"/>
      <c r="F98" s="139" t="str">
        <f t="shared" si="2"/>
        <v/>
      </c>
      <c r="G98" s="90">
        <f t="shared" si="3"/>
        <v>0</v>
      </c>
    </row>
    <row r="99" spans="2:7">
      <c r="B99" s="140"/>
      <c r="C99" s="140"/>
      <c r="D99" s="140"/>
      <c r="F99" s="139" t="str">
        <f t="shared" si="2"/>
        <v/>
      </c>
      <c r="G99" s="90">
        <f t="shared" si="3"/>
        <v>0</v>
      </c>
    </row>
    <row r="100" spans="2:7">
      <c r="B100" s="140"/>
      <c r="C100" s="140"/>
      <c r="D100" s="140"/>
      <c r="F100" s="139" t="str">
        <f t="shared" si="2"/>
        <v/>
      </c>
      <c r="G100" s="90">
        <f t="shared" si="3"/>
        <v>0</v>
      </c>
    </row>
    <row r="101" spans="2:7">
      <c r="B101" s="140"/>
      <c r="C101" s="140"/>
      <c r="D101" s="140"/>
      <c r="F101" s="139" t="str">
        <f t="shared" si="2"/>
        <v/>
      </c>
      <c r="G101" s="90">
        <f t="shared" si="3"/>
        <v>0</v>
      </c>
    </row>
    <row r="102" spans="2:7">
      <c r="B102" s="140"/>
      <c r="C102" s="140"/>
      <c r="D102" s="140"/>
      <c r="F102" s="139" t="str">
        <f t="shared" si="2"/>
        <v/>
      </c>
      <c r="G102" s="90">
        <f t="shared" si="3"/>
        <v>0</v>
      </c>
    </row>
    <row r="103" spans="2:7">
      <c r="B103" s="140"/>
      <c r="C103" s="140"/>
      <c r="D103" s="140"/>
      <c r="F103" s="139" t="str">
        <f t="shared" si="2"/>
        <v/>
      </c>
      <c r="G103" s="90">
        <f t="shared" si="3"/>
        <v>0</v>
      </c>
    </row>
    <row r="104" spans="2:7">
      <c r="B104" s="140"/>
      <c r="C104" s="140"/>
      <c r="D104" s="140"/>
      <c r="F104" s="139" t="str">
        <f t="shared" si="2"/>
        <v/>
      </c>
      <c r="G104" s="90">
        <f t="shared" si="3"/>
        <v>0</v>
      </c>
    </row>
    <row r="105" spans="2:7">
      <c r="B105" s="140"/>
      <c r="C105" s="140"/>
      <c r="D105" s="140"/>
      <c r="F105" s="139" t="str">
        <f t="shared" si="2"/>
        <v/>
      </c>
      <c r="G105" s="90">
        <f t="shared" si="3"/>
        <v>0</v>
      </c>
    </row>
    <row r="106" spans="2:7">
      <c r="B106" s="140"/>
      <c r="C106" s="140"/>
      <c r="D106" s="140"/>
      <c r="F106" s="139" t="str">
        <f t="shared" si="2"/>
        <v/>
      </c>
      <c r="G106" s="90">
        <f t="shared" si="3"/>
        <v>0</v>
      </c>
    </row>
    <row r="107" spans="2:7">
      <c r="B107" s="140"/>
      <c r="C107" s="140"/>
      <c r="D107" s="140"/>
      <c r="F107" s="139" t="str">
        <f t="shared" si="2"/>
        <v/>
      </c>
      <c r="G107" s="90">
        <f t="shared" si="3"/>
        <v>0</v>
      </c>
    </row>
    <row r="108" spans="2:7">
      <c r="B108" s="140"/>
      <c r="C108" s="140"/>
      <c r="D108" s="140"/>
      <c r="F108" s="139" t="str">
        <f t="shared" si="2"/>
        <v/>
      </c>
      <c r="G108" s="90">
        <f t="shared" si="3"/>
        <v>0</v>
      </c>
    </row>
    <row r="109" spans="2:7">
      <c r="B109" s="140"/>
      <c r="C109" s="140"/>
      <c r="D109" s="140"/>
      <c r="F109" s="139" t="str">
        <f t="shared" si="2"/>
        <v/>
      </c>
      <c r="G109" s="90">
        <f t="shared" si="3"/>
        <v>0</v>
      </c>
    </row>
    <row r="110" spans="2:7">
      <c r="B110" s="140"/>
      <c r="C110" s="140"/>
      <c r="D110" s="140"/>
      <c r="F110" s="139" t="str">
        <f t="shared" si="2"/>
        <v/>
      </c>
      <c r="G110" s="90">
        <f t="shared" si="3"/>
        <v>0</v>
      </c>
    </row>
    <row r="111" spans="2:7">
      <c r="B111" s="140"/>
      <c r="C111" s="140"/>
      <c r="D111" s="140"/>
      <c r="F111" s="139" t="str">
        <f t="shared" si="2"/>
        <v/>
      </c>
      <c r="G111" s="90">
        <f t="shared" si="3"/>
        <v>0</v>
      </c>
    </row>
    <row r="112" spans="2:7">
      <c r="B112" s="140"/>
      <c r="C112" s="140"/>
      <c r="D112" s="140"/>
      <c r="F112" s="139" t="str">
        <f t="shared" si="2"/>
        <v/>
      </c>
      <c r="G112" s="90">
        <f t="shared" si="3"/>
        <v>0</v>
      </c>
    </row>
    <row r="113" spans="2:7">
      <c r="B113" s="140"/>
      <c r="C113" s="140"/>
      <c r="D113" s="140"/>
      <c r="F113" s="139" t="str">
        <f t="shared" si="2"/>
        <v/>
      </c>
      <c r="G113" s="90">
        <f t="shared" si="3"/>
        <v>0</v>
      </c>
    </row>
    <row r="114" spans="2:7">
      <c r="B114" s="140"/>
      <c r="C114" s="140"/>
      <c r="D114" s="140"/>
      <c r="F114" s="139" t="str">
        <f t="shared" si="2"/>
        <v/>
      </c>
      <c r="G114" s="90">
        <f t="shared" si="3"/>
        <v>0</v>
      </c>
    </row>
    <row r="115" spans="2:7">
      <c r="B115" s="140"/>
      <c r="C115" s="140"/>
      <c r="D115" s="140"/>
      <c r="F115" s="139" t="str">
        <f t="shared" si="2"/>
        <v/>
      </c>
      <c r="G115" s="90">
        <f t="shared" si="3"/>
        <v>0</v>
      </c>
    </row>
    <row r="116" spans="2:7">
      <c r="B116" s="140"/>
      <c r="C116" s="140"/>
      <c r="D116" s="140"/>
      <c r="F116" s="139" t="str">
        <f t="shared" si="2"/>
        <v/>
      </c>
      <c r="G116" s="90">
        <f t="shared" si="3"/>
        <v>0</v>
      </c>
    </row>
    <row r="117" spans="2:7">
      <c r="B117" s="140"/>
      <c r="C117" s="140"/>
      <c r="D117" s="140"/>
      <c r="F117" s="139" t="str">
        <f t="shared" si="2"/>
        <v/>
      </c>
      <c r="G117" s="90">
        <f t="shared" si="3"/>
        <v>0</v>
      </c>
    </row>
    <row r="118" spans="2:7">
      <c r="B118" s="140"/>
      <c r="C118" s="140"/>
      <c r="D118" s="140"/>
      <c r="F118" s="139" t="str">
        <f t="shared" si="2"/>
        <v/>
      </c>
      <c r="G118" s="90">
        <f t="shared" si="3"/>
        <v>0</v>
      </c>
    </row>
    <row r="119" spans="2:7">
      <c r="B119" s="140"/>
      <c r="C119" s="140"/>
      <c r="D119" s="140"/>
      <c r="F119" s="139" t="str">
        <f t="shared" si="2"/>
        <v/>
      </c>
      <c r="G119" s="90">
        <f t="shared" si="3"/>
        <v>0</v>
      </c>
    </row>
    <row r="120" spans="2:7">
      <c r="B120" s="140"/>
      <c r="C120" s="140"/>
      <c r="D120" s="140"/>
      <c r="F120" s="139" t="str">
        <f t="shared" si="2"/>
        <v/>
      </c>
      <c r="G120" s="90">
        <f t="shared" si="3"/>
        <v>0</v>
      </c>
    </row>
    <row r="121" spans="2:7">
      <c r="B121" s="140"/>
      <c r="C121" s="140"/>
      <c r="D121" s="140"/>
      <c r="F121" s="139" t="str">
        <f t="shared" si="2"/>
        <v/>
      </c>
      <c r="G121" s="90">
        <f t="shared" si="3"/>
        <v>0</v>
      </c>
    </row>
    <row r="122" spans="2:7">
      <c r="B122" s="140"/>
      <c r="C122" s="140"/>
      <c r="D122" s="140"/>
      <c r="F122" s="139" t="str">
        <f t="shared" si="2"/>
        <v/>
      </c>
      <c r="G122" s="90">
        <f t="shared" si="3"/>
        <v>0</v>
      </c>
    </row>
    <row r="123" spans="2:7">
      <c r="B123" s="140"/>
      <c r="C123" s="140"/>
      <c r="D123" s="140"/>
      <c r="F123" s="139" t="str">
        <f t="shared" si="2"/>
        <v/>
      </c>
      <c r="G123" s="90">
        <f t="shared" si="3"/>
        <v>0</v>
      </c>
    </row>
    <row r="124" spans="2:7">
      <c r="B124" s="140"/>
      <c r="C124" s="140"/>
      <c r="D124" s="140"/>
      <c r="F124" s="139" t="str">
        <f t="shared" si="2"/>
        <v/>
      </c>
      <c r="G124" s="90">
        <f t="shared" si="3"/>
        <v>0</v>
      </c>
    </row>
    <row r="125" spans="2:7">
      <c r="B125" s="140"/>
      <c r="C125" s="140"/>
      <c r="D125" s="140"/>
      <c r="F125" s="139" t="str">
        <f t="shared" si="2"/>
        <v/>
      </c>
      <c r="G125" s="90">
        <f t="shared" si="3"/>
        <v>0</v>
      </c>
    </row>
    <row r="126" spans="2:7">
      <c r="B126" s="140"/>
      <c r="C126" s="140"/>
      <c r="D126" s="140"/>
      <c r="F126" s="139" t="str">
        <f t="shared" si="2"/>
        <v/>
      </c>
      <c r="G126" s="90">
        <f t="shared" si="3"/>
        <v>0</v>
      </c>
    </row>
    <row r="127" spans="2:7">
      <c r="B127" s="140"/>
      <c r="C127" s="140"/>
      <c r="D127" s="140"/>
      <c r="F127" s="139" t="str">
        <f t="shared" si="2"/>
        <v/>
      </c>
      <c r="G127" s="90">
        <f t="shared" si="3"/>
        <v>0</v>
      </c>
    </row>
    <row r="128" spans="2:7">
      <c r="B128" s="140"/>
      <c r="C128" s="140"/>
      <c r="D128" s="140"/>
      <c r="F128" s="139" t="str">
        <f t="shared" si="2"/>
        <v/>
      </c>
      <c r="G128" s="90">
        <f t="shared" si="3"/>
        <v>0</v>
      </c>
    </row>
    <row r="129" spans="2:7">
      <c r="B129" s="140"/>
      <c r="C129" s="140"/>
      <c r="D129" s="140"/>
      <c r="F129" s="139" t="str">
        <f t="shared" si="2"/>
        <v/>
      </c>
      <c r="G129" s="90">
        <f t="shared" si="3"/>
        <v>0</v>
      </c>
    </row>
    <row r="130" spans="2:7">
      <c r="B130" s="140"/>
      <c r="C130" s="140"/>
      <c r="D130" s="140"/>
      <c r="F130" s="139" t="str">
        <f t="shared" si="2"/>
        <v/>
      </c>
      <c r="G130" s="90">
        <f t="shared" si="3"/>
        <v>0</v>
      </c>
    </row>
    <row r="131" spans="2:7">
      <c r="B131" s="140"/>
      <c r="C131" s="140"/>
      <c r="D131" s="140"/>
      <c r="F131" s="139" t="str">
        <f t="shared" si="2"/>
        <v/>
      </c>
      <c r="G131" s="90">
        <f t="shared" si="3"/>
        <v>0</v>
      </c>
    </row>
    <row r="132" spans="2:7">
      <c r="B132" s="140"/>
      <c r="C132" s="140"/>
      <c r="D132" s="140"/>
      <c r="F132" s="139" t="str">
        <f t="shared" ref="F132:F195" si="4">+CONCATENATE(B132,C132)</f>
        <v/>
      </c>
      <c r="G132" s="90">
        <f t="shared" ref="G132:G195" si="5">+D132</f>
        <v>0</v>
      </c>
    </row>
    <row r="133" spans="2:7">
      <c r="B133" s="140"/>
      <c r="C133" s="140"/>
      <c r="D133" s="140"/>
      <c r="F133" s="139" t="str">
        <f t="shared" si="4"/>
        <v/>
      </c>
      <c r="G133" s="90">
        <f t="shared" si="5"/>
        <v>0</v>
      </c>
    </row>
    <row r="134" spans="2:7">
      <c r="B134" s="140"/>
      <c r="C134" s="140"/>
      <c r="D134" s="140"/>
      <c r="F134" s="139" t="str">
        <f t="shared" si="4"/>
        <v/>
      </c>
      <c r="G134" s="90">
        <f t="shared" si="5"/>
        <v>0</v>
      </c>
    </row>
    <row r="135" spans="2:7">
      <c r="B135" s="140"/>
      <c r="C135" s="140"/>
      <c r="D135" s="140"/>
      <c r="F135" s="139" t="str">
        <f t="shared" si="4"/>
        <v/>
      </c>
      <c r="G135" s="90">
        <f t="shared" si="5"/>
        <v>0</v>
      </c>
    </row>
    <row r="136" spans="2:7">
      <c r="B136" s="140"/>
      <c r="C136" s="140"/>
      <c r="D136" s="140"/>
      <c r="F136" s="139" t="str">
        <f t="shared" si="4"/>
        <v/>
      </c>
      <c r="G136" s="90">
        <f t="shared" si="5"/>
        <v>0</v>
      </c>
    </row>
    <row r="137" spans="2:7">
      <c r="B137" s="140"/>
      <c r="C137" s="140"/>
      <c r="D137" s="140"/>
      <c r="F137" s="139" t="str">
        <f t="shared" si="4"/>
        <v/>
      </c>
      <c r="G137" s="90">
        <f t="shared" si="5"/>
        <v>0</v>
      </c>
    </row>
    <row r="138" spans="2:7">
      <c r="B138" s="140"/>
      <c r="C138" s="140"/>
      <c r="D138" s="140"/>
      <c r="F138" s="139" t="str">
        <f t="shared" si="4"/>
        <v/>
      </c>
      <c r="G138" s="90">
        <f t="shared" si="5"/>
        <v>0</v>
      </c>
    </row>
    <row r="139" spans="2:7">
      <c r="B139" s="140"/>
      <c r="C139" s="140"/>
      <c r="D139" s="140"/>
      <c r="F139" s="139" t="str">
        <f t="shared" si="4"/>
        <v/>
      </c>
      <c r="G139" s="90">
        <f t="shared" si="5"/>
        <v>0</v>
      </c>
    </row>
    <row r="140" spans="2:7">
      <c r="B140" s="140"/>
      <c r="C140" s="140"/>
      <c r="D140" s="140"/>
      <c r="F140" s="139" t="str">
        <f t="shared" si="4"/>
        <v/>
      </c>
      <c r="G140" s="90">
        <f t="shared" si="5"/>
        <v>0</v>
      </c>
    </row>
    <row r="141" spans="2:7">
      <c r="B141" s="140"/>
      <c r="C141" s="140"/>
      <c r="D141" s="140"/>
      <c r="F141" s="139" t="str">
        <f t="shared" si="4"/>
        <v/>
      </c>
      <c r="G141" s="90">
        <f t="shared" si="5"/>
        <v>0</v>
      </c>
    </row>
    <row r="142" spans="2:7">
      <c r="B142" s="140"/>
      <c r="C142" s="140"/>
      <c r="D142" s="140"/>
      <c r="F142" s="139" t="str">
        <f t="shared" si="4"/>
        <v/>
      </c>
      <c r="G142" s="90">
        <f t="shared" si="5"/>
        <v>0</v>
      </c>
    </row>
    <row r="143" spans="2:7">
      <c r="B143" s="140"/>
      <c r="C143" s="140"/>
      <c r="D143" s="140"/>
      <c r="F143" s="139" t="str">
        <f t="shared" si="4"/>
        <v/>
      </c>
      <c r="G143" s="90">
        <f t="shared" si="5"/>
        <v>0</v>
      </c>
    </row>
    <row r="144" spans="2:7">
      <c r="B144" s="140"/>
      <c r="C144" s="140"/>
      <c r="D144" s="140"/>
      <c r="F144" s="139" t="str">
        <f t="shared" si="4"/>
        <v/>
      </c>
      <c r="G144" s="90">
        <f t="shared" si="5"/>
        <v>0</v>
      </c>
    </row>
    <row r="145" spans="2:7">
      <c r="B145" s="140"/>
      <c r="C145" s="140"/>
      <c r="D145" s="140"/>
      <c r="F145" s="139" t="str">
        <f t="shared" si="4"/>
        <v/>
      </c>
      <c r="G145" s="90">
        <f t="shared" si="5"/>
        <v>0</v>
      </c>
    </row>
    <row r="146" spans="2:7">
      <c r="B146" s="140"/>
      <c r="C146" s="140"/>
      <c r="D146" s="140"/>
      <c r="F146" s="139" t="str">
        <f t="shared" si="4"/>
        <v/>
      </c>
      <c r="G146" s="90">
        <f t="shared" si="5"/>
        <v>0</v>
      </c>
    </row>
    <row r="147" spans="2:7">
      <c r="B147" s="140"/>
      <c r="C147" s="140"/>
      <c r="D147" s="140"/>
      <c r="F147" s="139" t="str">
        <f t="shared" si="4"/>
        <v/>
      </c>
      <c r="G147" s="90">
        <f t="shared" si="5"/>
        <v>0</v>
      </c>
    </row>
    <row r="148" spans="2:7">
      <c r="B148" s="140"/>
      <c r="C148" s="140"/>
      <c r="D148" s="140"/>
      <c r="F148" s="139" t="str">
        <f t="shared" si="4"/>
        <v/>
      </c>
      <c r="G148" s="90">
        <f t="shared" si="5"/>
        <v>0</v>
      </c>
    </row>
    <row r="149" spans="2:7">
      <c r="B149" s="140"/>
      <c r="C149" s="140"/>
      <c r="D149" s="140"/>
      <c r="F149" s="139" t="str">
        <f t="shared" si="4"/>
        <v/>
      </c>
      <c r="G149" s="90">
        <f t="shared" si="5"/>
        <v>0</v>
      </c>
    </row>
    <row r="150" spans="2:7">
      <c r="B150" s="140"/>
      <c r="C150" s="140"/>
      <c r="D150" s="140"/>
      <c r="F150" s="139" t="str">
        <f t="shared" si="4"/>
        <v/>
      </c>
      <c r="G150" s="90">
        <f t="shared" si="5"/>
        <v>0</v>
      </c>
    </row>
    <row r="151" spans="2:7">
      <c r="B151" s="140"/>
      <c r="C151" s="140"/>
      <c r="D151" s="140"/>
      <c r="F151" s="139" t="str">
        <f t="shared" si="4"/>
        <v/>
      </c>
      <c r="G151" s="90">
        <f t="shared" si="5"/>
        <v>0</v>
      </c>
    </row>
    <row r="152" spans="2:7">
      <c r="B152" s="140"/>
      <c r="C152" s="140"/>
      <c r="D152" s="140"/>
      <c r="F152" s="139" t="str">
        <f t="shared" si="4"/>
        <v/>
      </c>
      <c r="G152" s="90">
        <f t="shared" si="5"/>
        <v>0</v>
      </c>
    </row>
    <row r="153" spans="2:7">
      <c r="B153" s="140"/>
      <c r="C153" s="140"/>
      <c r="D153" s="140"/>
      <c r="F153" s="139" t="str">
        <f t="shared" si="4"/>
        <v/>
      </c>
      <c r="G153" s="90">
        <f t="shared" si="5"/>
        <v>0</v>
      </c>
    </row>
    <row r="154" spans="2:7">
      <c r="B154" s="140"/>
      <c r="C154" s="140"/>
      <c r="D154" s="140"/>
      <c r="F154" s="139" t="str">
        <f t="shared" si="4"/>
        <v/>
      </c>
      <c r="G154" s="90">
        <f t="shared" si="5"/>
        <v>0</v>
      </c>
    </row>
    <row r="155" spans="2:7">
      <c r="B155" s="140"/>
      <c r="C155" s="140"/>
      <c r="D155" s="140"/>
      <c r="F155" s="139" t="str">
        <f t="shared" si="4"/>
        <v/>
      </c>
      <c r="G155" s="90">
        <f t="shared" si="5"/>
        <v>0</v>
      </c>
    </row>
    <row r="156" spans="2:7">
      <c r="B156" s="140"/>
      <c r="C156" s="140"/>
      <c r="D156" s="140"/>
      <c r="F156" s="139" t="str">
        <f t="shared" si="4"/>
        <v/>
      </c>
      <c r="G156" s="90">
        <f t="shared" si="5"/>
        <v>0</v>
      </c>
    </row>
    <row r="157" spans="2:7">
      <c r="B157" s="140"/>
      <c r="C157" s="140"/>
      <c r="D157" s="140"/>
      <c r="F157" s="139" t="str">
        <f t="shared" si="4"/>
        <v/>
      </c>
      <c r="G157" s="90">
        <f t="shared" si="5"/>
        <v>0</v>
      </c>
    </row>
    <row r="158" spans="2:7">
      <c r="B158" s="140"/>
      <c r="C158" s="140"/>
      <c r="D158" s="140"/>
      <c r="F158" s="139" t="str">
        <f t="shared" si="4"/>
        <v/>
      </c>
      <c r="G158" s="90">
        <f t="shared" si="5"/>
        <v>0</v>
      </c>
    </row>
    <row r="159" spans="2:7">
      <c r="B159" s="140"/>
      <c r="C159" s="140"/>
      <c r="D159" s="140"/>
      <c r="F159" s="139" t="str">
        <f t="shared" si="4"/>
        <v/>
      </c>
      <c r="G159" s="90">
        <f t="shared" si="5"/>
        <v>0</v>
      </c>
    </row>
    <row r="160" spans="2:7">
      <c r="B160" s="140"/>
      <c r="C160" s="140"/>
      <c r="D160" s="140"/>
      <c r="F160" s="139" t="str">
        <f t="shared" si="4"/>
        <v/>
      </c>
      <c r="G160" s="90">
        <f t="shared" si="5"/>
        <v>0</v>
      </c>
    </row>
    <row r="161" spans="2:7">
      <c r="B161" s="140"/>
      <c r="C161" s="140"/>
      <c r="D161" s="140"/>
      <c r="F161" s="139" t="str">
        <f t="shared" si="4"/>
        <v/>
      </c>
      <c r="G161" s="90">
        <f t="shared" si="5"/>
        <v>0</v>
      </c>
    </row>
    <row r="162" spans="2:7">
      <c r="B162" s="140"/>
      <c r="C162" s="140"/>
      <c r="D162" s="140"/>
      <c r="F162" s="139" t="str">
        <f t="shared" si="4"/>
        <v/>
      </c>
      <c r="G162" s="90">
        <f t="shared" si="5"/>
        <v>0</v>
      </c>
    </row>
    <row r="163" spans="2:7">
      <c r="B163" s="140"/>
      <c r="C163" s="140"/>
      <c r="D163" s="140"/>
      <c r="F163" s="139" t="str">
        <f t="shared" si="4"/>
        <v/>
      </c>
      <c r="G163" s="90">
        <f t="shared" si="5"/>
        <v>0</v>
      </c>
    </row>
    <row r="164" spans="2:7">
      <c r="B164" s="140"/>
      <c r="C164" s="140"/>
      <c r="D164" s="140"/>
      <c r="F164" s="139" t="str">
        <f t="shared" si="4"/>
        <v/>
      </c>
      <c r="G164" s="90">
        <f t="shared" si="5"/>
        <v>0</v>
      </c>
    </row>
    <row r="165" spans="2:7">
      <c r="B165" s="140"/>
      <c r="C165" s="140"/>
      <c r="D165" s="140"/>
      <c r="F165" s="139" t="str">
        <f t="shared" si="4"/>
        <v/>
      </c>
      <c r="G165" s="90">
        <f t="shared" si="5"/>
        <v>0</v>
      </c>
    </row>
    <row r="166" spans="2:7">
      <c r="B166" s="140"/>
      <c r="C166" s="140"/>
      <c r="D166" s="140"/>
      <c r="F166" s="139" t="str">
        <f t="shared" si="4"/>
        <v/>
      </c>
      <c r="G166" s="90">
        <f t="shared" si="5"/>
        <v>0</v>
      </c>
    </row>
    <row r="167" spans="2:7">
      <c r="B167" s="140"/>
      <c r="C167" s="140"/>
      <c r="D167" s="140"/>
      <c r="F167" s="139" t="str">
        <f t="shared" si="4"/>
        <v/>
      </c>
      <c r="G167" s="90">
        <f t="shared" si="5"/>
        <v>0</v>
      </c>
    </row>
    <row r="168" spans="2:7">
      <c r="B168" s="140"/>
      <c r="C168" s="140"/>
      <c r="D168" s="140"/>
      <c r="F168" s="139" t="str">
        <f t="shared" si="4"/>
        <v/>
      </c>
      <c r="G168" s="90">
        <f t="shared" si="5"/>
        <v>0</v>
      </c>
    </row>
    <row r="169" spans="2:7">
      <c r="B169" s="140"/>
      <c r="C169" s="140"/>
      <c r="D169" s="140"/>
      <c r="F169" s="139" t="str">
        <f t="shared" si="4"/>
        <v/>
      </c>
      <c r="G169" s="90">
        <f t="shared" si="5"/>
        <v>0</v>
      </c>
    </row>
    <row r="170" spans="2:7">
      <c r="B170" s="140"/>
      <c r="C170" s="140"/>
      <c r="D170" s="140"/>
      <c r="F170" s="139" t="str">
        <f t="shared" si="4"/>
        <v/>
      </c>
      <c r="G170" s="90">
        <f t="shared" si="5"/>
        <v>0</v>
      </c>
    </row>
    <row r="171" spans="2:7">
      <c r="B171" s="140"/>
      <c r="C171" s="140"/>
      <c r="D171" s="140"/>
      <c r="F171" s="139" t="str">
        <f t="shared" si="4"/>
        <v/>
      </c>
      <c r="G171" s="90">
        <f t="shared" si="5"/>
        <v>0</v>
      </c>
    </row>
    <row r="172" spans="2:7">
      <c r="B172" s="140"/>
      <c r="C172" s="140"/>
      <c r="D172" s="140"/>
      <c r="F172" s="139" t="str">
        <f t="shared" si="4"/>
        <v/>
      </c>
      <c r="G172" s="90">
        <f t="shared" si="5"/>
        <v>0</v>
      </c>
    </row>
    <row r="173" spans="2:7">
      <c r="B173" s="140"/>
      <c r="C173" s="140"/>
      <c r="D173" s="140"/>
      <c r="F173" s="139" t="str">
        <f t="shared" si="4"/>
        <v/>
      </c>
      <c r="G173" s="90">
        <f t="shared" si="5"/>
        <v>0</v>
      </c>
    </row>
    <row r="174" spans="2:7">
      <c r="B174" s="140"/>
      <c r="C174" s="140"/>
      <c r="D174" s="140"/>
      <c r="F174" s="139" t="str">
        <f t="shared" si="4"/>
        <v/>
      </c>
      <c r="G174" s="90">
        <f t="shared" si="5"/>
        <v>0</v>
      </c>
    </row>
    <row r="175" spans="2:7">
      <c r="B175" s="140"/>
      <c r="C175" s="140"/>
      <c r="D175" s="140"/>
      <c r="F175" s="139" t="str">
        <f t="shared" si="4"/>
        <v/>
      </c>
      <c r="G175" s="90">
        <f t="shared" si="5"/>
        <v>0</v>
      </c>
    </row>
    <row r="176" spans="2:7">
      <c r="B176" s="140"/>
      <c r="C176" s="140"/>
      <c r="D176" s="140"/>
      <c r="F176" s="139" t="str">
        <f t="shared" si="4"/>
        <v/>
      </c>
      <c r="G176" s="90">
        <f t="shared" si="5"/>
        <v>0</v>
      </c>
    </row>
    <row r="177" spans="2:7">
      <c r="B177" s="140"/>
      <c r="C177" s="140"/>
      <c r="D177" s="140"/>
      <c r="F177" s="139" t="str">
        <f t="shared" si="4"/>
        <v/>
      </c>
      <c r="G177" s="90">
        <f t="shared" si="5"/>
        <v>0</v>
      </c>
    </row>
    <row r="178" spans="2:7">
      <c r="B178" s="140"/>
      <c r="C178" s="140"/>
      <c r="D178" s="140"/>
      <c r="F178" s="139" t="str">
        <f t="shared" si="4"/>
        <v/>
      </c>
      <c r="G178" s="90">
        <f t="shared" si="5"/>
        <v>0</v>
      </c>
    </row>
    <row r="179" spans="2:7">
      <c r="B179" s="140"/>
      <c r="C179" s="140"/>
      <c r="D179" s="140"/>
      <c r="F179" s="139" t="str">
        <f t="shared" si="4"/>
        <v/>
      </c>
      <c r="G179" s="90">
        <f t="shared" si="5"/>
        <v>0</v>
      </c>
    </row>
    <row r="180" spans="2:7">
      <c r="B180" s="140"/>
      <c r="C180" s="140"/>
      <c r="D180" s="140"/>
      <c r="F180" s="139" t="str">
        <f t="shared" si="4"/>
        <v/>
      </c>
      <c r="G180" s="90">
        <f t="shared" si="5"/>
        <v>0</v>
      </c>
    </row>
    <row r="181" spans="2:7">
      <c r="B181" s="140"/>
      <c r="C181" s="140"/>
      <c r="D181" s="140"/>
      <c r="F181" s="139" t="str">
        <f t="shared" si="4"/>
        <v/>
      </c>
      <c r="G181" s="90">
        <f t="shared" si="5"/>
        <v>0</v>
      </c>
    </row>
    <row r="182" spans="2:7">
      <c r="B182" s="140"/>
      <c r="C182" s="140"/>
      <c r="D182" s="140"/>
      <c r="F182" s="139" t="str">
        <f t="shared" si="4"/>
        <v/>
      </c>
      <c r="G182" s="90">
        <f t="shared" si="5"/>
        <v>0</v>
      </c>
    </row>
    <row r="183" spans="2:7">
      <c r="B183" s="140"/>
      <c r="C183" s="140"/>
      <c r="D183" s="140"/>
      <c r="F183" s="139" t="str">
        <f t="shared" si="4"/>
        <v/>
      </c>
      <c r="G183" s="90">
        <f t="shared" si="5"/>
        <v>0</v>
      </c>
    </row>
    <row r="184" spans="2:7">
      <c r="B184" s="140"/>
      <c r="C184" s="140"/>
      <c r="D184" s="140"/>
      <c r="F184" s="139" t="str">
        <f t="shared" si="4"/>
        <v/>
      </c>
      <c r="G184" s="90">
        <f t="shared" si="5"/>
        <v>0</v>
      </c>
    </row>
    <row r="185" spans="2:7">
      <c r="B185" s="140"/>
      <c r="C185" s="140"/>
      <c r="D185" s="140"/>
      <c r="F185" s="139" t="str">
        <f t="shared" si="4"/>
        <v/>
      </c>
      <c r="G185" s="90">
        <f t="shared" si="5"/>
        <v>0</v>
      </c>
    </row>
    <row r="186" spans="2:7">
      <c r="B186" s="140"/>
      <c r="C186" s="140"/>
      <c r="D186" s="140"/>
      <c r="F186" s="139" t="str">
        <f t="shared" si="4"/>
        <v/>
      </c>
      <c r="G186" s="90">
        <f t="shared" si="5"/>
        <v>0</v>
      </c>
    </row>
    <row r="187" spans="2:7">
      <c r="B187" s="140"/>
      <c r="C187" s="140"/>
      <c r="D187" s="140"/>
      <c r="F187" s="139" t="str">
        <f t="shared" si="4"/>
        <v/>
      </c>
      <c r="G187" s="90">
        <f t="shared" si="5"/>
        <v>0</v>
      </c>
    </row>
    <row r="188" spans="2:7">
      <c r="B188" s="140"/>
      <c r="C188" s="140"/>
      <c r="D188" s="140"/>
      <c r="F188" s="139" t="str">
        <f t="shared" si="4"/>
        <v/>
      </c>
      <c r="G188" s="90">
        <f t="shared" si="5"/>
        <v>0</v>
      </c>
    </row>
    <row r="189" spans="2:7">
      <c r="B189" s="140"/>
      <c r="C189" s="140"/>
      <c r="D189" s="140"/>
      <c r="F189" s="139" t="str">
        <f t="shared" si="4"/>
        <v/>
      </c>
      <c r="G189" s="90">
        <f t="shared" si="5"/>
        <v>0</v>
      </c>
    </row>
    <row r="190" spans="2:7">
      <c r="B190" s="140"/>
      <c r="C190" s="140"/>
      <c r="D190" s="140"/>
      <c r="F190" s="139" t="str">
        <f t="shared" si="4"/>
        <v/>
      </c>
      <c r="G190" s="90">
        <f t="shared" si="5"/>
        <v>0</v>
      </c>
    </row>
    <row r="191" spans="2:7">
      <c r="B191" s="140"/>
      <c r="C191" s="140"/>
      <c r="D191" s="140"/>
      <c r="F191" s="139" t="str">
        <f t="shared" si="4"/>
        <v/>
      </c>
      <c r="G191" s="90">
        <f t="shared" si="5"/>
        <v>0</v>
      </c>
    </row>
    <row r="192" spans="2:7">
      <c r="B192" s="140"/>
      <c r="C192" s="140"/>
      <c r="D192" s="140"/>
      <c r="F192" s="139" t="str">
        <f t="shared" si="4"/>
        <v/>
      </c>
      <c r="G192" s="90">
        <f t="shared" si="5"/>
        <v>0</v>
      </c>
    </row>
    <row r="193" spans="2:7">
      <c r="B193" s="140"/>
      <c r="C193" s="140"/>
      <c r="D193" s="140"/>
      <c r="F193" s="139" t="str">
        <f t="shared" si="4"/>
        <v/>
      </c>
      <c r="G193" s="90">
        <f t="shared" si="5"/>
        <v>0</v>
      </c>
    </row>
    <row r="194" spans="2:7">
      <c r="B194" s="140"/>
      <c r="C194" s="140"/>
      <c r="D194" s="140"/>
      <c r="F194" s="139" t="str">
        <f t="shared" si="4"/>
        <v/>
      </c>
      <c r="G194" s="90">
        <f t="shared" si="5"/>
        <v>0</v>
      </c>
    </row>
    <row r="195" spans="2:7">
      <c r="B195" s="140"/>
      <c r="C195" s="140"/>
      <c r="D195" s="140"/>
      <c r="F195" s="139" t="str">
        <f t="shared" si="4"/>
        <v/>
      </c>
      <c r="G195" s="90">
        <f t="shared" si="5"/>
        <v>0</v>
      </c>
    </row>
    <row r="196" spans="2:7">
      <c r="B196" s="140"/>
      <c r="C196" s="140"/>
      <c r="D196" s="140"/>
      <c r="F196" s="139" t="str">
        <f t="shared" ref="F196" si="6">+CONCATENATE(B196,C196)</f>
        <v/>
      </c>
      <c r="G196" s="90">
        <f t="shared" ref="G196" si="7">+D196</f>
        <v>0</v>
      </c>
    </row>
    <row r="197" spans="2:7">
      <c r="B197" s="140"/>
      <c r="C197" s="140"/>
      <c r="D197" s="140"/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46"/>
  <sheetViews>
    <sheetView topLeftCell="A115" workbookViewId="0">
      <selection activeCell="C122" sqref="C122:C142"/>
    </sheetView>
  </sheetViews>
  <sheetFormatPr defaultColWidth="11.42578125" defaultRowHeight="12.75"/>
  <cols>
    <col min="1" max="1" width="12.28515625" style="249" bestFit="1" customWidth="1"/>
    <col min="2" max="2" width="11.28515625" style="249" customWidth="1"/>
    <col min="3" max="3" width="50.7109375" style="249" customWidth="1"/>
    <col min="4" max="4" width="22.28515625" style="250" customWidth="1"/>
    <col min="5" max="5" width="19.140625" style="199" customWidth="1"/>
    <col min="6" max="6" width="26.28515625" style="199" customWidth="1"/>
    <col min="7" max="7" width="20.85546875" style="199" customWidth="1"/>
    <col min="8" max="26" width="11.42578125" style="199"/>
    <col min="27" max="16384" width="11.42578125" style="200"/>
  </cols>
  <sheetData>
    <row r="1" spans="1:26" ht="54.75" customHeight="1" thickTop="1" thickBot="1">
      <c r="A1" s="196" t="s">
        <v>291</v>
      </c>
      <c r="B1" s="196" t="s">
        <v>346</v>
      </c>
      <c r="C1" s="196" t="s">
        <v>1908</v>
      </c>
      <c r="D1" s="196" t="s">
        <v>347</v>
      </c>
      <c r="E1" s="196" t="s">
        <v>417</v>
      </c>
      <c r="F1" s="197" t="s">
        <v>418</v>
      </c>
      <c r="G1" s="198" t="s">
        <v>419</v>
      </c>
      <c r="Z1" s="200"/>
    </row>
    <row r="2" spans="1:26" ht="13.5" thickTop="1">
      <c r="A2" s="201" t="s">
        <v>1828</v>
      </c>
      <c r="B2" s="202">
        <v>838000154</v>
      </c>
      <c r="C2" s="203" t="s">
        <v>75</v>
      </c>
      <c r="D2" s="204" t="s">
        <v>1829</v>
      </c>
      <c r="E2" s="205">
        <v>0</v>
      </c>
      <c r="F2" s="206"/>
      <c r="G2" s="207">
        <f>+Tabla4[[#This Row],[CUPO DE CREDITO FANALCA]]+Tabla4[[#This Row],[CUPO DE CREDITO FACTORING]]</f>
        <v>0</v>
      </c>
      <c r="Z2" s="200"/>
    </row>
    <row r="3" spans="1:26">
      <c r="A3" s="201" t="s">
        <v>1828</v>
      </c>
      <c r="B3" s="202">
        <v>900330225</v>
      </c>
      <c r="C3" s="208" t="s">
        <v>1919</v>
      </c>
      <c r="D3" s="209" t="s">
        <v>1247</v>
      </c>
      <c r="E3" s="205">
        <v>0</v>
      </c>
      <c r="F3" s="210"/>
      <c r="G3" s="207">
        <f>+Tabla4[[#This Row],[CUPO DE CREDITO FANALCA]]+Tabla4[[#This Row],[CUPO DE CREDITO FACTORING]]</f>
        <v>0</v>
      </c>
      <c r="Z3" s="200"/>
    </row>
    <row r="4" spans="1:26">
      <c r="A4" s="201" t="s">
        <v>1828</v>
      </c>
      <c r="B4" s="202">
        <v>890802350</v>
      </c>
      <c r="C4" s="203" t="s">
        <v>208</v>
      </c>
      <c r="D4" s="209" t="s">
        <v>1247</v>
      </c>
      <c r="E4" s="205">
        <v>0</v>
      </c>
      <c r="F4" s="211">
        <v>158000000</v>
      </c>
      <c r="G4" s="207">
        <f>+Tabla4[[#This Row],[CUPO DE CREDITO FANALCA]]+Tabla4[[#This Row],[CUPO DE CREDITO FACTORING]]</f>
        <v>158000000</v>
      </c>
      <c r="Z4" s="200"/>
    </row>
    <row r="5" spans="1:26">
      <c r="A5" s="201" t="s">
        <v>1830</v>
      </c>
      <c r="B5" s="202">
        <v>18184960</v>
      </c>
      <c r="C5" s="212" t="s">
        <v>74</v>
      </c>
      <c r="D5" s="209" t="s">
        <v>1247</v>
      </c>
      <c r="E5" s="205">
        <v>78989409</v>
      </c>
      <c r="F5" s="206"/>
      <c r="G5" s="207">
        <f>+Tabla4[[#This Row],[CUPO DE CREDITO FANALCA]]+Tabla4[[#This Row],[CUPO DE CREDITO FACTORING]]</f>
        <v>78989409</v>
      </c>
      <c r="Z5" s="200"/>
    </row>
    <row r="6" spans="1:26">
      <c r="A6" s="201" t="s">
        <v>1830</v>
      </c>
      <c r="B6" s="202">
        <v>14011711</v>
      </c>
      <c r="C6" s="208" t="s">
        <v>35</v>
      </c>
      <c r="D6" s="209">
        <v>20739828</v>
      </c>
      <c r="E6" s="205">
        <v>200000000</v>
      </c>
      <c r="F6" s="206"/>
      <c r="G6" s="207">
        <f>+Tabla4[[#This Row],[CUPO DE CREDITO FANALCA]]+Tabla4[[#This Row],[CUPO DE CREDITO FACTORING]]</f>
        <v>200000000</v>
      </c>
      <c r="Z6" s="200"/>
    </row>
    <row r="7" spans="1:26">
      <c r="A7" s="201" t="s">
        <v>1831</v>
      </c>
      <c r="B7" s="202">
        <v>830145805</v>
      </c>
      <c r="C7" s="208" t="s">
        <v>107</v>
      </c>
      <c r="D7" s="209">
        <v>3321835</v>
      </c>
      <c r="E7" s="205">
        <v>300000000</v>
      </c>
      <c r="F7" s="206"/>
      <c r="G7" s="207">
        <f>+Tabla4[[#This Row],[CUPO DE CREDITO FANALCA]]+Tabla4[[#This Row],[CUPO DE CREDITO FACTORING]]</f>
        <v>300000000</v>
      </c>
      <c r="Z7" s="200"/>
    </row>
    <row r="8" spans="1:26">
      <c r="A8" s="201" t="s">
        <v>1832</v>
      </c>
      <c r="B8" s="202">
        <v>8357438</v>
      </c>
      <c r="C8" s="208" t="s">
        <v>262</v>
      </c>
      <c r="D8" s="209">
        <v>5189000</v>
      </c>
      <c r="E8" s="205">
        <v>72000000</v>
      </c>
      <c r="F8" s="211">
        <v>87000000</v>
      </c>
      <c r="G8" s="207">
        <f>+Tabla4[[#This Row],[CUPO DE CREDITO FANALCA]]+Tabla4[[#This Row],[CUPO DE CREDITO FACTORING]]</f>
        <v>159000000</v>
      </c>
      <c r="Z8" s="200"/>
    </row>
    <row r="9" spans="1:26">
      <c r="A9" s="201" t="s">
        <v>1832</v>
      </c>
      <c r="B9" s="202">
        <v>1042768777</v>
      </c>
      <c r="C9" s="208" t="s">
        <v>172</v>
      </c>
      <c r="D9" s="209">
        <v>16000000</v>
      </c>
      <c r="E9" s="205">
        <v>12000000</v>
      </c>
      <c r="F9" s="210"/>
      <c r="G9" s="207">
        <f>+Tabla4[[#This Row],[CUPO DE CREDITO FANALCA]]+Tabla4[[#This Row],[CUPO DE CREDITO FACTORING]]</f>
        <v>12000000</v>
      </c>
      <c r="Z9" s="200"/>
    </row>
    <row r="10" spans="1:26">
      <c r="A10" s="201" t="s">
        <v>1831</v>
      </c>
      <c r="B10" s="202">
        <v>98370919</v>
      </c>
      <c r="C10" s="208" t="s">
        <v>109</v>
      </c>
      <c r="D10" s="209">
        <v>20900000</v>
      </c>
      <c r="E10" s="205">
        <v>24000000</v>
      </c>
      <c r="F10" s="210"/>
      <c r="G10" s="207">
        <f>+Tabla4[[#This Row],[CUPO DE CREDITO FANALCA]]+Tabla4[[#This Row],[CUPO DE CREDITO FACTORING]]</f>
        <v>24000000</v>
      </c>
      <c r="Z10" s="200"/>
    </row>
    <row r="11" spans="1:26">
      <c r="A11" s="201" t="s">
        <v>1831</v>
      </c>
      <c r="B11" s="202">
        <v>10538625</v>
      </c>
      <c r="C11" s="208" t="s">
        <v>1920</v>
      </c>
      <c r="D11" s="209">
        <f>183567161-19000000</f>
        <v>164567161</v>
      </c>
      <c r="E11" s="205">
        <v>80000000</v>
      </c>
      <c r="F11" s="206"/>
      <c r="G11" s="207">
        <f>+Tabla4[[#This Row],[CUPO DE CREDITO FANALCA]]+Tabla4[[#This Row],[CUPO DE CREDITO FACTORING]]</f>
        <v>80000000</v>
      </c>
      <c r="Z11" s="200"/>
    </row>
    <row r="12" spans="1:26">
      <c r="A12" s="201" t="s">
        <v>1831</v>
      </c>
      <c r="B12" s="202">
        <v>900215165</v>
      </c>
      <c r="C12" s="208" t="s">
        <v>46</v>
      </c>
      <c r="D12" s="209" t="s">
        <v>1247</v>
      </c>
      <c r="E12" s="205">
        <v>57197673</v>
      </c>
      <c r="F12" s="210"/>
      <c r="G12" s="207">
        <f>+Tabla4[[#This Row],[CUPO DE CREDITO FANALCA]]+Tabla4[[#This Row],[CUPO DE CREDITO FACTORING]]</f>
        <v>57197673</v>
      </c>
      <c r="Z12" s="200"/>
    </row>
    <row r="13" spans="1:26">
      <c r="A13" s="201" t="s">
        <v>1831</v>
      </c>
      <c r="B13" s="202">
        <v>94404403</v>
      </c>
      <c r="C13" s="208" t="s">
        <v>223</v>
      </c>
      <c r="D13" s="209">
        <v>3500000</v>
      </c>
      <c r="E13" s="205">
        <v>0</v>
      </c>
      <c r="F13" s="210"/>
      <c r="G13" s="207">
        <f>+Tabla4[[#This Row],[CUPO DE CREDITO FANALCA]]+Tabla4[[#This Row],[CUPO DE CREDITO FACTORING]]</f>
        <v>0</v>
      </c>
      <c r="Z13" s="200"/>
    </row>
    <row r="14" spans="1:26">
      <c r="A14" s="201" t="s">
        <v>1828</v>
      </c>
      <c r="B14" s="202">
        <v>16891092</v>
      </c>
      <c r="C14" s="203" t="s">
        <v>50</v>
      </c>
      <c r="D14" s="209" t="s">
        <v>1247</v>
      </c>
      <c r="E14" s="205">
        <v>0</v>
      </c>
      <c r="F14" s="206"/>
      <c r="G14" s="207">
        <f>+Tabla4[[#This Row],[CUPO DE CREDITO FANALCA]]+Tabla4[[#This Row],[CUPO DE CREDITO FACTORING]]</f>
        <v>0</v>
      </c>
      <c r="Z14" s="200"/>
    </row>
    <row r="15" spans="1:26">
      <c r="A15" s="201" t="s">
        <v>1833</v>
      </c>
      <c r="B15" s="202">
        <v>800186618</v>
      </c>
      <c r="C15" s="202" t="s">
        <v>61</v>
      </c>
      <c r="D15" s="204" t="s">
        <v>1829</v>
      </c>
      <c r="E15" s="205">
        <v>0</v>
      </c>
      <c r="F15" s="211">
        <v>0</v>
      </c>
      <c r="G15" s="207">
        <f>+Tabla4[[#This Row],[CUPO DE CREDITO FANALCA]]+Tabla4[[#This Row],[CUPO DE CREDITO FACTORING]]</f>
        <v>0</v>
      </c>
      <c r="Z15" s="200"/>
    </row>
    <row r="16" spans="1:26">
      <c r="A16" s="201" t="s">
        <v>1834</v>
      </c>
      <c r="B16" s="202">
        <v>900413902</v>
      </c>
      <c r="C16" s="202" t="s">
        <v>129</v>
      </c>
      <c r="D16" s="209" t="s">
        <v>1247</v>
      </c>
      <c r="E16" s="205">
        <v>5317757</v>
      </c>
      <c r="F16" s="210"/>
      <c r="G16" s="207">
        <f>+Tabla4[[#This Row],[CUPO DE CREDITO FANALCA]]+Tabla4[[#This Row],[CUPO DE CREDITO FACTORING]]</f>
        <v>5317757</v>
      </c>
      <c r="Z16" s="200"/>
    </row>
    <row r="17" spans="1:26">
      <c r="A17" s="201" t="s">
        <v>1834</v>
      </c>
      <c r="B17" s="202">
        <v>800155894</v>
      </c>
      <c r="C17" s="203" t="s">
        <v>1921</v>
      </c>
      <c r="D17" s="209" t="s">
        <v>1247</v>
      </c>
      <c r="E17" s="205">
        <v>143290932</v>
      </c>
      <c r="F17" s="206"/>
      <c r="G17" s="207">
        <f>+Tabla4[[#This Row],[CUPO DE CREDITO FANALCA]]+Tabla4[[#This Row],[CUPO DE CREDITO FACTORING]]</f>
        <v>143290932</v>
      </c>
      <c r="Z17" s="200"/>
    </row>
    <row r="18" spans="1:26">
      <c r="A18" s="201" t="s">
        <v>1833</v>
      </c>
      <c r="B18" s="202">
        <v>5084051</v>
      </c>
      <c r="C18" s="213" t="s">
        <v>116</v>
      </c>
      <c r="D18" s="214">
        <v>13300000</v>
      </c>
      <c r="E18" s="205">
        <v>217000000</v>
      </c>
      <c r="F18" s="206"/>
      <c r="G18" s="207">
        <f>+Tabla4[[#This Row],[CUPO DE CREDITO FANALCA]]+Tabla4[[#This Row],[CUPO DE CREDITO FACTORING]]</f>
        <v>217000000</v>
      </c>
      <c r="Z18" s="200"/>
    </row>
    <row r="19" spans="1:26">
      <c r="A19" s="201" t="s">
        <v>1832</v>
      </c>
      <c r="B19" s="202">
        <v>900314554</v>
      </c>
      <c r="C19" s="203" t="s">
        <v>1835</v>
      </c>
      <c r="D19" s="204" t="s">
        <v>1829</v>
      </c>
      <c r="E19" s="205">
        <v>0</v>
      </c>
      <c r="F19" s="206"/>
      <c r="G19" s="207">
        <f>+Tabla4[[#This Row],[CUPO DE CREDITO FANALCA]]+Tabla4[[#This Row],[CUPO DE CREDITO FACTORING]]</f>
        <v>0</v>
      </c>
      <c r="Z19" s="200"/>
    </row>
    <row r="20" spans="1:26">
      <c r="A20" s="201" t="s">
        <v>1836</v>
      </c>
      <c r="B20" s="202">
        <v>900321039</v>
      </c>
      <c r="C20" s="202" t="s">
        <v>1922</v>
      </c>
      <c r="D20" s="209"/>
      <c r="E20" s="205">
        <v>149858793</v>
      </c>
      <c r="F20" s="206"/>
      <c r="G20" s="207">
        <f>+Tabla4[[#This Row],[CUPO DE CREDITO FANALCA]]+Tabla4[[#This Row],[CUPO DE CREDITO FACTORING]]</f>
        <v>149858793</v>
      </c>
      <c r="Z20" s="200"/>
    </row>
    <row r="21" spans="1:26">
      <c r="A21" s="201" t="s">
        <v>1836</v>
      </c>
      <c r="B21" s="202">
        <v>77104080</v>
      </c>
      <c r="C21" s="202" t="s">
        <v>334</v>
      </c>
      <c r="D21" s="209"/>
      <c r="E21" s="205">
        <v>321278187</v>
      </c>
      <c r="F21" s="206"/>
      <c r="G21" s="207">
        <f>+Tabla4[[#This Row],[CUPO DE CREDITO FANALCA]]+Tabla4[[#This Row],[CUPO DE CREDITO FACTORING]]</f>
        <v>321278187</v>
      </c>
      <c r="Z21" s="200"/>
    </row>
    <row r="22" spans="1:26">
      <c r="A22" s="201" t="s">
        <v>1837</v>
      </c>
      <c r="B22" s="202">
        <v>820004700</v>
      </c>
      <c r="C22" s="202" t="s">
        <v>1838</v>
      </c>
      <c r="D22" s="204"/>
      <c r="E22" s="205">
        <v>100000000</v>
      </c>
      <c r="F22" s="210"/>
      <c r="G22" s="207">
        <f>+Tabla4[[#This Row],[CUPO DE CREDITO FANALCA]]+Tabla4[[#This Row],[CUPO DE CREDITO FACTORING]]</f>
        <v>100000000</v>
      </c>
      <c r="Z22" s="200"/>
    </row>
    <row r="23" spans="1:26">
      <c r="A23" s="201" t="s">
        <v>1834</v>
      </c>
      <c r="B23" s="202">
        <v>900454096</v>
      </c>
      <c r="C23" s="213" t="s">
        <v>1839</v>
      </c>
      <c r="D23" s="209" t="s">
        <v>1247</v>
      </c>
      <c r="E23" s="205">
        <v>20076082</v>
      </c>
      <c r="F23" s="206"/>
      <c r="G23" s="207">
        <f>+Tabla4[[#This Row],[CUPO DE CREDITO FANALCA]]+Tabla4[[#This Row],[CUPO DE CREDITO FACTORING]]</f>
        <v>20076082</v>
      </c>
      <c r="Z23" s="200"/>
    </row>
    <row r="24" spans="1:26">
      <c r="A24" s="201" t="s">
        <v>1832</v>
      </c>
      <c r="B24" s="202">
        <v>812004443</v>
      </c>
      <c r="C24" s="202" t="s">
        <v>93</v>
      </c>
      <c r="D24" s="209" t="s">
        <v>1247</v>
      </c>
      <c r="E24" s="205">
        <v>11683387</v>
      </c>
      <c r="F24" s="211">
        <v>115000000</v>
      </c>
      <c r="G24" s="207">
        <f>+Tabla4[[#This Row],[CUPO DE CREDITO FANALCA]]+Tabla4[[#This Row],[CUPO DE CREDITO FACTORING]]</f>
        <v>126683387</v>
      </c>
      <c r="Z24" s="200"/>
    </row>
    <row r="25" spans="1:26">
      <c r="A25" s="201" t="s">
        <v>1832</v>
      </c>
      <c r="B25" s="202">
        <v>900228870</v>
      </c>
      <c r="C25" s="203" t="s">
        <v>1923</v>
      </c>
      <c r="D25" s="204" t="s">
        <v>1829</v>
      </c>
      <c r="E25" s="205">
        <v>0</v>
      </c>
      <c r="F25" s="206"/>
      <c r="G25" s="207">
        <f>+Tabla4[[#This Row],[CUPO DE CREDITO FANALCA]]+Tabla4[[#This Row],[CUPO DE CREDITO FACTORING]]</f>
        <v>0</v>
      </c>
      <c r="Z25" s="200"/>
    </row>
    <row r="26" spans="1:26">
      <c r="A26" s="201" t="s">
        <v>1832</v>
      </c>
      <c r="B26" s="202">
        <v>900086472</v>
      </c>
      <c r="C26" s="213" t="s">
        <v>1931</v>
      </c>
      <c r="D26" s="209" t="s">
        <v>1247</v>
      </c>
      <c r="E26" s="205">
        <v>292067392</v>
      </c>
      <c r="F26" s="210"/>
      <c r="G26" s="207">
        <f>+Tabla4[[#This Row],[CUPO DE CREDITO FANALCA]]+Tabla4[[#This Row],[CUPO DE CREDITO FACTORING]]</f>
        <v>292067392</v>
      </c>
      <c r="Z26" s="200"/>
    </row>
    <row r="27" spans="1:26">
      <c r="A27" s="201" t="s">
        <v>1832</v>
      </c>
      <c r="B27" s="202">
        <v>900060537</v>
      </c>
      <c r="C27" s="203" t="s">
        <v>239</v>
      </c>
      <c r="D27" s="209" t="s">
        <v>1247</v>
      </c>
      <c r="E27" s="205">
        <v>69613164</v>
      </c>
      <c r="F27" s="210"/>
      <c r="G27" s="207">
        <f>+Tabla4[[#This Row],[CUPO DE CREDITO FANALCA]]+Tabla4[[#This Row],[CUPO DE CREDITO FACTORING]]</f>
        <v>69613164</v>
      </c>
      <c r="Z27" s="200"/>
    </row>
    <row r="28" spans="1:26">
      <c r="A28" s="201" t="s">
        <v>1836</v>
      </c>
      <c r="B28" s="202">
        <v>806015728</v>
      </c>
      <c r="C28" s="213" t="s">
        <v>1840</v>
      </c>
      <c r="D28" s="209">
        <v>2700000</v>
      </c>
      <c r="E28" s="205">
        <v>202000000</v>
      </c>
      <c r="F28" s="210"/>
      <c r="G28" s="207">
        <f>+Tabla4[[#This Row],[CUPO DE CREDITO FANALCA]]+Tabla4[[#This Row],[CUPO DE CREDITO FACTORING]]</f>
        <v>202000000</v>
      </c>
      <c r="Z28" s="200"/>
    </row>
    <row r="29" spans="1:26">
      <c r="A29" s="201" t="s">
        <v>1832</v>
      </c>
      <c r="B29" s="202">
        <v>900593566</v>
      </c>
      <c r="C29" s="203" t="s">
        <v>1841</v>
      </c>
      <c r="D29" s="209" t="s">
        <v>1247</v>
      </c>
      <c r="E29" s="205">
        <v>17808541</v>
      </c>
      <c r="F29" s="210"/>
      <c r="G29" s="207">
        <f>+Tabla4[[#This Row],[CUPO DE CREDITO FANALCA]]+Tabla4[[#This Row],[CUPO DE CREDITO FACTORING]]</f>
        <v>17808541</v>
      </c>
      <c r="Z29" s="200"/>
    </row>
    <row r="30" spans="1:26">
      <c r="A30" s="201" t="s">
        <v>1832</v>
      </c>
      <c r="B30" s="202">
        <v>10896832</v>
      </c>
      <c r="C30" s="215" t="s">
        <v>315</v>
      </c>
      <c r="D30" s="209" t="s">
        <v>1247</v>
      </c>
      <c r="E30" s="205">
        <v>55258797</v>
      </c>
      <c r="F30" s="206"/>
      <c r="G30" s="207">
        <f>+Tabla4[[#This Row],[CUPO DE CREDITO FANALCA]]+Tabla4[[#This Row],[CUPO DE CREDITO FACTORING]]</f>
        <v>55258797</v>
      </c>
      <c r="Z30" s="200"/>
    </row>
    <row r="31" spans="1:26">
      <c r="A31" s="216" t="s">
        <v>275</v>
      </c>
      <c r="B31" s="202">
        <v>9261453</v>
      </c>
      <c r="C31" s="213" t="s">
        <v>197</v>
      </c>
      <c r="D31" s="209">
        <v>20000000</v>
      </c>
      <c r="E31" s="205">
        <v>48000000</v>
      </c>
      <c r="F31" s="206"/>
      <c r="G31" s="207">
        <f>+Tabla4[[#This Row],[CUPO DE CREDITO FANALCA]]+Tabla4[[#This Row],[CUPO DE CREDITO FACTORING]]</f>
        <v>48000000</v>
      </c>
      <c r="Z31" s="200"/>
    </row>
    <row r="32" spans="1:26">
      <c r="A32" s="201" t="s">
        <v>1832</v>
      </c>
      <c r="B32" s="202">
        <v>900345712</v>
      </c>
      <c r="C32" s="217" t="s">
        <v>1935</v>
      </c>
      <c r="D32" s="204" t="s">
        <v>1829</v>
      </c>
      <c r="E32" s="205">
        <v>0</v>
      </c>
      <c r="F32" s="206"/>
      <c r="G32" s="207">
        <f>+Tabla4[[#This Row],[CUPO DE CREDITO FANALCA]]+Tabla4[[#This Row],[CUPO DE CREDITO FACTORING]]</f>
        <v>0</v>
      </c>
      <c r="Z32" s="200"/>
    </row>
    <row r="33" spans="1:26">
      <c r="A33" s="216" t="s">
        <v>275</v>
      </c>
      <c r="B33" s="202">
        <v>10886574</v>
      </c>
      <c r="C33" s="213" t="s">
        <v>146</v>
      </c>
      <c r="D33" s="209" t="s">
        <v>1247</v>
      </c>
      <c r="E33" s="205">
        <v>106064657</v>
      </c>
      <c r="F33" s="218"/>
      <c r="G33" s="207">
        <f>+Tabla4[[#This Row],[CUPO DE CREDITO FANALCA]]+Tabla4[[#This Row],[CUPO DE CREDITO FACTORING]]</f>
        <v>106064657</v>
      </c>
      <c r="Z33" s="200"/>
    </row>
    <row r="34" spans="1:26">
      <c r="A34" s="201" t="s">
        <v>1832</v>
      </c>
      <c r="B34" s="202">
        <v>900573176</v>
      </c>
      <c r="C34" s="213" t="s">
        <v>1842</v>
      </c>
      <c r="D34" s="209" t="s">
        <v>1247</v>
      </c>
      <c r="E34" s="205">
        <v>4493289</v>
      </c>
      <c r="F34" s="206"/>
      <c r="G34" s="207">
        <f>+Tabla4[[#This Row],[CUPO DE CREDITO FANALCA]]+Tabla4[[#This Row],[CUPO DE CREDITO FACTORING]]</f>
        <v>4493289</v>
      </c>
      <c r="Z34" s="200"/>
    </row>
    <row r="35" spans="1:26">
      <c r="A35" s="201" t="s">
        <v>1832</v>
      </c>
      <c r="B35" s="202">
        <v>14243043</v>
      </c>
      <c r="C35" s="217" t="s">
        <v>1843</v>
      </c>
      <c r="D35" s="209">
        <v>365000</v>
      </c>
      <c r="E35" s="205">
        <v>100000000</v>
      </c>
      <c r="F35" s="206"/>
      <c r="G35" s="207">
        <f>+Tabla4[[#This Row],[CUPO DE CREDITO FANALCA]]+Tabla4[[#This Row],[CUPO DE CREDITO FACTORING]]</f>
        <v>100000000</v>
      </c>
      <c r="Z35" s="200"/>
    </row>
    <row r="36" spans="1:26">
      <c r="A36" s="201" t="s">
        <v>1832</v>
      </c>
      <c r="B36" s="202">
        <v>900473906</v>
      </c>
      <c r="C36" s="203" t="s">
        <v>1924</v>
      </c>
      <c r="D36" s="209" t="s">
        <v>1247</v>
      </c>
      <c r="E36" s="205">
        <v>4658169</v>
      </c>
      <c r="F36" s="206"/>
      <c r="G36" s="207">
        <f>+Tabla4[[#This Row],[CUPO DE CREDITO FANALCA]]+Tabla4[[#This Row],[CUPO DE CREDITO FACTORING]]</f>
        <v>4658169</v>
      </c>
      <c r="Z36" s="200"/>
    </row>
    <row r="37" spans="1:26">
      <c r="A37" s="216" t="s">
        <v>275</v>
      </c>
      <c r="B37" s="202">
        <v>49760639</v>
      </c>
      <c r="C37" s="208" t="s">
        <v>229</v>
      </c>
      <c r="D37" s="209" t="s">
        <v>1247</v>
      </c>
      <c r="E37" s="205">
        <v>34663003</v>
      </c>
      <c r="F37" s="206"/>
      <c r="G37" s="207">
        <f>+Tabla4[[#This Row],[CUPO DE CREDITO FANALCA]]+Tabla4[[#This Row],[CUPO DE CREDITO FACTORING]]</f>
        <v>34663003</v>
      </c>
      <c r="Z37" s="200"/>
    </row>
    <row r="38" spans="1:26">
      <c r="A38" s="219" t="s">
        <v>275</v>
      </c>
      <c r="B38" s="202">
        <v>85166081</v>
      </c>
      <c r="C38" s="208" t="s">
        <v>91</v>
      </c>
      <c r="D38" s="209">
        <f>88000000-50000000</f>
        <v>38000000</v>
      </c>
      <c r="E38" s="205">
        <v>107000000</v>
      </c>
      <c r="F38" s="206"/>
      <c r="G38" s="207">
        <f>+Tabla4[[#This Row],[CUPO DE CREDITO FANALCA]]+Tabla4[[#This Row],[CUPO DE CREDITO FACTORING]]</f>
        <v>107000000</v>
      </c>
      <c r="Z38" s="200"/>
    </row>
    <row r="39" spans="1:26">
      <c r="A39" s="201" t="s">
        <v>1837</v>
      </c>
      <c r="B39" s="202">
        <v>900334447</v>
      </c>
      <c r="C39" s="215" t="s">
        <v>1925</v>
      </c>
      <c r="D39" s="204" t="s">
        <v>1829</v>
      </c>
      <c r="E39" s="205">
        <v>0</v>
      </c>
      <c r="F39" s="220"/>
      <c r="G39" s="207">
        <f>+Tabla4[[#This Row],[CUPO DE CREDITO FANALCA]]+Tabla4[[#This Row],[CUPO DE CREDITO FACTORING]]</f>
        <v>0</v>
      </c>
      <c r="Z39" s="200"/>
    </row>
    <row r="40" spans="1:26">
      <c r="A40" s="219" t="s">
        <v>276</v>
      </c>
      <c r="B40" s="202">
        <v>18125225</v>
      </c>
      <c r="C40" s="203" t="s">
        <v>69</v>
      </c>
      <c r="D40" s="209">
        <v>264217093</v>
      </c>
      <c r="E40" s="205">
        <v>400000000</v>
      </c>
      <c r="F40" s="211">
        <v>452000000</v>
      </c>
      <c r="G40" s="207">
        <f>+Tabla4[[#This Row],[CUPO DE CREDITO FANALCA]]+Tabla4[[#This Row],[CUPO DE CREDITO FACTORING]]</f>
        <v>852000000</v>
      </c>
      <c r="Z40" s="200"/>
    </row>
    <row r="41" spans="1:26">
      <c r="A41" s="201" t="s">
        <v>1837</v>
      </c>
      <c r="B41" s="202">
        <v>79204832</v>
      </c>
      <c r="C41" s="215" t="s">
        <v>190</v>
      </c>
      <c r="D41" s="209">
        <v>26000000</v>
      </c>
      <c r="E41" s="205">
        <v>243000000</v>
      </c>
      <c r="F41" s="210"/>
      <c r="G41" s="207">
        <f>+Tabla4[[#This Row],[CUPO DE CREDITO FANALCA]]+Tabla4[[#This Row],[CUPO DE CREDITO FACTORING]]</f>
        <v>243000000</v>
      </c>
      <c r="Z41" s="200"/>
    </row>
    <row r="42" spans="1:26">
      <c r="A42" s="201" t="s">
        <v>1837</v>
      </c>
      <c r="B42" s="202">
        <v>900599349</v>
      </c>
      <c r="C42" s="203" t="s">
        <v>185</v>
      </c>
      <c r="D42" s="209" t="s">
        <v>1247</v>
      </c>
      <c r="E42" s="205">
        <v>0</v>
      </c>
      <c r="F42" s="206"/>
      <c r="G42" s="207">
        <f>+Tabla4[[#This Row],[CUPO DE CREDITO FANALCA]]+Tabla4[[#This Row],[CUPO DE CREDITO FACTORING]]</f>
        <v>0</v>
      </c>
      <c r="Z42" s="200"/>
    </row>
    <row r="43" spans="1:26">
      <c r="A43" s="219" t="s">
        <v>276</v>
      </c>
      <c r="B43" s="202">
        <v>1072648809</v>
      </c>
      <c r="C43" s="203" t="s">
        <v>211</v>
      </c>
      <c r="D43" s="204" t="s">
        <v>1829</v>
      </c>
      <c r="E43" s="205">
        <v>0</v>
      </c>
      <c r="F43" s="211">
        <v>0</v>
      </c>
      <c r="G43" s="207">
        <f>+Tabla4[[#This Row],[CUPO DE CREDITO FANALCA]]+Tabla4[[#This Row],[CUPO DE CREDITO FACTORING]]</f>
        <v>0</v>
      </c>
      <c r="Z43" s="200"/>
    </row>
    <row r="44" spans="1:26">
      <c r="A44" s="201" t="s">
        <v>1837</v>
      </c>
      <c r="B44" s="202">
        <v>2907207</v>
      </c>
      <c r="C44" s="215" t="s">
        <v>102</v>
      </c>
      <c r="D44" s="204" t="s">
        <v>1829</v>
      </c>
      <c r="E44" s="205">
        <v>0</v>
      </c>
      <c r="F44" s="221"/>
      <c r="G44" s="207">
        <f>+Tabla4[[#This Row],[CUPO DE CREDITO FANALCA]]+Tabla4[[#This Row],[CUPO DE CREDITO FACTORING]]</f>
        <v>0</v>
      </c>
      <c r="Z44" s="200"/>
    </row>
    <row r="45" spans="1:26">
      <c r="A45" s="201" t="s">
        <v>1837</v>
      </c>
      <c r="B45" s="202">
        <v>900425597</v>
      </c>
      <c r="C45" s="202" t="s">
        <v>103</v>
      </c>
      <c r="D45" s="204" t="s">
        <v>1247</v>
      </c>
      <c r="E45" s="205">
        <v>14569016</v>
      </c>
      <c r="F45" s="210"/>
      <c r="G45" s="207">
        <f>+Tabla4[[#This Row],[CUPO DE CREDITO FANALCA]]+Tabla4[[#This Row],[CUPO DE CREDITO FACTORING]]</f>
        <v>14569016</v>
      </c>
      <c r="Z45" s="200"/>
    </row>
    <row r="46" spans="1:26">
      <c r="A46" s="201" t="s">
        <v>1837</v>
      </c>
      <c r="B46" s="202">
        <v>900400965</v>
      </c>
      <c r="C46" s="203" t="s">
        <v>260</v>
      </c>
      <c r="D46" s="209" t="s">
        <v>1247</v>
      </c>
      <c r="E46" s="205">
        <v>6817670</v>
      </c>
      <c r="F46" s="206"/>
      <c r="G46" s="207">
        <f>+Tabla4[[#This Row],[CUPO DE CREDITO FANALCA]]+Tabla4[[#This Row],[CUPO DE CREDITO FACTORING]]</f>
        <v>6817670</v>
      </c>
      <c r="Z46" s="200"/>
    </row>
    <row r="47" spans="1:26">
      <c r="A47" s="201" t="s">
        <v>1837</v>
      </c>
      <c r="B47" s="202">
        <v>19291768</v>
      </c>
      <c r="C47" s="215" t="s">
        <v>191</v>
      </c>
      <c r="D47" s="209">
        <f>26700000-15200000</f>
        <v>11500000</v>
      </c>
      <c r="E47" s="205">
        <v>67000000</v>
      </c>
      <c r="F47" s="210"/>
      <c r="G47" s="207">
        <f>+Tabla4[[#This Row],[CUPO DE CREDITO FANALCA]]+Tabla4[[#This Row],[CUPO DE CREDITO FACTORING]]</f>
        <v>67000000</v>
      </c>
      <c r="Z47" s="200"/>
    </row>
    <row r="48" spans="1:26">
      <c r="A48" s="222">
        <v>6</v>
      </c>
      <c r="B48" s="202">
        <v>16614938</v>
      </c>
      <c r="C48" s="215" t="s">
        <v>72</v>
      </c>
      <c r="D48" s="209">
        <v>47000000</v>
      </c>
      <c r="E48" s="205">
        <v>325000000</v>
      </c>
      <c r="F48" s="210"/>
      <c r="G48" s="207">
        <f>+Tabla4[[#This Row],[CUPO DE CREDITO FANALCA]]+Tabla4[[#This Row],[CUPO DE CREDITO FACTORING]]</f>
        <v>325000000</v>
      </c>
      <c r="Z48" s="200"/>
    </row>
    <row r="49" spans="1:26">
      <c r="A49" s="201" t="s">
        <v>1834</v>
      </c>
      <c r="B49" s="202">
        <v>23780840</v>
      </c>
      <c r="C49" s="208" t="s">
        <v>127</v>
      </c>
      <c r="D49" s="214">
        <v>12300000</v>
      </c>
      <c r="E49" s="205">
        <v>28000000</v>
      </c>
      <c r="F49" s="210"/>
      <c r="G49" s="207">
        <f>+Tabla4[[#This Row],[CUPO DE CREDITO FANALCA]]+Tabla4[[#This Row],[CUPO DE CREDITO FACTORING]]</f>
        <v>28000000</v>
      </c>
      <c r="Z49" s="200"/>
    </row>
    <row r="50" spans="1:26">
      <c r="A50" s="223"/>
      <c r="B50" s="224"/>
      <c r="C50" s="225"/>
      <c r="D50" s="226"/>
      <c r="E50" s="227"/>
      <c r="F50" s="228"/>
      <c r="G50" s="207">
        <f>+Tabla4[[#This Row],[CUPO DE CREDITO FANALCA]]+Tabla4[[#This Row],[CUPO DE CREDITO FACTORING]]</f>
        <v>0</v>
      </c>
      <c r="Y50" s="200"/>
      <c r="Z50" s="200"/>
    </row>
    <row r="51" spans="1:26">
      <c r="A51" s="201" t="s">
        <v>1837</v>
      </c>
      <c r="B51" s="202">
        <v>826002217</v>
      </c>
      <c r="C51" s="203" t="s">
        <v>1844</v>
      </c>
      <c r="D51" s="204"/>
      <c r="E51" s="205">
        <v>280000000</v>
      </c>
      <c r="F51" s="210"/>
      <c r="G51" s="207">
        <f>+Tabla4[[#This Row],[CUPO DE CREDITO FANALCA]]+Tabla4[[#This Row],[CUPO DE CREDITO FACTORING]]</f>
        <v>280000000</v>
      </c>
      <c r="Y51" s="200"/>
      <c r="Z51" s="200"/>
    </row>
    <row r="52" spans="1:26">
      <c r="A52" s="201" t="s">
        <v>1834</v>
      </c>
      <c r="B52" s="202">
        <v>804010362</v>
      </c>
      <c r="C52" s="212" t="s">
        <v>393</v>
      </c>
      <c r="D52" s="204"/>
      <c r="E52" s="205">
        <v>147808506</v>
      </c>
      <c r="F52" s="210"/>
      <c r="G52" s="207">
        <f>+Tabla4[[#This Row],[CUPO DE CREDITO FANALCA]]+Tabla4[[#This Row],[CUPO DE CREDITO FACTORING]]</f>
        <v>147808506</v>
      </c>
      <c r="Y52" s="200"/>
      <c r="Z52" s="200"/>
    </row>
    <row r="53" spans="1:26">
      <c r="A53" s="229"/>
      <c r="B53" s="202">
        <v>891701917</v>
      </c>
      <c r="C53" s="230" t="s">
        <v>297</v>
      </c>
      <c r="D53" s="204"/>
      <c r="E53" s="205">
        <v>158508481</v>
      </c>
      <c r="F53" s="210"/>
      <c r="G53" s="207">
        <f>+Tabla4[[#This Row],[CUPO DE CREDITO FANALCA]]+Tabla4[[#This Row],[CUPO DE CREDITO FACTORING]]</f>
        <v>158508481</v>
      </c>
      <c r="Y53" s="200"/>
      <c r="Z53" s="200"/>
    </row>
    <row r="54" spans="1:26">
      <c r="A54" s="223"/>
      <c r="B54" s="224"/>
      <c r="C54" s="231"/>
      <c r="D54" s="232"/>
      <c r="E54" s="231"/>
      <c r="F54" s="228"/>
      <c r="G54" s="207">
        <f>+Tabla4[[#This Row],[CUPO DE CREDITO FANALCA]]+Tabla4[[#This Row],[CUPO DE CREDITO FACTORING]]</f>
        <v>0</v>
      </c>
      <c r="Y54" s="200"/>
      <c r="Z54" s="200"/>
    </row>
    <row r="55" spans="1:26">
      <c r="A55" s="201" t="s">
        <v>1828</v>
      </c>
      <c r="B55" s="202">
        <v>900439362</v>
      </c>
      <c r="C55" s="203" t="s">
        <v>266</v>
      </c>
      <c r="D55" s="209">
        <v>28640233</v>
      </c>
      <c r="E55" s="233">
        <v>0</v>
      </c>
      <c r="F55" s="210"/>
      <c r="G55" s="207">
        <f>+Tabla4[[#This Row],[CUPO DE CREDITO FANALCA]]+Tabla4[[#This Row],[CUPO DE CREDITO FACTORING]]</f>
        <v>0</v>
      </c>
      <c r="Y55" s="200"/>
      <c r="Z55" s="200"/>
    </row>
    <row r="56" spans="1:26">
      <c r="A56" s="201" t="s">
        <v>1836</v>
      </c>
      <c r="B56" s="202">
        <v>1065840417</v>
      </c>
      <c r="C56" s="203" t="s">
        <v>1926</v>
      </c>
      <c r="D56" s="209">
        <v>1834960</v>
      </c>
      <c r="E56" s="233">
        <v>0</v>
      </c>
      <c r="F56" s="210"/>
      <c r="G56" s="207">
        <f>+Tabla4[[#This Row],[CUPO DE CREDITO FANALCA]]+Tabla4[[#This Row],[CUPO DE CREDITO FACTORING]]</f>
        <v>0</v>
      </c>
      <c r="Y56" s="200"/>
      <c r="Z56" s="200"/>
    </row>
    <row r="57" spans="1:26">
      <c r="A57" s="201" t="s">
        <v>1831</v>
      </c>
      <c r="B57" s="202">
        <v>27452030</v>
      </c>
      <c r="C57" s="251" t="s">
        <v>111</v>
      </c>
      <c r="D57" s="209">
        <v>964828</v>
      </c>
      <c r="E57" s="233">
        <v>0</v>
      </c>
      <c r="F57" s="210"/>
      <c r="G57" s="207">
        <f>+Tabla4[[#This Row],[CUPO DE CREDITO FANALCA]]+Tabla4[[#This Row],[CUPO DE CREDITO FACTORING]]</f>
        <v>0</v>
      </c>
      <c r="Y57" s="200"/>
      <c r="Z57" s="200"/>
    </row>
    <row r="58" spans="1:26">
      <c r="A58" s="234" t="s">
        <v>1845</v>
      </c>
      <c r="B58" s="202">
        <v>900568580</v>
      </c>
      <c r="C58" s="203" t="s">
        <v>1846</v>
      </c>
      <c r="D58" s="209">
        <v>477803</v>
      </c>
      <c r="E58" s="233">
        <v>0</v>
      </c>
      <c r="F58" s="210"/>
      <c r="G58" s="207">
        <f>+Tabla4[[#This Row],[CUPO DE CREDITO FANALCA]]+Tabla4[[#This Row],[CUPO DE CREDITO FACTORING]]</f>
        <v>0</v>
      </c>
      <c r="Y58" s="200"/>
      <c r="Z58" s="200"/>
    </row>
    <row r="59" spans="1:26">
      <c r="A59" s="201" t="s">
        <v>1831</v>
      </c>
      <c r="B59" s="235">
        <v>10305214</v>
      </c>
      <c r="C59" s="236" t="s">
        <v>1847</v>
      </c>
      <c r="D59" s="237">
        <v>0</v>
      </c>
      <c r="E59" s="233">
        <v>0</v>
      </c>
      <c r="F59" s="238">
        <v>0</v>
      </c>
      <c r="G59" s="207">
        <f>+Tabla4[[#This Row],[CUPO DE CREDITO FANALCA]]+Tabla4[[#This Row],[CUPO DE CREDITO FACTORING]]</f>
        <v>0</v>
      </c>
      <c r="Y59" s="200"/>
      <c r="Z59" s="200"/>
    </row>
    <row r="60" spans="1:26">
      <c r="A60" s="201" t="s">
        <v>1832</v>
      </c>
      <c r="B60" s="202">
        <v>900012357</v>
      </c>
      <c r="C60" s="202" t="s">
        <v>267</v>
      </c>
      <c r="D60" s="209">
        <v>32595942</v>
      </c>
      <c r="E60" s="233">
        <v>0</v>
      </c>
      <c r="F60" s="210"/>
      <c r="G60" s="207">
        <f>+Tabla4[[#This Row],[CUPO DE CREDITO FANALCA]]+Tabla4[[#This Row],[CUPO DE CREDITO FACTORING]]</f>
        <v>0</v>
      </c>
      <c r="Y60" s="200"/>
      <c r="Z60" s="200"/>
    </row>
    <row r="61" spans="1:26" ht="15">
      <c r="A61" s="201" t="s">
        <v>1832</v>
      </c>
      <c r="B61" s="202">
        <v>890907848</v>
      </c>
      <c r="C61" s="202" t="s">
        <v>1932</v>
      </c>
      <c r="D61" s="209" t="e">
        <v>#N/A</v>
      </c>
      <c r="E61" s="233">
        <v>0</v>
      </c>
      <c r="F61" s="210"/>
      <c r="G61" s="207">
        <f>+Tabla4[[#This Row],[CUPO DE CREDITO FANALCA]]+Tabla4[[#This Row],[CUPO DE CREDITO FACTORING]]</f>
        <v>0</v>
      </c>
      <c r="Y61" s="200"/>
      <c r="Z61" s="200"/>
    </row>
    <row r="62" spans="1:26">
      <c r="A62" s="201" t="s">
        <v>1832</v>
      </c>
      <c r="B62" s="202">
        <v>1047964676</v>
      </c>
      <c r="C62" s="202" t="s">
        <v>475</v>
      </c>
      <c r="D62" s="209">
        <v>4709872</v>
      </c>
      <c r="E62" s="233">
        <v>0</v>
      </c>
      <c r="F62" s="210"/>
      <c r="G62" s="207">
        <f>+Tabla4[[#This Row],[CUPO DE CREDITO FANALCA]]+Tabla4[[#This Row],[CUPO DE CREDITO FACTORING]]</f>
        <v>0</v>
      </c>
      <c r="Y62" s="200"/>
      <c r="Z62" s="200"/>
    </row>
    <row r="63" spans="1:26">
      <c r="A63" s="201" t="s">
        <v>1832</v>
      </c>
      <c r="B63" s="202">
        <v>900539934</v>
      </c>
      <c r="C63" s="203" t="s">
        <v>268</v>
      </c>
      <c r="D63" s="209">
        <v>1211587</v>
      </c>
      <c r="E63" s="233">
        <v>0</v>
      </c>
      <c r="F63" s="210"/>
      <c r="G63" s="207">
        <f>+Tabla4[[#This Row],[CUPO DE CREDITO FANALCA]]+Tabla4[[#This Row],[CUPO DE CREDITO FACTORING]]</f>
        <v>0</v>
      </c>
      <c r="Y63" s="200"/>
      <c r="Z63" s="200"/>
    </row>
    <row r="64" spans="1:26">
      <c r="A64" s="201" t="s">
        <v>1831</v>
      </c>
      <c r="B64" s="202">
        <v>36284552</v>
      </c>
      <c r="C64" s="203" t="s">
        <v>217</v>
      </c>
      <c r="D64" s="239">
        <v>2165091</v>
      </c>
      <c r="E64" s="233">
        <v>0</v>
      </c>
      <c r="F64" s="210"/>
      <c r="G64" s="207">
        <f>+Tabla4[[#This Row],[CUPO DE CREDITO FANALCA]]+Tabla4[[#This Row],[CUPO DE CREDITO FACTORING]]</f>
        <v>0</v>
      </c>
      <c r="Y64" s="200"/>
      <c r="Z64" s="200"/>
    </row>
    <row r="65" spans="1:26">
      <c r="A65" s="201" t="s">
        <v>1832</v>
      </c>
      <c r="B65" s="202">
        <v>830503254</v>
      </c>
      <c r="C65" s="203" t="s">
        <v>1848</v>
      </c>
      <c r="D65" s="209">
        <v>209655</v>
      </c>
      <c r="E65" s="233">
        <v>0</v>
      </c>
      <c r="F65" s="210"/>
      <c r="G65" s="207">
        <f>+Tabla4[[#This Row],[CUPO DE CREDITO FANALCA]]+Tabla4[[#This Row],[CUPO DE CREDITO FACTORING]]</f>
        <v>0</v>
      </c>
      <c r="Y65" s="200"/>
      <c r="Z65" s="200"/>
    </row>
    <row r="66" spans="1:26">
      <c r="A66" s="240" t="s">
        <v>1849</v>
      </c>
      <c r="B66" s="202">
        <v>900495592</v>
      </c>
      <c r="C66" s="203" t="s">
        <v>1850</v>
      </c>
      <c r="D66" s="209" t="e">
        <v>#N/A</v>
      </c>
      <c r="E66" s="233">
        <v>0</v>
      </c>
      <c r="F66" s="210"/>
      <c r="G66" s="207">
        <f>+Tabla4[[#This Row],[CUPO DE CREDITO FANALCA]]+Tabla4[[#This Row],[CUPO DE CREDITO FACTORING]]</f>
        <v>0</v>
      </c>
      <c r="Y66" s="200"/>
      <c r="Z66" s="200"/>
    </row>
    <row r="67" spans="1:26">
      <c r="A67" s="201" t="s">
        <v>1833</v>
      </c>
      <c r="B67" s="202">
        <v>900531076</v>
      </c>
      <c r="C67" s="202" t="s">
        <v>269</v>
      </c>
      <c r="D67" s="209">
        <v>62679</v>
      </c>
      <c r="E67" s="233">
        <v>0</v>
      </c>
      <c r="F67" s="210"/>
      <c r="G67" s="207">
        <f>+Tabla4[[#This Row],[CUPO DE CREDITO FANALCA]]+Tabla4[[#This Row],[CUPO DE CREDITO FACTORING]]</f>
        <v>0</v>
      </c>
      <c r="Y67" s="200"/>
      <c r="Z67" s="200"/>
    </row>
    <row r="68" spans="1:26">
      <c r="A68" s="201" t="s">
        <v>1833</v>
      </c>
      <c r="B68" s="235">
        <v>1098623565</v>
      </c>
      <c r="C68" s="235" t="s">
        <v>1851</v>
      </c>
      <c r="D68" s="237">
        <v>0</v>
      </c>
      <c r="E68" s="233">
        <v>0</v>
      </c>
      <c r="F68" s="238">
        <v>232000000</v>
      </c>
      <c r="G68" s="207">
        <f>+Tabla4[[#This Row],[CUPO DE CREDITO FANALCA]]+Tabla4[[#This Row],[CUPO DE CREDITO FACTORING]]</f>
        <v>232000000</v>
      </c>
      <c r="Y68" s="200"/>
      <c r="Z68" s="200"/>
    </row>
    <row r="69" spans="1:26">
      <c r="A69" s="201" t="s">
        <v>1836</v>
      </c>
      <c r="B69" s="202">
        <v>73020742</v>
      </c>
      <c r="C69" s="202" t="s">
        <v>1852</v>
      </c>
      <c r="D69" s="209">
        <v>106814021</v>
      </c>
      <c r="E69" s="233">
        <v>0</v>
      </c>
      <c r="F69" s="210"/>
      <c r="G69" s="207">
        <f>+Tabla4[[#This Row],[CUPO DE CREDITO FANALCA]]+Tabla4[[#This Row],[CUPO DE CREDITO FACTORING]]</f>
        <v>0</v>
      </c>
      <c r="Y69" s="200"/>
      <c r="Z69" s="200"/>
    </row>
    <row r="70" spans="1:26">
      <c r="A70" s="201" t="s">
        <v>1836</v>
      </c>
      <c r="B70" s="202">
        <v>900768559</v>
      </c>
      <c r="C70" s="202" t="s">
        <v>398</v>
      </c>
      <c r="D70" s="209">
        <v>20422454</v>
      </c>
      <c r="E70" s="233">
        <v>0</v>
      </c>
      <c r="F70" s="210"/>
      <c r="G70" s="207">
        <f>+Tabla4[[#This Row],[CUPO DE CREDITO FANALCA]]+Tabla4[[#This Row],[CUPO DE CREDITO FACTORING]]</f>
        <v>0</v>
      </c>
      <c r="Y70" s="200"/>
      <c r="Z70" s="200"/>
    </row>
    <row r="71" spans="1:26">
      <c r="A71" s="201" t="s">
        <v>1834</v>
      </c>
      <c r="B71" s="241">
        <v>13747600</v>
      </c>
      <c r="C71" s="203" t="s">
        <v>1853</v>
      </c>
      <c r="D71" s="209">
        <v>557602</v>
      </c>
      <c r="E71" s="233">
        <v>0</v>
      </c>
      <c r="F71" s="210"/>
      <c r="G71" s="207">
        <f>+Tabla4[[#This Row],[CUPO DE CREDITO FANALCA]]+Tabla4[[#This Row],[CUPO DE CREDITO FACTORING]]</f>
        <v>0</v>
      </c>
      <c r="Y71" s="200"/>
      <c r="Z71" s="200"/>
    </row>
    <row r="72" spans="1:26">
      <c r="A72" s="201" t="s">
        <v>1832</v>
      </c>
      <c r="B72" s="235">
        <v>900371112</v>
      </c>
      <c r="C72" s="236" t="s">
        <v>1854</v>
      </c>
      <c r="D72" s="237">
        <v>15854000</v>
      </c>
      <c r="E72" s="233">
        <v>0</v>
      </c>
      <c r="F72" s="210"/>
      <c r="G72" s="207">
        <f>+Tabla4[[#This Row],[CUPO DE CREDITO FANALCA]]+Tabla4[[#This Row],[CUPO DE CREDITO FACTORING]]</f>
        <v>0</v>
      </c>
      <c r="Y72" s="200"/>
      <c r="Z72" s="200"/>
    </row>
    <row r="73" spans="1:26">
      <c r="A73" s="201" t="s">
        <v>1832</v>
      </c>
      <c r="B73" s="202">
        <v>900086154</v>
      </c>
      <c r="C73" s="203" t="s">
        <v>1855</v>
      </c>
      <c r="D73" s="209">
        <v>27045038</v>
      </c>
      <c r="E73" s="233">
        <v>0</v>
      </c>
      <c r="F73" s="210"/>
      <c r="G73" s="207">
        <f>+Tabla4[[#This Row],[CUPO DE CREDITO FANALCA]]+Tabla4[[#This Row],[CUPO DE CREDITO FACTORING]]</f>
        <v>0</v>
      </c>
      <c r="Y73" s="200"/>
      <c r="Z73" s="200"/>
    </row>
    <row r="74" spans="1:26">
      <c r="A74" s="201" t="s">
        <v>1832</v>
      </c>
      <c r="B74" s="202">
        <v>900521663</v>
      </c>
      <c r="C74" s="202" t="s">
        <v>159</v>
      </c>
      <c r="D74" s="209">
        <v>20554809</v>
      </c>
      <c r="E74" s="233">
        <v>0</v>
      </c>
      <c r="F74" s="210"/>
      <c r="G74" s="207">
        <f>+Tabla4[[#This Row],[CUPO DE CREDITO FANALCA]]+Tabla4[[#This Row],[CUPO DE CREDITO FACTORING]]</f>
        <v>0</v>
      </c>
      <c r="Y74" s="200"/>
      <c r="Z74" s="200"/>
    </row>
    <row r="75" spans="1:26">
      <c r="A75" s="240" t="s">
        <v>1849</v>
      </c>
      <c r="B75" s="202">
        <v>900545852</v>
      </c>
      <c r="C75" s="203" t="s">
        <v>1856</v>
      </c>
      <c r="D75" s="209">
        <v>1272524</v>
      </c>
      <c r="E75" s="233">
        <v>0</v>
      </c>
      <c r="F75" s="210"/>
      <c r="G75" s="207">
        <f>+Tabla4[[#This Row],[CUPO DE CREDITO FANALCA]]+Tabla4[[#This Row],[CUPO DE CREDITO FACTORING]]</f>
        <v>0</v>
      </c>
      <c r="Y75" s="200"/>
      <c r="Z75" s="200"/>
    </row>
    <row r="76" spans="1:26">
      <c r="A76" s="201" t="s">
        <v>1833</v>
      </c>
      <c r="B76" s="202">
        <v>900917237</v>
      </c>
      <c r="C76" s="203" t="s">
        <v>270</v>
      </c>
      <c r="D76" s="209">
        <v>558621</v>
      </c>
      <c r="E76" s="233">
        <v>0</v>
      </c>
      <c r="F76" s="210"/>
      <c r="G76" s="207">
        <f>+Tabla4[[#This Row],[CUPO DE CREDITO FANALCA]]+Tabla4[[#This Row],[CUPO DE CREDITO FACTORING]]</f>
        <v>0</v>
      </c>
      <c r="Y76" s="200"/>
      <c r="Z76" s="200"/>
    </row>
    <row r="77" spans="1:26">
      <c r="A77" s="201" t="s">
        <v>1834</v>
      </c>
      <c r="B77" s="202">
        <v>900637901</v>
      </c>
      <c r="C77" s="203" t="s">
        <v>271</v>
      </c>
      <c r="D77" s="209">
        <v>2948162</v>
      </c>
      <c r="E77" s="233">
        <v>0</v>
      </c>
      <c r="F77" s="210"/>
      <c r="G77" s="207">
        <f>+Tabla4[[#This Row],[CUPO DE CREDITO FANALCA]]+Tabla4[[#This Row],[CUPO DE CREDITO FACTORING]]</f>
        <v>0</v>
      </c>
      <c r="Y77" s="200"/>
      <c r="Z77" s="200"/>
    </row>
    <row r="78" spans="1:26">
      <c r="A78" s="201" t="s">
        <v>1832</v>
      </c>
      <c r="B78" s="202">
        <v>1046902802</v>
      </c>
      <c r="C78" s="203" t="s">
        <v>174</v>
      </c>
      <c r="D78" s="209">
        <v>2095166</v>
      </c>
      <c r="E78" s="233">
        <v>0</v>
      </c>
      <c r="F78" s="210"/>
      <c r="G78" s="207">
        <f>+Tabla4[[#This Row],[CUPO DE CREDITO FANALCA]]+Tabla4[[#This Row],[CUPO DE CREDITO FACTORING]]</f>
        <v>0</v>
      </c>
      <c r="Y78" s="200"/>
      <c r="Z78" s="200"/>
    </row>
    <row r="79" spans="1:26">
      <c r="A79" s="201" t="s">
        <v>1837</v>
      </c>
      <c r="B79" s="202">
        <v>60345082</v>
      </c>
      <c r="C79" s="203" t="s">
        <v>258</v>
      </c>
      <c r="D79" s="209">
        <v>45161471</v>
      </c>
      <c r="E79" s="233">
        <v>0</v>
      </c>
      <c r="F79" s="210"/>
      <c r="G79" s="207">
        <f>+Tabla4[[#This Row],[CUPO DE CREDITO FANALCA]]+Tabla4[[#This Row],[CUPO DE CREDITO FACTORING]]</f>
        <v>0</v>
      </c>
      <c r="Y79" s="200"/>
      <c r="Z79" s="200"/>
    </row>
    <row r="80" spans="1:26">
      <c r="A80" s="201" t="s">
        <v>1837</v>
      </c>
      <c r="B80" s="202">
        <v>900872772</v>
      </c>
      <c r="C80" s="203" t="s">
        <v>1246</v>
      </c>
      <c r="D80" s="209">
        <v>2155795</v>
      </c>
      <c r="E80" s="233">
        <v>0</v>
      </c>
      <c r="F80" s="210"/>
      <c r="G80" s="207">
        <f>+Tabla4[[#This Row],[CUPO DE CREDITO FANALCA]]+Tabla4[[#This Row],[CUPO DE CREDITO FACTORING]]</f>
        <v>0</v>
      </c>
      <c r="Y80" s="200"/>
      <c r="Z80" s="200"/>
    </row>
    <row r="81" spans="1:26">
      <c r="A81" s="201" t="s">
        <v>1832</v>
      </c>
      <c r="B81" s="235">
        <v>900810098</v>
      </c>
      <c r="C81" s="236" t="s">
        <v>272</v>
      </c>
      <c r="D81" s="237">
        <v>3217759</v>
      </c>
      <c r="E81" s="233">
        <v>0</v>
      </c>
      <c r="F81" s="214">
        <v>0</v>
      </c>
      <c r="G81" s="207">
        <f>+Tabla4[[#This Row],[CUPO DE CREDITO FANALCA]]+Tabla4[[#This Row],[CUPO DE CREDITO FACTORING]]</f>
        <v>0</v>
      </c>
      <c r="Y81" s="200"/>
      <c r="Z81" s="200"/>
    </row>
    <row r="82" spans="1:26">
      <c r="A82" s="201" t="s">
        <v>1834</v>
      </c>
      <c r="B82" s="202">
        <v>9398760</v>
      </c>
      <c r="C82" s="203" t="s">
        <v>68</v>
      </c>
      <c r="D82" s="209">
        <v>954027</v>
      </c>
      <c r="E82" s="233">
        <v>0</v>
      </c>
      <c r="F82" s="210"/>
      <c r="G82" s="207">
        <f>+Tabla4[[#This Row],[CUPO DE CREDITO FANALCA]]+Tabla4[[#This Row],[CUPO DE CREDITO FACTORING]]</f>
        <v>0</v>
      </c>
      <c r="Y82" s="200"/>
      <c r="Z82" s="200"/>
    </row>
    <row r="83" spans="1:26">
      <c r="A83" s="201" t="s">
        <v>1833</v>
      </c>
      <c r="B83" s="202">
        <v>17529200</v>
      </c>
      <c r="C83" s="202" t="s">
        <v>1857</v>
      </c>
      <c r="D83" s="209">
        <v>8245654</v>
      </c>
      <c r="E83" s="233">
        <v>0</v>
      </c>
      <c r="F83" s="210"/>
      <c r="G83" s="207">
        <f>+Tabla4[[#This Row],[CUPO DE CREDITO FANALCA]]+Tabla4[[#This Row],[CUPO DE CREDITO FACTORING]]</f>
        <v>0</v>
      </c>
      <c r="Y83" s="200"/>
      <c r="Z83" s="200"/>
    </row>
    <row r="84" spans="1:26">
      <c r="A84" s="201" t="s">
        <v>1837</v>
      </c>
      <c r="B84" s="202">
        <v>901023135</v>
      </c>
      <c r="C84" s="202" t="s">
        <v>395</v>
      </c>
      <c r="D84" s="242">
        <v>22577282</v>
      </c>
      <c r="E84" s="233">
        <v>0</v>
      </c>
      <c r="F84" s="210"/>
      <c r="G84" s="207">
        <f>+Tabla4[[#This Row],[CUPO DE CREDITO FANALCA]]+Tabla4[[#This Row],[CUPO DE CREDITO FACTORING]]</f>
        <v>0</v>
      </c>
      <c r="Y84" s="200"/>
      <c r="Z84" s="200"/>
    </row>
    <row r="85" spans="1:26">
      <c r="A85" s="240" t="s">
        <v>1849</v>
      </c>
      <c r="B85" s="202">
        <v>19401144</v>
      </c>
      <c r="C85" s="202" t="s">
        <v>273</v>
      </c>
      <c r="D85" s="209">
        <v>744283</v>
      </c>
      <c r="E85" s="233">
        <v>0</v>
      </c>
      <c r="F85" s="210"/>
      <c r="G85" s="207">
        <f>+Tabla4[[#This Row],[CUPO DE CREDITO FANALCA]]+Tabla4[[#This Row],[CUPO DE CREDITO FACTORING]]</f>
        <v>0</v>
      </c>
      <c r="Y85" s="200"/>
      <c r="Z85" s="200"/>
    </row>
    <row r="86" spans="1:26">
      <c r="A86" s="240" t="s">
        <v>1849</v>
      </c>
      <c r="B86" s="202">
        <v>49699237</v>
      </c>
      <c r="C86" s="202" t="s">
        <v>1858</v>
      </c>
      <c r="D86" s="209">
        <v>136957</v>
      </c>
      <c r="E86" s="233">
        <v>0</v>
      </c>
      <c r="F86" s="210"/>
      <c r="G86" s="207">
        <f>+Tabla4[[#This Row],[CUPO DE CREDITO FANALCA]]+Tabla4[[#This Row],[CUPO DE CREDITO FACTORING]]</f>
        <v>0</v>
      </c>
      <c r="Y86" s="200"/>
      <c r="Z86" s="200"/>
    </row>
    <row r="87" spans="1:26">
      <c r="A87" s="201" t="s">
        <v>1834</v>
      </c>
      <c r="B87" s="202">
        <v>37891797</v>
      </c>
      <c r="C87" s="202" t="s">
        <v>136</v>
      </c>
      <c r="D87" s="209">
        <v>15167199</v>
      </c>
      <c r="E87" s="233">
        <v>0</v>
      </c>
      <c r="F87" s="210"/>
      <c r="G87" s="207">
        <f>+Tabla4[[#This Row],[CUPO DE CREDITO FANALCA]]+Tabla4[[#This Row],[CUPO DE CREDITO FACTORING]]</f>
        <v>0</v>
      </c>
      <c r="Y87" s="200"/>
      <c r="Z87" s="200"/>
    </row>
    <row r="88" spans="1:26">
      <c r="A88" s="201" t="s">
        <v>1832</v>
      </c>
      <c r="B88" s="202">
        <v>900623159</v>
      </c>
      <c r="C88" s="202" t="s">
        <v>274</v>
      </c>
      <c r="D88" s="209">
        <v>5718901</v>
      </c>
      <c r="E88" s="233">
        <v>0</v>
      </c>
      <c r="F88" s="210"/>
      <c r="G88" s="207">
        <f>+Tabla4[[#This Row],[CUPO DE CREDITO FANALCA]]+Tabla4[[#This Row],[CUPO DE CREDITO FACTORING]]</f>
        <v>0</v>
      </c>
      <c r="Y88" s="200"/>
      <c r="Z88" s="200"/>
    </row>
    <row r="89" spans="1:26">
      <c r="A89" s="201" t="s">
        <v>1834</v>
      </c>
      <c r="B89" s="202">
        <v>900777108</v>
      </c>
      <c r="C89" s="202" t="s">
        <v>131</v>
      </c>
      <c r="D89" s="209">
        <v>4515043</v>
      </c>
      <c r="E89" s="233">
        <v>0</v>
      </c>
      <c r="F89" s="210"/>
      <c r="G89" s="207">
        <f>+Tabla4[[#This Row],[CUPO DE CREDITO FANALCA]]+Tabla4[[#This Row],[CUPO DE CREDITO FACTORING]]</f>
        <v>0</v>
      </c>
      <c r="Y89" s="200"/>
      <c r="Z89" s="200"/>
    </row>
    <row r="90" spans="1:26">
      <c r="A90" s="240" t="s">
        <v>1849</v>
      </c>
      <c r="B90" s="202">
        <v>1049612408</v>
      </c>
      <c r="C90" s="202" t="s">
        <v>1859</v>
      </c>
      <c r="D90" s="209" t="s">
        <v>1247</v>
      </c>
      <c r="E90" s="233">
        <v>0</v>
      </c>
      <c r="F90" s="210"/>
      <c r="G90" s="207">
        <f>+Tabla4[[#This Row],[CUPO DE CREDITO FANALCA]]+Tabla4[[#This Row],[CUPO DE CREDITO FACTORING]]</f>
        <v>0</v>
      </c>
      <c r="Y90" s="200"/>
      <c r="Z90" s="200"/>
    </row>
    <row r="91" spans="1:26">
      <c r="A91" s="201" t="s">
        <v>1836</v>
      </c>
      <c r="B91" s="202">
        <v>900861288</v>
      </c>
      <c r="C91" s="202" t="s">
        <v>199</v>
      </c>
      <c r="D91" s="209">
        <v>21260126</v>
      </c>
      <c r="E91" s="233">
        <v>0</v>
      </c>
      <c r="F91" s="210"/>
      <c r="G91" s="207">
        <f>+Tabla4[[#This Row],[CUPO DE CREDITO FANALCA]]+Tabla4[[#This Row],[CUPO DE CREDITO FACTORING]]</f>
        <v>0</v>
      </c>
      <c r="Y91" s="200"/>
      <c r="Z91" s="200"/>
    </row>
    <row r="92" spans="1:26">
      <c r="A92" s="201" t="s">
        <v>1834</v>
      </c>
      <c r="B92" s="202">
        <v>37807909</v>
      </c>
      <c r="C92" s="202" t="s">
        <v>1860</v>
      </c>
      <c r="D92" s="209">
        <v>3160772</v>
      </c>
      <c r="E92" s="233">
        <v>0</v>
      </c>
      <c r="F92" s="210"/>
      <c r="G92" s="207">
        <f>+Tabla4[[#This Row],[CUPO DE CREDITO FANALCA]]+Tabla4[[#This Row],[CUPO DE CREDITO FACTORING]]</f>
        <v>0</v>
      </c>
      <c r="Y92" s="200"/>
      <c r="Z92" s="200"/>
    </row>
    <row r="93" spans="1:26">
      <c r="A93" s="201" t="s">
        <v>1833</v>
      </c>
      <c r="B93" s="202">
        <v>79754560</v>
      </c>
      <c r="C93" s="202" t="s">
        <v>77</v>
      </c>
      <c r="D93" s="209">
        <v>4317027</v>
      </c>
      <c r="E93" s="233">
        <v>0</v>
      </c>
      <c r="F93" s="210"/>
      <c r="G93" s="207">
        <f>+Tabla4[[#This Row],[CUPO DE CREDITO FANALCA]]+Tabla4[[#This Row],[CUPO DE CREDITO FACTORING]]</f>
        <v>0</v>
      </c>
      <c r="Y93" s="200"/>
      <c r="Z93" s="200"/>
    </row>
    <row r="94" spans="1:26">
      <c r="A94" s="201" t="s">
        <v>1837</v>
      </c>
      <c r="B94" s="235">
        <v>900984443</v>
      </c>
      <c r="C94" s="235" t="s">
        <v>410</v>
      </c>
      <c r="D94" s="237">
        <v>5632000</v>
      </c>
      <c r="E94" s="233">
        <v>0</v>
      </c>
      <c r="F94" s="210"/>
      <c r="G94" s="207">
        <f>+Tabla4[[#This Row],[CUPO DE CREDITO FANALCA]]+Tabla4[[#This Row],[CUPO DE CREDITO FACTORING]]</f>
        <v>0</v>
      </c>
      <c r="Y94" s="200"/>
      <c r="Z94" s="200"/>
    </row>
    <row r="95" spans="1:26">
      <c r="A95" s="201" t="s">
        <v>1834</v>
      </c>
      <c r="B95" s="202">
        <v>37807909</v>
      </c>
      <c r="C95" s="202" t="s">
        <v>135</v>
      </c>
      <c r="D95" s="209">
        <v>3160772</v>
      </c>
      <c r="E95" s="233">
        <v>0</v>
      </c>
      <c r="F95" s="210"/>
      <c r="G95" s="207">
        <f>+Tabla4[[#This Row],[CUPO DE CREDITO FANALCA]]+Tabla4[[#This Row],[CUPO DE CREDITO FACTORING]]</f>
        <v>0</v>
      </c>
      <c r="Z95" s="200"/>
    </row>
    <row r="96" spans="1:26">
      <c r="A96" s="201" t="s">
        <v>1836</v>
      </c>
      <c r="B96" s="202">
        <v>900929001</v>
      </c>
      <c r="C96" s="202" t="s">
        <v>231</v>
      </c>
      <c r="D96" s="209">
        <v>26693551</v>
      </c>
      <c r="E96" s="233">
        <v>0</v>
      </c>
      <c r="F96" s="210"/>
      <c r="G96" s="207">
        <f>+Tabla4[[#This Row],[CUPO DE CREDITO FANALCA]]+Tabla4[[#This Row],[CUPO DE CREDITO FACTORING]]</f>
        <v>0</v>
      </c>
      <c r="Z96" s="200"/>
    </row>
    <row r="97" spans="1:26">
      <c r="A97" s="201" t="s">
        <v>1836</v>
      </c>
      <c r="B97" s="202">
        <v>66842718</v>
      </c>
      <c r="C97" s="202" t="s">
        <v>1861</v>
      </c>
      <c r="D97" s="209">
        <v>4253704</v>
      </c>
      <c r="E97" s="233">
        <v>0</v>
      </c>
      <c r="F97" s="210"/>
      <c r="G97" s="207">
        <f>+Tabla4[[#This Row],[CUPO DE CREDITO FANALCA]]+Tabla4[[#This Row],[CUPO DE CREDITO FACTORING]]</f>
        <v>0</v>
      </c>
      <c r="Z97" s="200"/>
    </row>
    <row r="98" spans="1:26">
      <c r="A98" s="201" t="s">
        <v>1832</v>
      </c>
      <c r="B98" s="235">
        <v>900502698</v>
      </c>
      <c r="C98" s="235" t="s">
        <v>1862</v>
      </c>
      <c r="D98" s="237">
        <v>260065</v>
      </c>
      <c r="E98" s="233">
        <v>0</v>
      </c>
      <c r="F98" s="214">
        <v>0</v>
      </c>
      <c r="G98" s="207">
        <f>+Tabla4[[#This Row],[CUPO DE CREDITO FANALCA]]+Tabla4[[#This Row],[CUPO DE CREDITO FACTORING]]</f>
        <v>0</v>
      </c>
      <c r="Z98" s="200"/>
    </row>
    <row r="99" spans="1:26">
      <c r="A99" s="240" t="s">
        <v>275</v>
      </c>
      <c r="B99" s="202">
        <v>900749799</v>
      </c>
      <c r="C99" s="202" t="s">
        <v>1863</v>
      </c>
      <c r="D99" s="209">
        <v>108613</v>
      </c>
      <c r="E99" s="233">
        <v>0</v>
      </c>
      <c r="F99" s="210"/>
      <c r="G99" s="207">
        <f>+Tabla4[[#This Row],[CUPO DE CREDITO FANALCA]]+Tabla4[[#This Row],[CUPO DE CREDITO FACTORING]]</f>
        <v>0</v>
      </c>
      <c r="Z99" s="200"/>
    </row>
    <row r="100" spans="1:26">
      <c r="A100" s="201" t="s">
        <v>1836</v>
      </c>
      <c r="B100" s="202">
        <v>900202461</v>
      </c>
      <c r="C100" s="202" t="s">
        <v>195</v>
      </c>
      <c r="D100" s="242">
        <v>31262</v>
      </c>
      <c r="E100" s="233">
        <v>0</v>
      </c>
      <c r="F100" s="210"/>
      <c r="G100" s="207">
        <f>+Tabla4[[#This Row],[CUPO DE CREDITO FANALCA]]+Tabla4[[#This Row],[CUPO DE CREDITO FACTORING]]</f>
        <v>0</v>
      </c>
      <c r="Z100" s="200"/>
    </row>
    <row r="101" spans="1:26">
      <c r="A101" s="201" t="s">
        <v>1833</v>
      </c>
      <c r="B101" s="202">
        <v>802016654</v>
      </c>
      <c r="C101" s="217" t="s">
        <v>182</v>
      </c>
      <c r="D101" s="209">
        <v>1252965</v>
      </c>
      <c r="E101" s="233">
        <v>0</v>
      </c>
      <c r="F101" s="210"/>
      <c r="G101" s="207">
        <f>+Tabla4[[#This Row],[CUPO DE CREDITO FANALCA]]+Tabla4[[#This Row],[CUPO DE CREDITO FACTORING]]</f>
        <v>0</v>
      </c>
      <c r="Z101" s="200"/>
    </row>
    <row r="102" spans="1:26">
      <c r="A102" s="201" t="s">
        <v>1836</v>
      </c>
      <c r="B102" s="243">
        <v>900266553</v>
      </c>
      <c r="C102" s="236" t="s">
        <v>97</v>
      </c>
      <c r="D102" s="237">
        <v>460456</v>
      </c>
      <c r="E102" s="233">
        <v>0</v>
      </c>
      <c r="F102" s="214">
        <v>0</v>
      </c>
      <c r="G102" s="207">
        <f>+Tabla4[[#This Row],[CUPO DE CREDITO FANALCA]]+Tabla4[[#This Row],[CUPO DE CREDITO FACTORING]]</f>
        <v>0</v>
      </c>
      <c r="Z102" s="200"/>
    </row>
    <row r="103" spans="1:26">
      <c r="A103" s="201" t="s">
        <v>1836</v>
      </c>
      <c r="B103" s="243">
        <v>900731201</v>
      </c>
      <c r="C103" s="236" t="s">
        <v>95</v>
      </c>
      <c r="D103" s="237">
        <v>1542776</v>
      </c>
      <c r="E103" s="233">
        <v>0</v>
      </c>
      <c r="F103" s="214">
        <v>0</v>
      </c>
      <c r="G103" s="207">
        <f>+Tabla4[[#This Row],[CUPO DE CREDITO FANALCA]]+Tabla4[[#This Row],[CUPO DE CREDITO FACTORING]]</f>
        <v>0</v>
      </c>
      <c r="Z103" s="200"/>
    </row>
    <row r="104" spans="1:26">
      <c r="A104" s="201" t="s">
        <v>1836</v>
      </c>
      <c r="B104" s="241">
        <v>900661269</v>
      </c>
      <c r="C104" s="203" t="s">
        <v>89</v>
      </c>
      <c r="D104" s="209">
        <v>27383871</v>
      </c>
      <c r="E104" s="233">
        <v>0</v>
      </c>
      <c r="F104" s="210"/>
      <c r="G104" s="207">
        <f>+Tabla4[[#This Row],[CUPO DE CREDITO FANALCA]]+Tabla4[[#This Row],[CUPO DE CREDITO FACTORING]]</f>
        <v>0</v>
      </c>
      <c r="Z104" s="200"/>
    </row>
    <row r="105" spans="1:26">
      <c r="A105" s="201" t="s">
        <v>1836</v>
      </c>
      <c r="B105" s="241">
        <v>900648202</v>
      </c>
      <c r="C105" s="203" t="s">
        <v>180</v>
      </c>
      <c r="D105" s="209">
        <v>15070697</v>
      </c>
      <c r="E105" s="233">
        <v>0</v>
      </c>
      <c r="F105" s="210"/>
      <c r="G105" s="207">
        <f>+Tabla4[[#This Row],[CUPO DE CREDITO FANALCA]]+Tabla4[[#This Row],[CUPO DE CREDITO FACTORING]]</f>
        <v>0</v>
      </c>
      <c r="Z105" s="200"/>
    </row>
    <row r="106" spans="1:26">
      <c r="A106" s="201" t="s">
        <v>1836</v>
      </c>
      <c r="B106" s="241">
        <v>900485301</v>
      </c>
      <c r="C106" s="203" t="s">
        <v>1864</v>
      </c>
      <c r="D106" s="209">
        <v>1290813</v>
      </c>
      <c r="E106" s="233">
        <v>0</v>
      </c>
      <c r="F106" s="210"/>
      <c r="G106" s="207">
        <f>+Tabla4[[#This Row],[CUPO DE CREDITO FANALCA]]+Tabla4[[#This Row],[CUPO DE CREDITO FACTORING]]</f>
        <v>0</v>
      </c>
      <c r="Z106" s="200"/>
    </row>
    <row r="107" spans="1:26">
      <c r="A107" s="201" t="s">
        <v>1837</v>
      </c>
      <c r="B107" s="241">
        <v>900695615</v>
      </c>
      <c r="C107" s="203" t="s">
        <v>187</v>
      </c>
      <c r="D107" s="209">
        <v>33535</v>
      </c>
      <c r="E107" s="233">
        <v>0</v>
      </c>
      <c r="F107" s="210"/>
      <c r="G107" s="207">
        <f>+Tabla4[[#This Row],[CUPO DE CREDITO FANALCA]]+Tabla4[[#This Row],[CUPO DE CREDITO FACTORING]]</f>
        <v>0</v>
      </c>
      <c r="Z107" s="200"/>
    </row>
    <row r="108" spans="1:26">
      <c r="A108" s="201" t="s">
        <v>1837</v>
      </c>
      <c r="B108" s="202">
        <v>900500702</v>
      </c>
      <c r="C108" s="203" t="s">
        <v>1865</v>
      </c>
      <c r="D108" s="209">
        <v>713074</v>
      </c>
      <c r="E108" s="233">
        <v>0</v>
      </c>
      <c r="F108" s="210"/>
      <c r="G108" s="207">
        <f>+Tabla4[[#This Row],[CUPO DE CREDITO FANALCA]]+Tabla4[[#This Row],[CUPO DE CREDITO FACTORING]]</f>
        <v>0</v>
      </c>
      <c r="Z108" s="200"/>
    </row>
    <row r="109" spans="1:26">
      <c r="A109" s="201" t="s">
        <v>1837</v>
      </c>
      <c r="B109" s="241">
        <v>900481864</v>
      </c>
      <c r="C109" s="203" t="s">
        <v>277</v>
      </c>
      <c r="D109" s="209">
        <v>1568168</v>
      </c>
      <c r="E109" s="233">
        <v>0</v>
      </c>
      <c r="F109" s="210"/>
      <c r="G109" s="207">
        <f>+Tabla4[[#This Row],[CUPO DE CREDITO FANALCA]]+Tabla4[[#This Row],[CUPO DE CREDITO FACTORING]]</f>
        <v>0</v>
      </c>
      <c r="Z109" s="200"/>
    </row>
    <row r="110" spans="1:26">
      <c r="A110" s="201" t="s">
        <v>1830</v>
      </c>
      <c r="B110" s="202">
        <v>811044897</v>
      </c>
      <c r="C110" s="203" t="s">
        <v>1866</v>
      </c>
      <c r="D110" s="209">
        <v>34012723</v>
      </c>
      <c r="E110" s="233">
        <v>0</v>
      </c>
      <c r="F110" s="210"/>
      <c r="G110" s="207">
        <f>+Tabla4[[#This Row],[CUPO DE CREDITO FANALCA]]+Tabla4[[#This Row],[CUPO DE CREDITO FACTORING]]</f>
        <v>0</v>
      </c>
      <c r="Z110" s="200"/>
    </row>
    <row r="111" spans="1:26">
      <c r="A111" s="219" t="s">
        <v>276</v>
      </c>
      <c r="B111" s="202">
        <v>1073321063</v>
      </c>
      <c r="C111" s="203" t="s">
        <v>1867</v>
      </c>
      <c r="D111" s="209">
        <v>6343</v>
      </c>
      <c r="E111" s="233">
        <v>0</v>
      </c>
      <c r="F111" s="210"/>
      <c r="G111" s="207">
        <f>+Tabla4[[#This Row],[CUPO DE CREDITO FANALCA]]+Tabla4[[#This Row],[CUPO DE CREDITO FACTORING]]</f>
        <v>0</v>
      </c>
      <c r="Z111" s="200"/>
    </row>
    <row r="112" spans="1:26">
      <c r="A112" s="201" t="s">
        <v>1830</v>
      </c>
      <c r="B112" s="202">
        <v>17668211</v>
      </c>
      <c r="C112" s="203" t="s">
        <v>401</v>
      </c>
      <c r="D112" s="209">
        <v>45693960</v>
      </c>
      <c r="E112" s="233">
        <v>0</v>
      </c>
      <c r="F112" s="210"/>
      <c r="G112" s="207">
        <f>+Tabla4[[#This Row],[CUPO DE CREDITO FANALCA]]+Tabla4[[#This Row],[CUPO DE CREDITO FACTORING]]</f>
        <v>0</v>
      </c>
    </row>
    <row r="113" spans="1:7">
      <c r="A113" s="201" t="s">
        <v>1837</v>
      </c>
      <c r="B113" s="235">
        <v>900426895</v>
      </c>
      <c r="C113" s="236" t="s">
        <v>1909</v>
      </c>
      <c r="D113" s="237">
        <v>0</v>
      </c>
      <c r="E113" s="233">
        <v>0</v>
      </c>
      <c r="F113" s="210"/>
      <c r="G113" s="207">
        <f>+Tabla4[[#This Row],[CUPO DE CREDITO FANALCA]]+Tabla4[[#This Row],[CUPO DE CREDITO FACTORING]]</f>
        <v>0</v>
      </c>
    </row>
    <row r="114" spans="1:7">
      <c r="A114" s="201" t="s">
        <v>1830</v>
      </c>
      <c r="B114" s="202">
        <v>93402073</v>
      </c>
      <c r="C114" s="203" t="s">
        <v>33</v>
      </c>
      <c r="D114" s="209">
        <v>7673586</v>
      </c>
      <c r="E114" s="233">
        <v>0</v>
      </c>
      <c r="F114" s="210"/>
      <c r="G114" s="207">
        <f>+Tabla4[[#This Row],[CUPO DE CREDITO FANALCA]]+Tabla4[[#This Row],[CUPO DE CREDITO FACTORING]]</f>
        <v>0</v>
      </c>
    </row>
    <row r="115" spans="1:7">
      <c r="A115" s="201" t="s">
        <v>1830</v>
      </c>
      <c r="B115" s="202">
        <v>40205161</v>
      </c>
      <c r="C115" s="203" t="s">
        <v>1604</v>
      </c>
      <c r="D115" s="209">
        <v>30478704</v>
      </c>
      <c r="E115" s="233">
        <v>0</v>
      </c>
      <c r="F115" s="210"/>
      <c r="G115" s="207">
        <f>+Tabla4[[#This Row],[CUPO DE CREDITO FANALCA]]+Tabla4[[#This Row],[CUPO DE CREDITO FACTORING]]</f>
        <v>0</v>
      </c>
    </row>
    <row r="116" spans="1:7">
      <c r="A116" s="201" t="s">
        <v>1837</v>
      </c>
      <c r="B116" s="202">
        <v>79487375</v>
      </c>
      <c r="C116" s="203" t="s">
        <v>252</v>
      </c>
      <c r="D116" s="242">
        <v>2839868</v>
      </c>
      <c r="E116" s="233">
        <v>0</v>
      </c>
      <c r="F116" s="210"/>
      <c r="G116" s="207">
        <f>+Tabla4[[#This Row],[CUPO DE CREDITO FANALCA]]+Tabla4[[#This Row],[CUPO DE CREDITO FACTORING]]</f>
        <v>0</v>
      </c>
    </row>
    <row r="117" spans="1:7">
      <c r="A117" s="201" t="s">
        <v>1837</v>
      </c>
      <c r="B117" s="202">
        <v>900367920</v>
      </c>
      <c r="C117" s="203" t="s">
        <v>1263</v>
      </c>
      <c r="D117" s="209" t="s">
        <v>1247</v>
      </c>
      <c r="E117" s="233">
        <v>0</v>
      </c>
      <c r="F117" s="210"/>
      <c r="G117" s="244">
        <f>+Tabla4[[#This Row],[CUPO DE CREDITO FANALCA]]+Tabla4[[#This Row],[CUPO DE CREDITO FACTORING]]</f>
        <v>0</v>
      </c>
    </row>
    <row r="118" spans="1:7">
      <c r="A118" s="201" t="s">
        <v>1832</v>
      </c>
      <c r="B118" s="202">
        <v>32259672</v>
      </c>
      <c r="C118" s="202" t="s">
        <v>154</v>
      </c>
      <c r="D118" s="209">
        <v>183847</v>
      </c>
      <c r="E118" s="233">
        <v>0</v>
      </c>
      <c r="F118" s="210"/>
      <c r="G118" s="244">
        <f>+Tabla4[[#This Row],[CUPO DE CREDITO FANALCA]]+Tabla4[[#This Row],[CUPO DE CREDITO FACTORING]]</f>
        <v>0</v>
      </c>
    </row>
    <row r="119" spans="1:7">
      <c r="A119" s="201" t="s">
        <v>1834</v>
      </c>
      <c r="B119" s="202">
        <v>91239403</v>
      </c>
      <c r="C119" s="202" t="s">
        <v>278</v>
      </c>
      <c r="D119" s="209">
        <v>15423685</v>
      </c>
      <c r="E119" s="233">
        <v>0</v>
      </c>
      <c r="F119" s="210"/>
      <c r="G119" s="244">
        <f>+Tabla4[[#This Row],[CUPO DE CREDITO FANALCA]]+Tabla4[[#This Row],[CUPO DE CREDITO FACTORING]]</f>
        <v>0</v>
      </c>
    </row>
    <row r="120" spans="1:7">
      <c r="A120" s="201"/>
      <c r="B120" s="202">
        <v>819005629</v>
      </c>
      <c r="C120" s="202" t="s">
        <v>1868</v>
      </c>
      <c r="D120" s="209" t="e">
        <v>#N/A</v>
      </c>
      <c r="E120" s="233">
        <v>0</v>
      </c>
      <c r="F120" s="206"/>
      <c r="G120" s="244">
        <f>+Tabla4[[#This Row],[CUPO DE CREDITO FANALCA]]+Tabla4[[#This Row],[CUPO DE CREDITO FACTORING]]</f>
        <v>0</v>
      </c>
    </row>
    <row r="121" spans="1:7">
      <c r="A121" s="231"/>
      <c r="B121" s="224"/>
      <c r="C121" s="231"/>
      <c r="D121" s="232"/>
      <c r="E121" s="233">
        <v>0</v>
      </c>
      <c r="F121" s="228"/>
      <c r="G121" s="244">
        <f>+Tabla4[[#This Row],[CUPO DE CREDITO FANALCA]]+Tabla4[[#This Row],[CUPO DE CREDITO FACTORING]]</f>
        <v>0</v>
      </c>
    </row>
    <row r="122" spans="1:7">
      <c r="A122" s="229" t="s">
        <v>1869</v>
      </c>
      <c r="B122" s="202">
        <v>817000553</v>
      </c>
      <c r="C122" s="203" t="s">
        <v>215</v>
      </c>
      <c r="D122" s="245">
        <v>137260504</v>
      </c>
      <c r="E122" s="233">
        <v>0</v>
      </c>
      <c r="F122" s="228"/>
      <c r="G122" s="244">
        <f>+Tabla4[[#This Row],[CUPO DE CREDITO FANALCA]]+Tabla4[[#This Row],[CUPO DE CREDITO FACTORING]]</f>
        <v>0</v>
      </c>
    </row>
    <row r="123" spans="1:7">
      <c r="A123" s="229" t="s">
        <v>1869</v>
      </c>
      <c r="B123" s="202">
        <v>814006664</v>
      </c>
      <c r="C123" s="203" t="s">
        <v>108</v>
      </c>
      <c r="D123" s="245">
        <v>211189076</v>
      </c>
      <c r="E123" s="233">
        <v>0</v>
      </c>
      <c r="F123" s="228"/>
      <c r="G123" s="244">
        <f>+Tabla4[[#This Row],[CUPO DE CREDITO FANALCA]]+Tabla4[[#This Row],[CUPO DE CREDITO FACTORING]]</f>
        <v>0</v>
      </c>
    </row>
    <row r="124" spans="1:7">
      <c r="A124" s="229" t="s">
        <v>1869</v>
      </c>
      <c r="B124" s="202">
        <v>890330584</v>
      </c>
      <c r="C124" s="203" t="s">
        <v>1870</v>
      </c>
      <c r="D124" s="245">
        <v>802084041</v>
      </c>
      <c r="E124" s="233">
        <v>0</v>
      </c>
      <c r="F124" s="228"/>
      <c r="G124" s="244">
        <f>+Tabla4[[#This Row],[CUPO DE CREDITO FANALCA]]+Tabla4[[#This Row],[CUPO DE CREDITO FACTORING]]</f>
        <v>0</v>
      </c>
    </row>
    <row r="125" spans="1:7">
      <c r="A125" s="229" t="s">
        <v>1869</v>
      </c>
      <c r="B125" s="202">
        <v>900181404</v>
      </c>
      <c r="C125" s="202" t="s">
        <v>45</v>
      </c>
      <c r="D125" s="246" t="s">
        <v>1248</v>
      </c>
      <c r="E125" s="233">
        <v>0</v>
      </c>
      <c r="F125" s="228"/>
      <c r="G125" s="244">
        <f>+Tabla4[[#This Row],[CUPO DE CREDITO FANALCA]]+Tabla4[[#This Row],[CUPO DE CREDITO FACTORING]]</f>
        <v>0</v>
      </c>
    </row>
    <row r="126" spans="1:7">
      <c r="A126" s="229" t="s">
        <v>1869</v>
      </c>
      <c r="B126" s="202">
        <v>900095491</v>
      </c>
      <c r="C126" s="203" t="s">
        <v>1871</v>
      </c>
      <c r="D126" s="246" t="s">
        <v>1248</v>
      </c>
      <c r="E126" s="233">
        <v>0</v>
      </c>
      <c r="F126" s="228"/>
      <c r="G126" s="244">
        <f>+Tabla4[[#This Row],[CUPO DE CREDITO FANALCA]]+Tabla4[[#This Row],[CUPO DE CREDITO FACTORING]]</f>
        <v>0</v>
      </c>
    </row>
    <row r="127" spans="1:7">
      <c r="A127" s="229" t="s">
        <v>1869</v>
      </c>
      <c r="B127" s="202">
        <v>891903377</v>
      </c>
      <c r="C127" s="203" t="s">
        <v>1872</v>
      </c>
      <c r="D127" s="245">
        <v>116885711</v>
      </c>
      <c r="E127" s="233">
        <v>0</v>
      </c>
      <c r="F127" s="247"/>
      <c r="G127" s="244">
        <f>+Tabla4[[#This Row],[CUPO DE CREDITO FANALCA]]+Tabla4[[#This Row],[CUPO DE CREDITO FACTORING]]</f>
        <v>0</v>
      </c>
    </row>
    <row r="128" spans="1:7">
      <c r="A128" s="229" t="s">
        <v>1869</v>
      </c>
      <c r="B128" s="202">
        <v>816008547</v>
      </c>
      <c r="C128" s="203" t="s">
        <v>1910</v>
      </c>
      <c r="D128" s="246" t="s">
        <v>1248</v>
      </c>
      <c r="E128" s="233">
        <v>0</v>
      </c>
      <c r="F128" s="247"/>
      <c r="G128" s="244">
        <f>+Tabla4[[#This Row],[CUPO DE CREDITO FANALCA]]+Tabla4[[#This Row],[CUPO DE CREDITO FACTORING]]</f>
        <v>0</v>
      </c>
    </row>
    <row r="129" spans="1:7">
      <c r="A129" s="229" t="s">
        <v>1873</v>
      </c>
      <c r="B129" s="202">
        <v>890705577</v>
      </c>
      <c r="C129" s="202" t="s">
        <v>81</v>
      </c>
      <c r="D129" s="248">
        <v>281000000</v>
      </c>
      <c r="E129" s="233">
        <v>0</v>
      </c>
      <c r="F129" s="247"/>
      <c r="G129" s="244">
        <f>+Tabla4[[#This Row],[CUPO DE CREDITO FANALCA]]+Tabla4[[#This Row],[CUPO DE CREDITO FACTORING]]</f>
        <v>0</v>
      </c>
    </row>
    <row r="130" spans="1:7">
      <c r="A130" s="229" t="s">
        <v>1873</v>
      </c>
      <c r="B130" s="202">
        <v>900129262</v>
      </c>
      <c r="C130" s="202" t="s">
        <v>1911</v>
      </c>
      <c r="D130" s="246" t="s">
        <v>1248</v>
      </c>
      <c r="E130" s="233">
        <v>0</v>
      </c>
      <c r="F130" s="228"/>
      <c r="G130" s="244">
        <f>+Tabla4[[#This Row],[CUPO DE CREDITO FANALCA]]+Tabla4[[#This Row],[CUPO DE CREDITO FACTORING]]</f>
        <v>0</v>
      </c>
    </row>
    <row r="131" spans="1:7">
      <c r="A131" s="229" t="s">
        <v>1873</v>
      </c>
      <c r="B131" s="202">
        <v>890705341</v>
      </c>
      <c r="C131" s="202" t="s">
        <v>37</v>
      </c>
      <c r="D131" s="245">
        <v>68342860</v>
      </c>
      <c r="E131" s="233">
        <v>0</v>
      </c>
      <c r="F131" s="228"/>
      <c r="G131" s="244">
        <f>+Tabla4[[#This Row],[CUPO DE CREDITO FANALCA]]+Tabla4[[#This Row],[CUPO DE CREDITO FACTORING]]</f>
        <v>0</v>
      </c>
    </row>
    <row r="132" spans="1:7">
      <c r="A132" s="201" t="s">
        <v>1837</v>
      </c>
      <c r="B132" s="202">
        <v>860062808</v>
      </c>
      <c r="C132" s="203" t="s">
        <v>1912</v>
      </c>
      <c r="D132" s="246" t="s">
        <v>1248</v>
      </c>
      <c r="E132" s="233">
        <v>0</v>
      </c>
      <c r="F132" s="228"/>
      <c r="G132" s="244">
        <f>+Tabla4[[#This Row],[CUPO DE CREDITO FANALCA]]+Tabla4[[#This Row],[CUPO DE CREDITO FACTORING]]</f>
        <v>0</v>
      </c>
    </row>
    <row r="133" spans="1:7">
      <c r="A133" s="201" t="s">
        <v>1837</v>
      </c>
      <c r="B133" s="202">
        <v>900056664</v>
      </c>
      <c r="C133" s="203" t="s">
        <v>186</v>
      </c>
      <c r="D133" s="245">
        <v>68304202</v>
      </c>
      <c r="E133" s="233">
        <v>0</v>
      </c>
      <c r="F133" s="228"/>
      <c r="G133" s="244">
        <f>+Tabla4[[#This Row],[CUPO DE CREDITO FANALCA]]+Tabla4[[#This Row],[CUPO DE CREDITO FACTORING]]</f>
        <v>0</v>
      </c>
    </row>
    <row r="134" spans="1:7">
      <c r="A134" s="229" t="s">
        <v>1873</v>
      </c>
      <c r="B134" s="202">
        <v>890924996</v>
      </c>
      <c r="C134" s="203" t="s">
        <v>1913</v>
      </c>
      <c r="D134" s="246" t="s">
        <v>1248</v>
      </c>
      <c r="E134" s="233">
        <v>0</v>
      </c>
      <c r="F134" s="228"/>
      <c r="G134" s="244">
        <f>+Tabla4[[#This Row],[CUPO DE CREDITO FANALCA]]+Tabla4[[#This Row],[CUPO DE CREDITO FACTORING]]</f>
        <v>0</v>
      </c>
    </row>
    <row r="135" spans="1:7">
      <c r="A135" s="229" t="s">
        <v>1873</v>
      </c>
      <c r="B135" s="202">
        <v>900185816</v>
      </c>
      <c r="C135" s="203" t="s">
        <v>1914</v>
      </c>
      <c r="D135" s="246" t="s">
        <v>1248</v>
      </c>
      <c r="E135" s="233">
        <v>0</v>
      </c>
      <c r="F135" s="228"/>
      <c r="G135" s="244">
        <f>+Tabla4[[#This Row],[CUPO DE CREDITO FANALCA]]+Tabla4[[#This Row],[CUPO DE CREDITO FACTORING]]</f>
        <v>0</v>
      </c>
    </row>
    <row r="136" spans="1:7">
      <c r="A136" s="229" t="s">
        <v>1874</v>
      </c>
      <c r="B136" s="202">
        <v>800191135</v>
      </c>
      <c r="C136" s="202" t="s">
        <v>178</v>
      </c>
      <c r="D136" s="246" t="s">
        <v>1248</v>
      </c>
      <c r="E136" s="233">
        <v>0</v>
      </c>
      <c r="F136" s="228"/>
      <c r="G136" s="244">
        <f>+Tabla4[[#This Row],[CUPO DE CREDITO FANALCA]]+Tabla4[[#This Row],[CUPO DE CREDITO FACTORING]]</f>
        <v>0</v>
      </c>
    </row>
    <row r="137" spans="1:7">
      <c r="A137" s="229" t="s">
        <v>1874</v>
      </c>
      <c r="B137" s="202">
        <v>900052338</v>
      </c>
      <c r="C137" s="203" t="s">
        <v>1915</v>
      </c>
      <c r="D137" s="246" t="s">
        <v>1248</v>
      </c>
      <c r="E137" s="233">
        <v>0</v>
      </c>
      <c r="F137" s="228"/>
      <c r="G137" s="244">
        <f>+Tabla4[[#This Row],[CUPO DE CREDITO FANALCA]]+Tabla4[[#This Row],[CUPO DE CREDITO FACTORING]]</f>
        <v>0</v>
      </c>
    </row>
    <row r="138" spans="1:7">
      <c r="A138" s="229" t="s">
        <v>1874</v>
      </c>
      <c r="B138" s="202">
        <v>812008359</v>
      </c>
      <c r="C138" s="203" t="s">
        <v>140</v>
      </c>
      <c r="D138" s="246" t="s">
        <v>1248</v>
      </c>
      <c r="E138" s="233">
        <v>0</v>
      </c>
      <c r="F138" s="228"/>
      <c r="G138" s="244">
        <f>+Tabla4[[#This Row],[CUPO DE CREDITO FANALCA]]+Tabla4[[#This Row],[CUPO DE CREDITO FACTORING]]</f>
        <v>0</v>
      </c>
    </row>
    <row r="139" spans="1:7">
      <c r="A139" s="229" t="s">
        <v>1874</v>
      </c>
      <c r="B139" s="202">
        <v>890406707</v>
      </c>
      <c r="C139" s="203" t="s">
        <v>1916</v>
      </c>
      <c r="D139" s="246" t="s">
        <v>1248</v>
      </c>
      <c r="E139" s="233">
        <v>0</v>
      </c>
      <c r="F139" s="228"/>
      <c r="G139" s="244">
        <f>+Tabla4[[#This Row],[CUPO DE CREDITO FANALCA]]+Tabla4[[#This Row],[CUPO DE CREDITO FACTORING]]</f>
        <v>0</v>
      </c>
    </row>
    <row r="140" spans="1:7">
      <c r="A140" s="229" t="s">
        <v>1874</v>
      </c>
      <c r="B140" s="202">
        <v>900078079</v>
      </c>
      <c r="C140" s="203" t="s">
        <v>1917</v>
      </c>
      <c r="D140" s="246" t="s">
        <v>1248</v>
      </c>
      <c r="E140" s="233">
        <v>0</v>
      </c>
      <c r="F140" s="228"/>
      <c r="G140" s="244">
        <f>+Tabla4[[#This Row],[CUPO DE CREDITO FANALCA]]+Tabla4[[#This Row],[CUPO DE CREDITO FACTORING]]</f>
        <v>0</v>
      </c>
    </row>
    <row r="141" spans="1:7">
      <c r="A141" s="201" t="s">
        <v>1834</v>
      </c>
      <c r="B141" s="202">
        <v>890207088</v>
      </c>
      <c r="C141" s="203" t="s">
        <v>125</v>
      </c>
      <c r="D141" s="246" t="s">
        <v>1248</v>
      </c>
      <c r="E141" s="233">
        <v>0</v>
      </c>
      <c r="F141" s="228"/>
      <c r="G141" s="244">
        <f>+Tabla4[[#This Row],[CUPO DE CREDITO FANALCA]]+Tabla4[[#This Row],[CUPO DE CREDITO FACTORING]]</f>
        <v>0</v>
      </c>
    </row>
    <row r="142" spans="1:7">
      <c r="A142" s="201" t="s">
        <v>1833</v>
      </c>
      <c r="B142" s="202">
        <v>900182433</v>
      </c>
      <c r="C142" s="217" t="s">
        <v>1918</v>
      </c>
      <c r="D142" s="246" t="s">
        <v>1248</v>
      </c>
      <c r="E142" s="233">
        <v>0</v>
      </c>
      <c r="F142" s="228"/>
      <c r="G142" s="244">
        <f>+Tabla4[[#This Row],[CUPO DE CREDITO FANALCA]]+Tabla4[[#This Row],[CUPO DE CREDITO FACTORING]]</f>
        <v>0</v>
      </c>
    </row>
    <row r="143" spans="1:7">
      <c r="A143" s="229"/>
      <c r="B143" s="202"/>
      <c r="C143" s="203"/>
      <c r="D143" s="204"/>
      <c r="E143" s="231"/>
      <c r="F143" s="228"/>
      <c r="G143" s="244">
        <f>+Tabla4[[#This Row],[CUPO DE CREDITO FANALCA]]+Tabla4[[#This Row],[CUPO DE CREDITO FACTORING]]</f>
        <v>0</v>
      </c>
    </row>
    <row r="144" spans="1:7">
      <c r="A144" s="229"/>
      <c r="B144" s="202"/>
      <c r="C144" s="203"/>
      <c r="D144" s="204"/>
      <c r="E144" s="231"/>
      <c r="F144" s="228"/>
      <c r="G144" s="244">
        <f>+Tabla4[[#This Row],[CUPO DE CREDITO FANALCA]]+Tabla4[[#This Row],[CUPO DE CREDITO FACTORING]]</f>
        <v>0</v>
      </c>
    </row>
    <row r="145" spans="1:7">
      <c r="A145" s="201"/>
      <c r="B145" s="202"/>
      <c r="C145" s="203"/>
      <c r="D145" s="204"/>
      <c r="E145" s="231"/>
      <c r="F145" s="228"/>
      <c r="G145" s="244">
        <f>+Tabla4[[#This Row],[CUPO DE CREDITO FANALCA]]+Tabla4[[#This Row],[CUPO DE CREDITO FACTORING]]</f>
        <v>0</v>
      </c>
    </row>
    <row r="146" spans="1:7">
      <c r="A146" s="201"/>
      <c r="B146" s="202"/>
      <c r="C146" s="217"/>
      <c r="D146" s="204"/>
      <c r="E146" s="231"/>
      <c r="F146" s="228"/>
      <c r="G146" s="244">
        <f>+Tabla4[[#This Row],[CUPO DE CREDITO FANALCA]]+Tabla4[[#This Row],[CUPO DE CREDITO FACTORING]]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AT2651"/>
  <sheetViews>
    <sheetView tabSelected="1" zoomScale="98" zoomScaleNormal="98" workbookViewId="0">
      <selection activeCell="H1736" sqref="H1736"/>
    </sheetView>
  </sheetViews>
  <sheetFormatPr defaultColWidth="11.42578125" defaultRowHeight="15" outlineLevelCol="1"/>
  <cols>
    <col min="1" max="1" width="13.42578125" style="10" customWidth="1"/>
    <col min="2" max="2" width="13.28515625" style="10" hidden="1" customWidth="1" outlineLevel="1"/>
    <col min="3" max="3" width="12.7109375" style="10" hidden="1" customWidth="1" outlineLevel="1"/>
    <col min="4" max="4" width="36" style="10" hidden="1" customWidth="1" outlineLevel="1"/>
    <col min="5" max="5" width="17" style="10" hidden="1" customWidth="1" outlineLevel="1"/>
    <col min="6" max="6" width="12" style="10" hidden="1" customWidth="1" outlineLevel="1"/>
    <col min="7" max="7" width="36.42578125" style="10" customWidth="1" collapsed="1"/>
    <col min="8" max="8" width="16" style="11" customWidth="1"/>
    <col min="9" max="9" width="57.7109375" style="10" customWidth="1"/>
    <col min="10" max="10" width="16" style="10" customWidth="1"/>
    <col min="11" max="11" width="24.42578125" style="10" customWidth="1"/>
    <col min="12" max="12" width="15.7109375" style="11" hidden="1" customWidth="1" outlineLevel="1"/>
    <col min="13" max="13" width="26.7109375" style="10" hidden="1" customWidth="1" outlineLevel="1"/>
    <col min="14" max="14" width="16.28515625" style="10" hidden="1" customWidth="1" outlineLevel="1"/>
    <col min="15" max="15" width="14.42578125" style="10" customWidth="1" collapsed="1"/>
    <col min="16" max="16" width="14.7109375" style="10" hidden="1" customWidth="1" outlineLevel="1"/>
    <col min="17" max="17" width="18.42578125" style="11" hidden="1" customWidth="1" outlineLevel="1"/>
    <col min="18" max="18" width="15.42578125" style="10" hidden="1" customWidth="1" outlineLevel="1"/>
    <col min="19" max="19" width="11.7109375" style="10" hidden="1" customWidth="1" outlineLevel="1"/>
    <col min="20" max="20" width="8.5703125" style="10" customWidth="1" collapsed="1"/>
    <col min="21" max="21" width="16.140625" style="10" customWidth="1"/>
    <col min="22" max="22" width="17.7109375" style="11" customWidth="1"/>
    <col min="23" max="23" width="16.7109375" style="15" customWidth="1"/>
    <col min="24" max="24" width="20.5703125" style="10" customWidth="1"/>
    <col min="25" max="25" width="14.85546875" style="10" customWidth="1"/>
    <col min="26" max="26" width="46.85546875" style="10" hidden="1" customWidth="1" outlineLevel="1"/>
    <col min="27" max="27" width="28.7109375" style="5" customWidth="1" collapsed="1"/>
    <col min="28" max="28" width="21.140625" style="5" customWidth="1"/>
    <col min="29" max="46" width="11.42578125" style="5"/>
  </cols>
  <sheetData>
    <row r="1" spans="1:28">
      <c r="A1" s="173" t="s">
        <v>454</v>
      </c>
      <c r="B1" s="173" t="s">
        <v>1</v>
      </c>
      <c r="C1" s="173" t="s">
        <v>2</v>
      </c>
      <c r="D1" s="173" t="s">
        <v>286</v>
      </c>
      <c r="E1" s="173" t="s">
        <v>285</v>
      </c>
      <c r="F1" s="173" t="s">
        <v>1930</v>
      </c>
      <c r="G1" s="173" t="s">
        <v>0</v>
      </c>
      <c r="H1" s="173" t="s">
        <v>1929</v>
      </c>
      <c r="I1" s="173" t="s">
        <v>1927</v>
      </c>
      <c r="J1" s="173" t="s">
        <v>5</v>
      </c>
      <c r="K1" s="173" t="s">
        <v>1907</v>
      </c>
      <c r="L1" s="173" t="s">
        <v>1253</v>
      </c>
      <c r="M1" s="173" t="s">
        <v>8</v>
      </c>
      <c r="N1" s="173" t="s">
        <v>7</v>
      </c>
      <c r="O1" s="173" t="s">
        <v>1928</v>
      </c>
      <c r="P1" s="21" t="s">
        <v>348</v>
      </c>
      <c r="Q1" s="14" t="s">
        <v>349</v>
      </c>
      <c r="R1" s="21" t="s">
        <v>350</v>
      </c>
      <c r="S1" s="21" t="s">
        <v>382</v>
      </c>
      <c r="T1" s="117" t="s">
        <v>292</v>
      </c>
      <c r="U1" s="117" t="s">
        <v>283</v>
      </c>
      <c r="V1" s="118" t="s">
        <v>360</v>
      </c>
      <c r="W1" s="119" t="s">
        <v>357</v>
      </c>
      <c r="X1" s="117" t="s">
        <v>358</v>
      </c>
      <c r="Y1" s="117" t="s">
        <v>362</v>
      </c>
      <c r="Z1" s="12" t="s">
        <v>359</v>
      </c>
      <c r="AA1" s="12" t="s">
        <v>526</v>
      </c>
      <c r="AB1" s="12" t="s">
        <v>525</v>
      </c>
    </row>
    <row r="2" spans="1:28" ht="15" hidden="1" customHeight="1">
      <c r="A2" s="173" t="s">
        <v>1462</v>
      </c>
      <c r="B2" s="174">
        <v>42948</v>
      </c>
      <c r="C2" s="173" t="s">
        <v>1231</v>
      </c>
      <c r="D2" s="173" t="s">
        <v>1237</v>
      </c>
      <c r="E2" s="173" t="s">
        <v>1232</v>
      </c>
      <c r="F2" s="173">
        <v>1</v>
      </c>
      <c r="G2" s="173" t="s">
        <v>189</v>
      </c>
      <c r="H2" s="173">
        <v>1</v>
      </c>
      <c r="I2" s="173" t="s">
        <v>1463</v>
      </c>
      <c r="J2" s="173" t="s">
        <v>1421</v>
      </c>
      <c r="K2" s="173" t="s">
        <v>1434</v>
      </c>
      <c r="L2" s="173"/>
      <c r="M2" s="173" t="s">
        <v>184</v>
      </c>
      <c r="N2" s="173">
        <v>860062808</v>
      </c>
      <c r="O2" s="175">
        <v>11496063</v>
      </c>
      <c r="P2" s="7"/>
      <c r="Q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" s="9">
        <f>+IFERROR(VLOOKUP(Tabla3[[#This Row],[Cliente factura]],Tabla4[[NIT]:[TOTAL CREDITO]],6,FALSE),0)</f>
        <v>0</v>
      </c>
      <c r="S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" s="10" t="str">
        <f>VLOOKUP(Tabla3[[#This Row],[Razón social cliente factura]]&amp;Tabla3[[#This Row],[Desc. ciudad]],'Estandar de Rutas'!$C$1:$E$553,2,FALSE)</f>
        <v>7.2</v>
      </c>
      <c r="U2" s="10">
        <f>IFERROR(VLOOKUP(Tabla3[[#This Row],[Referencia]]&amp;Tabla3[[#This Row],[Desc detalle ext 1]],Tabla1[[Referencia-Color]:[Disponibilidad]],3,FALSE),0)</f>
        <v>0</v>
      </c>
      <c r="V2" s="13"/>
      <c r="W2" s="17">
        <f>+Tabla3[[#This Row],[Cant. Programada]]*Tabla3[[#This Row],[Precio unit]]</f>
        <v>0</v>
      </c>
      <c r="X2" s="177"/>
      <c r="Y2" s="129"/>
      <c r="Z2" s="8" t="str">
        <f>+Tabla3[[#This Row],[Referencia]]&amp;Tabla3[[#This Row],[Desc detalle ext 1]]</f>
        <v>*XR-250 TORNADO pt MD34                           BLANCO NE</v>
      </c>
      <c r="AA2" s="5" t="e">
        <f>+VLOOKUP(Tabla3[[#This Row],[CODIGO2]],ESTANDAR!$B$3:$C$9,2,FALSE)</f>
        <v>#N/A</v>
      </c>
      <c r="AB2" s="5" t="str">
        <f>+MID(Tabla3[[#This Row],['# Viaje]],10,1)</f>
        <v/>
      </c>
    </row>
    <row r="3" spans="1:28" ht="15" hidden="1" customHeight="1">
      <c r="A3" s="173" t="s">
        <v>1462</v>
      </c>
      <c r="B3" s="174">
        <v>42948</v>
      </c>
      <c r="C3" s="173" t="s">
        <v>1231</v>
      </c>
      <c r="D3" s="173" t="s">
        <v>1237</v>
      </c>
      <c r="E3" s="173" t="s">
        <v>1232</v>
      </c>
      <c r="F3" s="173">
        <v>2</v>
      </c>
      <c r="G3" s="173" t="s">
        <v>189</v>
      </c>
      <c r="H3" s="173">
        <v>2</v>
      </c>
      <c r="I3" s="173" t="s">
        <v>1463</v>
      </c>
      <c r="J3" s="173" t="s">
        <v>14</v>
      </c>
      <c r="K3" s="173" t="s">
        <v>16</v>
      </c>
      <c r="L3" s="173"/>
      <c r="M3" s="173" t="s">
        <v>184</v>
      </c>
      <c r="N3" s="173">
        <v>860062808</v>
      </c>
      <c r="O3" s="175">
        <v>3360504</v>
      </c>
      <c r="P3" s="7"/>
      <c r="Q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" s="9">
        <f>+IFERROR(VLOOKUP(Tabla3[[#This Row],[Cliente factura]],Tabla4[[NIT]:[TOTAL CREDITO]],6,FALSE),0)</f>
        <v>0</v>
      </c>
      <c r="S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" s="10" t="str">
        <f>VLOOKUP(Tabla3[[#This Row],[Razón social cliente factura]]&amp;Tabla3[[#This Row],[Desc. ciudad]],'Estandar de Rutas'!$C$1:$E$553,2,FALSE)</f>
        <v>7.2</v>
      </c>
      <c r="U3" s="130">
        <f>IFERROR(VLOOKUP(Tabla3[[#This Row],[Referencia]]&amp;Tabla3[[#This Row],[Desc detalle ext 1]],Tabla1[[Referencia-Color]:[Disponibilidad]],3,FALSE),0)</f>
        <v>83</v>
      </c>
      <c r="V3" s="13"/>
      <c r="W3" s="17">
        <f>+Tabla3[[#This Row],[Cant. Programada]]*Tabla3[[#This Row],[Precio unit]]</f>
        <v>0</v>
      </c>
      <c r="X3" s="130"/>
      <c r="Y3" s="129"/>
      <c r="Z3" s="8" t="str">
        <f>+Tabla3[[#This Row],[Referencia]]&amp;Tabla3[[#This Row],[Desc detalle ext 1]]</f>
        <v xml:space="preserve">*CB-110                                           NEGRO    </v>
      </c>
      <c r="AA3" s="128" t="e">
        <f>+VLOOKUP(Tabla3[[#This Row],[CODIGO2]],ESTANDAR!$B$3:$C$9,2,FALSE)</f>
        <v>#N/A</v>
      </c>
      <c r="AB3" s="128" t="str">
        <f>+MID(Tabla3[[#This Row],['# Viaje]],10,1)</f>
        <v/>
      </c>
    </row>
    <row r="4" spans="1:28" ht="15" hidden="1" customHeight="1">
      <c r="A4" s="173" t="s">
        <v>1462</v>
      </c>
      <c r="B4" s="174">
        <v>42948</v>
      </c>
      <c r="C4" s="173" t="s">
        <v>1231</v>
      </c>
      <c r="D4" s="173" t="s">
        <v>1237</v>
      </c>
      <c r="E4" s="173" t="s">
        <v>1232</v>
      </c>
      <c r="F4" s="173">
        <v>1</v>
      </c>
      <c r="G4" s="173" t="s">
        <v>189</v>
      </c>
      <c r="H4" s="173">
        <v>1</v>
      </c>
      <c r="I4" s="173" t="s">
        <v>1463</v>
      </c>
      <c r="J4" s="173" t="s">
        <v>27</v>
      </c>
      <c r="K4" s="173" t="s">
        <v>16</v>
      </c>
      <c r="L4" s="173"/>
      <c r="M4" s="173" t="s">
        <v>184</v>
      </c>
      <c r="N4" s="173">
        <v>860062808</v>
      </c>
      <c r="O4" s="175">
        <v>5789916</v>
      </c>
      <c r="P4" s="7"/>
      <c r="Q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" s="9">
        <f>+IFERROR(VLOOKUP(Tabla3[[#This Row],[Cliente factura]],Tabla4[[NIT]:[TOTAL CREDITO]],6,FALSE),0)</f>
        <v>0</v>
      </c>
      <c r="S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" s="10" t="str">
        <f>VLOOKUP(Tabla3[[#This Row],[Razón social cliente factura]]&amp;Tabla3[[#This Row],[Desc. ciudad]],'Estandar de Rutas'!$C$1:$E$553,2,FALSE)</f>
        <v>7.2</v>
      </c>
      <c r="U4" s="130">
        <f>IFERROR(VLOOKUP(Tabla3[[#This Row],[Referencia]]&amp;Tabla3[[#This Row],[Desc detalle ext 1]],Tabla1[[Referencia-Color]:[Disponibilidad]],3,FALSE),0)</f>
        <v>3</v>
      </c>
      <c r="V4" s="13"/>
      <c r="W4" s="17">
        <f>+Tabla3[[#This Row],[Cant. Programada]]*Tabla3[[#This Row],[Precio unit]]</f>
        <v>0</v>
      </c>
      <c r="X4" s="130"/>
      <c r="Y4" s="129"/>
      <c r="Z4" s="8" t="str">
        <f>+Tabla3[[#This Row],[Referencia]]&amp;Tabla3[[#This Row],[Desc detalle ext 1]]</f>
        <v xml:space="preserve">*XR 150L                                          NEGRO    </v>
      </c>
      <c r="AA4" s="128" t="e">
        <f>+VLOOKUP(Tabla3[[#This Row],[CODIGO2]],ESTANDAR!$B$3:$C$9,2,FALSE)</f>
        <v>#N/A</v>
      </c>
      <c r="AB4" s="128" t="str">
        <f>+MID(Tabla3[[#This Row],['# Viaje]],10,1)</f>
        <v/>
      </c>
    </row>
    <row r="5" spans="1:28" ht="15" hidden="1" customHeight="1">
      <c r="A5" s="173" t="s">
        <v>1462</v>
      </c>
      <c r="B5" s="174">
        <v>42948</v>
      </c>
      <c r="C5" s="173" t="s">
        <v>1231</v>
      </c>
      <c r="D5" s="173" t="s">
        <v>1237</v>
      </c>
      <c r="E5" s="173" t="s">
        <v>1232</v>
      </c>
      <c r="F5" s="173">
        <v>3</v>
      </c>
      <c r="G5" s="173" t="s">
        <v>189</v>
      </c>
      <c r="H5" s="173">
        <v>3</v>
      </c>
      <c r="I5" s="173" t="s">
        <v>1463</v>
      </c>
      <c r="J5" s="173" t="s">
        <v>10</v>
      </c>
      <c r="K5" s="173" t="s">
        <v>13</v>
      </c>
      <c r="L5" s="173"/>
      <c r="M5" s="173" t="s">
        <v>184</v>
      </c>
      <c r="N5" s="173">
        <v>860062808</v>
      </c>
      <c r="O5" s="175">
        <v>7554622</v>
      </c>
      <c r="P5" s="7"/>
      <c r="Q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" s="9">
        <f>+IFERROR(VLOOKUP(Tabla3[[#This Row],[Cliente factura]],Tabla4[[NIT]:[TOTAL CREDITO]],6,FALSE),0)</f>
        <v>0</v>
      </c>
      <c r="S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" s="10" t="str">
        <f>VLOOKUP(Tabla3[[#This Row],[Razón social cliente factura]]&amp;Tabla3[[#This Row],[Desc. ciudad]],'Estandar de Rutas'!$C$1:$E$553,2,FALSE)</f>
        <v>7.2</v>
      </c>
      <c r="U5" s="130">
        <f>IFERROR(VLOOKUP(Tabla3[[#This Row],[Referencia]]&amp;Tabla3[[#This Row],[Desc detalle ext 1]],Tabla1[[Referencia-Color]:[Disponibilidad]],3,FALSE),0)</f>
        <v>75</v>
      </c>
      <c r="V5" s="13"/>
      <c r="W5" s="17">
        <f>+Tabla3[[#This Row],[Cant. Programada]]*Tabla3[[#This Row],[Precio unit]]</f>
        <v>0</v>
      </c>
      <c r="X5" s="130"/>
      <c r="Y5" s="129"/>
      <c r="Z5" s="8" t="str">
        <f>+Tabla3[[#This Row],[Referencia]]&amp;Tabla3[[#This Row],[Desc detalle ext 1]]</f>
        <v>CB 190R                                           ROJO NEGR</v>
      </c>
      <c r="AA5" s="128" t="e">
        <f>+VLOOKUP(Tabla3[[#This Row],[CODIGO2]],ESTANDAR!$B$3:$C$9,2,FALSE)</f>
        <v>#N/A</v>
      </c>
      <c r="AB5" s="128" t="str">
        <f>+MID(Tabla3[[#This Row],['# Viaje]],10,1)</f>
        <v/>
      </c>
    </row>
    <row r="6" spans="1:28" ht="15" hidden="1" customHeight="1">
      <c r="A6" s="173" t="s">
        <v>1462</v>
      </c>
      <c r="B6" s="174">
        <v>42948</v>
      </c>
      <c r="C6" s="173" t="s">
        <v>1231</v>
      </c>
      <c r="D6" s="173" t="s">
        <v>1237</v>
      </c>
      <c r="E6" s="173" t="s">
        <v>1232</v>
      </c>
      <c r="F6" s="173">
        <v>4</v>
      </c>
      <c r="G6" s="173" t="s">
        <v>189</v>
      </c>
      <c r="H6" s="173">
        <v>4</v>
      </c>
      <c r="I6" s="173" t="s">
        <v>1463</v>
      </c>
      <c r="J6" s="173" t="s">
        <v>10</v>
      </c>
      <c r="K6" s="173" t="s">
        <v>11</v>
      </c>
      <c r="L6" s="173"/>
      <c r="M6" s="173" t="s">
        <v>184</v>
      </c>
      <c r="N6" s="173">
        <v>860062808</v>
      </c>
      <c r="O6" s="175">
        <v>7554622</v>
      </c>
      <c r="P6" s="7"/>
      <c r="Q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" s="9">
        <f>+IFERROR(VLOOKUP(Tabla3[[#This Row],[Cliente factura]],Tabla4[[NIT]:[TOTAL CREDITO]],6,FALSE),0)</f>
        <v>0</v>
      </c>
      <c r="S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" s="10" t="str">
        <f>VLOOKUP(Tabla3[[#This Row],[Razón social cliente factura]]&amp;Tabla3[[#This Row],[Desc. ciudad]],'Estandar de Rutas'!$C$1:$E$553,2,FALSE)</f>
        <v>7.2</v>
      </c>
      <c r="U6" s="130">
        <f>IFERROR(VLOOKUP(Tabla3[[#This Row],[Referencia]]&amp;Tabla3[[#This Row],[Desc detalle ext 1]],Tabla1[[Referencia-Color]:[Disponibilidad]],3,FALSE),0)</f>
        <v>0</v>
      </c>
      <c r="V6" s="13"/>
      <c r="W6" s="17">
        <f>+Tabla3[[#This Row],[Cant. Programada]]*Tabla3[[#This Row],[Precio unit]]</f>
        <v>0</v>
      </c>
      <c r="X6" s="130"/>
      <c r="Y6" s="129"/>
      <c r="Z6" s="8" t="str">
        <f>+Tabla3[[#This Row],[Referencia]]&amp;Tabla3[[#This Row],[Desc detalle ext 1]]</f>
        <v>CB 190R                                           NEGRO ONI</v>
      </c>
      <c r="AA6" s="128" t="e">
        <f>+VLOOKUP(Tabla3[[#This Row],[CODIGO2]],ESTANDAR!$B$3:$C$9,2,FALSE)</f>
        <v>#N/A</v>
      </c>
      <c r="AB6" s="128" t="str">
        <f>+MID(Tabla3[[#This Row],['# Viaje]],10,1)</f>
        <v/>
      </c>
    </row>
    <row r="7" spans="1:28" ht="15" hidden="1" customHeight="1">
      <c r="A7" s="173" t="s">
        <v>1462</v>
      </c>
      <c r="B7" s="174">
        <v>42948</v>
      </c>
      <c r="C7" s="173" t="s">
        <v>1231</v>
      </c>
      <c r="D7" s="173" t="s">
        <v>1237</v>
      </c>
      <c r="E7" s="173" t="s">
        <v>1232</v>
      </c>
      <c r="F7" s="173">
        <v>5</v>
      </c>
      <c r="G7" s="173" t="s">
        <v>189</v>
      </c>
      <c r="H7" s="173">
        <v>5</v>
      </c>
      <c r="I7" s="173" t="s">
        <v>1463</v>
      </c>
      <c r="J7" s="173" t="s">
        <v>1425</v>
      </c>
      <c r="K7" s="173" t="s">
        <v>1426</v>
      </c>
      <c r="L7" s="173"/>
      <c r="M7" s="173" t="s">
        <v>184</v>
      </c>
      <c r="N7" s="173">
        <v>860062808</v>
      </c>
      <c r="O7" s="175">
        <v>7730252</v>
      </c>
      <c r="P7" s="7"/>
      <c r="Q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" s="9">
        <f>+IFERROR(VLOOKUP(Tabla3[[#This Row],[Cliente factura]],Tabla4[[NIT]:[TOTAL CREDITO]],6,FALSE),0)</f>
        <v>0</v>
      </c>
      <c r="S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" s="10" t="str">
        <f>VLOOKUP(Tabla3[[#This Row],[Razón social cliente factura]]&amp;Tabla3[[#This Row],[Desc. ciudad]],'Estandar de Rutas'!$C$1:$E$553,2,FALSE)</f>
        <v>7.2</v>
      </c>
      <c r="U7" s="130">
        <f>IFERROR(VLOOKUP(Tabla3[[#This Row],[Referencia]]&amp;Tabla3[[#This Row],[Desc detalle ext 1]],Tabla1[[Referencia-Color]:[Disponibilidad]],3,FALSE),0)</f>
        <v>104</v>
      </c>
      <c r="V7" s="13"/>
      <c r="W7" s="17">
        <f>+Tabla3[[#This Row],[Cant. Programada]]*Tabla3[[#This Row],[Precio unit]]</f>
        <v>0</v>
      </c>
      <c r="X7" s="129"/>
      <c r="Y7" s="129"/>
      <c r="Z7" s="8" t="str">
        <f>+Tabla3[[#This Row],[Referencia]]&amp;Tabla3[[#This Row],[Desc detalle ext 1]]</f>
        <v>CB 190 REPSOL                                     NARANJA B</v>
      </c>
      <c r="AA7" s="128" t="e">
        <f>+VLOOKUP(Tabla3[[#This Row],[CODIGO2]],ESTANDAR!$B$3:$C$9,2,FALSE)</f>
        <v>#N/A</v>
      </c>
      <c r="AB7" s="128" t="str">
        <f>+MID(Tabla3[[#This Row],['# Viaje]],10,1)</f>
        <v/>
      </c>
    </row>
    <row r="8" spans="1:28" ht="15" hidden="1" customHeight="1">
      <c r="A8" s="173" t="s">
        <v>1462</v>
      </c>
      <c r="B8" s="174">
        <v>42948</v>
      </c>
      <c r="C8" s="173" t="s">
        <v>1231</v>
      </c>
      <c r="D8" s="173" t="s">
        <v>1237</v>
      </c>
      <c r="E8" s="173" t="s">
        <v>1232</v>
      </c>
      <c r="F8" s="173">
        <v>1</v>
      </c>
      <c r="G8" s="173" t="s">
        <v>189</v>
      </c>
      <c r="H8" s="173">
        <v>1</v>
      </c>
      <c r="I8" s="173" t="s">
        <v>1463</v>
      </c>
      <c r="J8" s="173" t="s">
        <v>354</v>
      </c>
      <c r="K8" s="173" t="s">
        <v>474</v>
      </c>
      <c r="L8" s="173"/>
      <c r="M8" s="173" t="s">
        <v>184</v>
      </c>
      <c r="N8" s="173">
        <v>860062808</v>
      </c>
      <c r="O8" s="175">
        <v>6133613</v>
      </c>
      <c r="P8" s="7"/>
      <c r="Q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" s="9">
        <f>+IFERROR(VLOOKUP(Tabla3[[#This Row],[Cliente factura]],Tabla4[[NIT]:[TOTAL CREDITO]],6,FALSE),0)</f>
        <v>0</v>
      </c>
      <c r="S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" s="10" t="str">
        <f>VLOOKUP(Tabla3[[#This Row],[Razón social cliente factura]]&amp;Tabla3[[#This Row],[Desc. ciudad]],'Estandar de Rutas'!$C$1:$E$553,2,FALSE)</f>
        <v>7.2</v>
      </c>
      <c r="U8" s="130">
        <f>IFERROR(VLOOKUP(Tabla3[[#This Row],[Referencia]]&amp;Tabla3[[#This Row],[Desc detalle ext 1]],Tabla1[[Referencia-Color]:[Disponibilidad]],3,FALSE),0)</f>
        <v>3</v>
      </c>
      <c r="V8" s="13"/>
      <c r="W8" s="17">
        <f>+Tabla3[[#This Row],[Cant. Programada]]*Tabla3[[#This Row],[Precio unit]]</f>
        <v>0</v>
      </c>
      <c r="X8" s="129"/>
      <c r="Y8" s="129"/>
      <c r="Z8" s="8" t="str">
        <f>+Tabla3[[#This Row],[Referencia]]&amp;Tabla3[[#This Row],[Desc detalle ext 1]]</f>
        <v>CB 160F DLX                                       NARANJA N</v>
      </c>
      <c r="AA8" s="128" t="e">
        <f>+VLOOKUP(Tabla3[[#This Row],[CODIGO2]],ESTANDAR!$B$3:$C$9,2,FALSE)</f>
        <v>#N/A</v>
      </c>
      <c r="AB8" s="128" t="str">
        <f>+MID(Tabla3[[#This Row],['# Viaje]],10,1)</f>
        <v/>
      </c>
    </row>
    <row r="9" spans="1:28" ht="15" hidden="1" customHeight="1">
      <c r="A9" s="173" t="s">
        <v>1462</v>
      </c>
      <c r="B9" s="174">
        <v>42948</v>
      </c>
      <c r="C9" s="173" t="s">
        <v>1231</v>
      </c>
      <c r="D9" s="173" t="s">
        <v>1237</v>
      </c>
      <c r="E9" s="173" t="s">
        <v>1232</v>
      </c>
      <c r="F9" s="173">
        <v>1</v>
      </c>
      <c r="G9" s="173" t="s">
        <v>189</v>
      </c>
      <c r="H9" s="173">
        <v>1</v>
      </c>
      <c r="I9" s="173" t="s">
        <v>1463</v>
      </c>
      <c r="J9" s="173" t="s">
        <v>1433</v>
      </c>
      <c r="K9" s="173" t="s">
        <v>1431</v>
      </c>
      <c r="L9" s="173"/>
      <c r="M9" s="173" t="s">
        <v>184</v>
      </c>
      <c r="N9" s="173">
        <v>860062808</v>
      </c>
      <c r="O9" s="175">
        <v>3521008</v>
      </c>
      <c r="P9" s="7"/>
      <c r="Q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9" s="9">
        <f>+IFERROR(VLOOKUP(Tabla3[[#This Row],[Cliente factura]],Tabla4[[NIT]:[TOTAL CREDITO]],6,FALSE),0)</f>
        <v>0</v>
      </c>
      <c r="S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" s="10" t="str">
        <f>VLOOKUP(Tabla3[[#This Row],[Razón social cliente factura]]&amp;Tabla3[[#This Row],[Desc. ciudad]],'Estandar de Rutas'!$C$1:$E$553,2,FALSE)</f>
        <v>7.2</v>
      </c>
      <c r="U9" s="130">
        <f>IFERROR(VLOOKUP(Tabla3[[#This Row],[Referencia]]&amp;Tabla3[[#This Row],[Desc detalle ext 1]],Tabla1[[Referencia-Color]:[Disponibilidad]],3,FALSE),0)</f>
        <v>0</v>
      </c>
      <c r="V9" s="13"/>
      <c r="W9" s="17">
        <f>+Tabla3[[#This Row],[Cant. Programada]]*Tabla3[[#This Row],[Precio unit]]</f>
        <v>0</v>
      </c>
      <c r="X9" s="129"/>
      <c r="Y9" s="129"/>
      <c r="Z9" s="8" t="str">
        <f>+Tabla3[[#This Row],[Referencia]]&amp;Tabla3[[#This Row],[Desc detalle ext 1]]</f>
        <v xml:space="preserve">DIO  110                                          ROJO     </v>
      </c>
      <c r="AA9" s="128" t="e">
        <f>+VLOOKUP(Tabla3[[#This Row],[CODIGO2]],ESTANDAR!$B$3:$C$9,2,FALSE)</f>
        <v>#N/A</v>
      </c>
      <c r="AB9" s="128" t="str">
        <f>+MID(Tabla3[[#This Row],['# Viaje]],10,1)</f>
        <v/>
      </c>
    </row>
    <row r="10" spans="1:28" ht="15" hidden="1" customHeight="1">
      <c r="A10" s="173" t="s">
        <v>1462</v>
      </c>
      <c r="B10" s="174">
        <v>42948</v>
      </c>
      <c r="C10" s="173" t="s">
        <v>1231</v>
      </c>
      <c r="D10" s="173" t="s">
        <v>1237</v>
      </c>
      <c r="E10" s="173" t="s">
        <v>1232</v>
      </c>
      <c r="F10" s="173">
        <v>1</v>
      </c>
      <c r="G10" s="173" t="s">
        <v>189</v>
      </c>
      <c r="H10" s="173">
        <v>1</v>
      </c>
      <c r="I10" s="173" t="s">
        <v>1463</v>
      </c>
      <c r="J10" s="173" t="s">
        <v>1430</v>
      </c>
      <c r="K10" s="173" t="s">
        <v>16</v>
      </c>
      <c r="L10" s="173"/>
      <c r="M10" s="173" t="s">
        <v>184</v>
      </c>
      <c r="N10" s="173">
        <v>860062808</v>
      </c>
      <c r="O10" s="175">
        <v>3941176</v>
      </c>
      <c r="P10" s="7"/>
      <c r="Q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" s="9">
        <f>+IFERROR(VLOOKUP(Tabla3[[#This Row],[Cliente factura]],Tabla4[[NIT]:[TOTAL CREDITO]],6,FALSE),0)</f>
        <v>0</v>
      </c>
      <c r="S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" s="10" t="str">
        <f>VLOOKUP(Tabla3[[#This Row],[Razón social cliente factura]]&amp;Tabla3[[#This Row],[Desc. ciudad]],'Estandar de Rutas'!$C$1:$E$553,2,FALSE)</f>
        <v>7.2</v>
      </c>
      <c r="U10" s="130">
        <f>IFERROR(VLOOKUP(Tabla3[[#This Row],[Referencia]]&amp;Tabla3[[#This Row],[Desc detalle ext 1]],Tabla1[[Referencia-Color]:[Disponibilidad]],3,FALSE),0)</f>
        <v>0</v>
      </c>
      <c r="V10" s="13"/>
      <c r="W10" s="17">
        <f>+Tabla3[[#This Row],[Cant. Programada]]*Tabla3[[#This Row],[Precio unit]]</f>
        <v>0</v>
      </c>
      <c r="X10" s="129"/>
      <c r="Y10" s="129"/>
      <c r="Z10" s="8" t="str">
        <f>+Tabla3[[#This Row],[Referencia]]&amp;Tabla3[[#This Row],[Desc detalle ext 1]]</f>
        <v xml:space="preserve">WAVE 110S                                         NEGRO    </v>
      </c>
      <c r="AA10" s="128" t="e">
        <f>+VLOOKUP(Tabla3[[#This Row],[CODIGO2]],ESTANDAR!$B$3:$C$9,2,FALSE)</f>
        <v>#N/A</v>
      </c>
      <c r="AB10" s="128" t="str">
        <f>+MID(Tabla3[[#This Row],['# Viaje]],10,1)</f>
        <v/>
      </c>
    </row>
    <row r="11" spans="1:28" ht="15" hidden="1" customHeight="1">
      <c r="A11" s="173" t="s">
        <v>1462</v>
      </c>
      <c r="B11" s="174">
        <v>42948</v>
      </c>
      <c r="C11" s="173" t="s">
        <v>1231</v>
      </c>
      <c r="D11" s="173" t="s">
        <v>1237</v>
      </c>
      <c r="E11" s="173" t="s">
        <v>1232</v>
      </c>
      <c r="F11" s="173">
        <v>1</v>
      </c>
      <c r="G11" s="173" t="s">
        <v>189</v>
      </c>
      <c r="H11" s="173">
        <v>1</v>
      </c>
      <c r="I11" s="173" t="s">
        <v>1463</v>
      </c>
      <c r="J11" s="173" t="s">
        <v>1234</v>
      </c>
      <c r="K11" s="173" t="s">
        <v>17</v>
      </c>
      <c r="L11" s="173"/>
      <c r="M11" s="173" t="s">
        <v>184</v>
      </c>
      <c r="N11" s="173">
        <v>860062808</v>
      </c>
      <c r="O11" s="175">
        <v>5453782</v>
      </c>
      <c r="P11" s="7"/>
      <c r="Q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" s="9">
        <f>+IFERROR(VLOOKUP(Tabla3[[#This Row],[Cliente factura]],Tabla4[[NIT]:[TOTAL CREDITO]],6,FALSE),0)</f>
        <v>0</v>
      </c>
      <c r="S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" s="10" t="str">
        <f>VLOOKUP(Tabla3[[#This Row],[Razón social cliente factura]]&amp;Tabla3[[#This Row],[Desc. ciudad]],'Estandar de Rutas'!$C$1:$E$553,2,FALSE)</f>
        <v>7.2</v>
      </c>
      <c r="U11" s="130">
        <f>IFERROR(VLOOKUP(Tabla3[[#This Row],[Referencia]]&amp;Tabla3[[#This Row],[Desc detalle ext 1]],Tabla1[[Referencia-Color]:[Disponibilidad]],3,FALSE),0)</f>
        <v>0</v>
      </c>
      <c r="V11" s="13"/>
      <c r="W11" s="17">
        <f>+Tabla3[[#This Row],[Cant. Programada]]*Tabla3[[#This Row],[Precio unit]]</f>
        <v>0</v>
      </c>
      <c r="X11" s="129"/>
      <c r="Y11" s="129"/>
      <c r="Z11" s="8" t="str">
        <f>+Tabla3[[#This Row],[Referencia]]&amp;Tabla3[[#This Row],[Desc detalle ext 1]]</f>
        <v>CB 160F STD                                       ROJO SPOR</v>
      </c>
      <c r="AA11" s="128" t="e">
        <f>+VLOOKUP(Tabla3[[#This Row],[CODIGO2]],ESTANDAR!$B$3:$C$9,2,FALSE)</f>
        <v>#N/A</v>
      </c>
      <c r="AB11" s="128" t="str">
        <f>+MID(Tabla3[[#This Row],['# Viaje]],10,1)</f>
        <v/>
      </c>
    </row>
    <row r="12" spans="1:28" ht="15" hidden="1" customHeight="1">
      <c r="A12" s="173" t="s">
        <v>1462</v>
      </c>
      <c r="B12" s="174">
        <v>42948</v>
      </c>
      <c r="C12" s="173" t="s">
        <v>1231</v>
      </c>
      <c r="D12" s="173" t="s">
        <v>1237</v>
      </c>
      <c r="E12" s="173" t="s">
        <v>1232</v>
      </c>
      <c r="F12" s="173">
        <v>1</v>
      </c>
      <c r="G12" s="173" t="s">
        <v>189</v>
      </c>
      <c r="H12" s="173">
        <v>1</v>
      </c>
      <c r="I12" s="173" t="s">
        <v>1463</v>
      </c>
      <c r="J12" s="173" t="s">
        <v>1234</v>
      </c>
      <c r="K12" s="173" t="s">
        <v>355</v>
      </c>
      <c r="L12" s="173"/>
      <c r="M12" s="173" t="s">
        <v>184</v>
      </c>
      <c r="N12" s="173">
        <v>860062808</v>
      </c>
      <c r="O12" s="175">
        <v>5453782</v>
      </c>
      <c r="P12" s="7"/>
      <c r="Q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" s="9">
        <f>+IFERROR(VLOOKUP(Tabla3[[#This Row],[Cliente factura]],Tabla4[[NIT]:[TOTAL CREDITO]],6,FALSE),0)</f>
        <v>0</v>
      </c>
      <c r="S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" s="10" t="str">
        <f>VLOOKUP(Tabla3[[#This Row],[Razón social cliente factura]]&amp;Tabla3[[#This Row],[Desc. ciudad]],'Estandar de Rutas'!$C$1:$E$553,2,FALSE)</f>
        <v>7.2</v>
      </c>
      <c r="U12" s="130">
        <f>IFERROR(VLOOKUP(Tabla3[[#This Row],[Referencia]]&amp;Tabla3[[#This Row],[Desc detalle ext 1]],Tabla1[[Referencia-Color]:[Disponibilidad]],3,FALSE),0)</f>
        <v>0</v>
      </c>
      <c r="V12" s="13"/>
      <c r="W12" s="17">
        <f>+Tabla3[[#This Row],[Cant. Programada]]*Tabla3[[#This Row],[Precio unit]]</f>
        <v>0</v>
      </c>
      <c r="X12" s="129"/>
      <c r="Y12" s="129"/>
      <c r="Z12" s="8" t="str">
        <f>+Tabla3[[#This Row],[Referencia]]&amp;Tabla3[[#This Row],[Desc detalle ext 1]]</f>
        <v>CB 160F STD                                       NEGRO PER</v>
      </c>
      <c r="AA12" s="128" t="e">
        <f>+VLOOKUP(Tabla3[[#This Row],[CODIGO2]],ESTANDAR!$B$3:$C$9,2,FALSE)</f>
        <v>#N/A</v>
      </c>
      <c r="AB12" s="128" t="str">
        <f>+MID(Tabla3[[#This Row],['# Viaje]],10,1)</f>
        <v/>
      </c>
    </row>
    <row r="13" spans="1:28" ht="15" hidden="1" customHeight="1">
      <c r="A13" s="173" t="s">
        <v>1462</v>
      </c>
      <c r="B13" s="174">
        <v>42948</v>
      </c>
      <c r="C13" s="173" t="s">
        <v>1231</v>
      </c>
      <c r="D13" s="173" t="s">
        <v>1237</v>
      </c>
      <c r="E13" s="173" t="s">
        <v>1232</v>
      </c>
      <c r="F13" s="173">
        <v>1</v>
      </c>
      <c r="G13" s="173" t="s">
        <v>189</v>
      </c>
      <c r="H13" s="173">
        <v>1</v>
      </c>
      <c r="I13" s="173" t="s">
        <v>1463</v>
      </c>
      <c r="J13" s="173" t="s">
        <v>1234</v>
      </c>
      <c r="K13" s="173" t="s">
        <v>44</v>
      </c>
      <c r="L13" s="173"/>
      <c r="M13" s="173" t="s">
        <v>184</v>
      </c>
      <c r="N13" s="173">
        <v>860062808</v>
      </c>
      <c r="O13" s="175">
        <v>5453782</v>
      </c>
      <c r="P13" s="7"/>
      <c r="Q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" s="9">
        <f>+IFERROR(VLOOKUP(Tabla3[[#This Row],[Cliente factura]],Tabla4[[NIT]:[TOTAL CREDITO]],6,FALSE),0)</f>
        <v>0</v>
      </c>
      <c r="S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" s="10" t="str">
        <f>VLOOKUP(Tabla3[[#This Row],[Razón social cliente factura]]&amp;Tabla3[[#This Row],[Desc. ciudad]],'Estandar de Rutas'!$C$1:$E$553,2,FALSE)</f>
        <v>7.2</v>
      </c>
      <c r="U13" s="130">
        <f>IFERROR(VLOOKUP(Tabla3[[#This Row],[Referencia]]&amp;Tabla3[[#This Row],[Desc detalle ext 1]],Tabla1[[Referencia-Color]:[Disponibilidad]],3,FALSE),0)</f>
        <v>1</v>
      </c>
      <c r="V13" s="13"/>
      <c r="W13" s="17">
        <f>+Tabla3[[#This Row],[Cant. Programada]]*Tabla3[[#This Row],[Precio unit]]</f>
        <v>0</v>
      </c>
      <c r="X13" s="129"/>
      <c r="Y13" s="129"/>
      <c r="Z13" s="8" t="str">
        <f>+Tabla3[[#This Row],[Referencia]]&amp;Tabla3[[#This Row],[Desc detalle ext 1]]</f>
        <v>CB 160F STD                                       BLANCO PE</v>
      </c>
      <c r="AA13" s="128" t="e">
        <f>+VLOOKUP(Tabla3[[#This Row],[CODIGO2]],ESTANDAR!$B$3:$C$9,2,FALSE)</f>
        <v>#N/A</v>
      </c>
      <c r="AB13" s="128" t="str">
        <f>+MID(Tabla3[[#This Row],['# Viaje]],10,1)</f>
        <v/>
      </c>
    </row>
    <row r="14" spans="1:28" ht="15" hidden="1" customHeight="1">
      <c r="A14" s="173" t="s">
        <v>1462</v>
      </c>
      <c r="B14" s="174">
        <v>42948</v>
      </c>
      <c r="C14" s="173" t="s">
        <v>1231</v>
      </c>
      <c r="D14" s="173" t="s">
        <v>1237</v>
      </c>
      <c r="E14" s="173" t="s">
        <v>1232</v>
      </c>
      <c r="F14" s="173">
        <v>4</v>
      </c>
      <c r="G14" s="173" t="s">
        <v>189</v>
      </c>
      <c r="H14" s="173">
        <v>4</v>
      </c>
      <c r="I14" s="173" t="s">
        <v>1463</v>
      </c>
      <c r="J14" s="173" t="s">
        <v>1451</v>
      </c>
      <c r="K14" s="173" t="s">
        <v>16</v>
      </c>
      <c r="L14" s="173"/>
      <c r="M14" s="173" t="s">
        <v>184</v>
      </c>
      <c r="N14" s="173">
        <v>860062808</v>
      </c>
      <c r="O14" s="175">
        <v>3696639</v>
      </c>
      <c r="P14" s="7"/>
      <c r="Q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" s="9">
        <f>+IFERROR(VLOOKUP(Tabla3[[#This Row],[Cliente factura]],Tabla4[[NIT]:[TOTAL CREDITO]],6,FALSE),0)</f>
        <v>0</v>
      </c>
      <c r="S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" s="10" t="str">
        <f>VLOOKUP(Tabla3[[#This Row],[Razón social cliente factura]]&amp;Tabla3[[#This Row],[Desc. ciudad]],'Estandar de Rutas'!$C$1:$E$553,2,FALSE)</f>
        <v>7.2</v>
      </c>
      <c r="U14" s="130">
        <f>IFERROR(VLOOKUP(Tabla3[[#This Row],[Referencia]]&amp;Tabla3[[#This Row],[Desc detalle ext 1]],Tabla1[[Referencia-Color]:[Disponibilidad]],3,FALSE),0)</f>
        <v>3</v>
      </c>
      <c r="V14" s="13"/>
      <c r="W14" s="17">
        <f>+Tabla3[[#This Row],[Cant. Programada]]*Tabla3[[#This Row],[Precio unit]]</f>
        <v>0</v>
      </c>
      <c r="X14" s="129"/>
      <c r="Y14" s="129"/>
      <c r="Z14" s="8" t="str">
        <f>+Tabla3[[#This Row],[Referencia]]&amp;Tabla3[[#This Row],[Desc detalle ext 1]]</f>
        <v xml:space="preserve">CB 110 DLX                                        NEGRO    </v>
      </c>
      <c r="AA14" s="128" t="e">
        <f>+VLOOKUP(Tabla3[[#This Row],[CODIGO2]],ESTANDAR!$B$3:$C$9,2,FALSE)</f>
        <v>#N/A</v>
      </c>
      <c r="AB14" s="128" t="str">
        <f>+MID(Tabla3[[#This Row],['# Viaje]],10,1)</f>
        <v/>
      </c>
    </row>
    <row r="15" spans="1:28" ht="15" hidden="1" customHeight="1">
      <c r="A15" s="173" t="s">
        <v>1464</v>
      </c>
      <c r="B15" s="174">
        <v>42948</v>
      </c>
      <c r="C15" s="173" t="s">
        <v>1231</v>
      </c>
      <c r="D15" s="173" t="s">
        <v>1237</v>
      </c>
      <c r="E15" s="173" t="s">
        <v>1232</v>
      </c>
      <c r="F15" s="173">
        <v>1</v>
      </c>
      <c r="G15" s="173" t="s">
        <v>189</v>
      </c>
      <c r="H15" s="173">
        <v>1</v>
      </c>
      <c r="I15" s="173" t="s">
        <v>1465</v>
      </c>
      <c r="J15" s="173" t="s">
        <v>1421</v>
      </c>
      <c r="K15" s="173" t="s">
        <v>1422</v>
      </c>
      <c r="L15" s="173"/>
      <c r="M15" s="173" t="s">
        <v>184</v>
      </c>
      <c r="N15" s="173">
        <v>860062808</v>
      </c>
      <c r="O15" s="175">
        <v>11496063</v>
      </c>
      <c r="P15" s="7"/>
      <c r="Q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" s="9">
        <f>+IFERROR(VLOOKUP(Tabla3[[#This Row],[Cliente factura]],Tabla4[[NIT]:[TOTAL CREDITO]],6,FALSE),0)</f>
        <v>0</v>
      </c>
      <c r="S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" s="10" t="str">
        <f>VLOOKUP(Tabla3[[#This Row],[Razón social cliente factura]]&amp;Tabla3[[#This Row],[Desc. ciudad]],'Estandar de Rutas'!$C$1:$E$553,2,FALSE)</f>
        <v>7.2</v>
      </c>
      <c r="U15" s="130">
        <f>IFERROR(VLOOKUP(Tabla3[[#This Row],[Referencia]]&amp;Tabla3[[#This Row],[Desc detalle ext 1]],Tabla1[[Referencia-Color]:[Disponibilidad]],3,FALSE),0)</f>
        <v>13</v>
      </c>
      <c r="V15" s="13"/>
      <c r="W15" s="17">
        <f>+Tabla3[[#This Row],[Cant. Programada]]*Tabla3[[#This Row],[Precio unit]]</f>
        <v>0</v>
      </c>
      <c r="X15" s="130"/>
      <c r="Y15" s="129"/>
      <c r="Z15" s="8" t="str">
        <f>+Tabla3[[#This Row],[Referencia]]&amp;Tabla3[[#This Row],[Desc detalle ext 1]]</f>
        <v>*XR-250 TORNADO pt MD34                           ROJO BLAN</v>
      </c>
      <c r="AA15" s="128" t="e">
        <f>+VLOOKUP(Tabla3[[#This Row],[CODIGO2]],ESTANDAR!$B$3:$C$9,2,FALSE)</f>
        <v>#N/A</v>
      </c>
      <c r="AB15" s="128" t="str">
        <f>+MID(Tabla3[[#This Row],['# Viaje]],10,1)</f>
        <v/>
      </c>
    </row>
    <row r="16" spans="1:28" ht="15" hidden="1" customHeight="1">
      <c r="A16" s="173" t="s">
        <v>1464</v>
      </c>
      <c r="B16" s="174">
        <v>42948</v>
      </c>
      <c r="C16" s="173" t="s">
        <v>1231</v>
      </c>
      <c r="D16" s="173" t="s">
        <v>1237</v>
      </c>
      <c r="E16" s="173" t="s">
        <v>1232</v>
      </c>
      <c r="F16" s="173">
        <v>2</v>
      </c>
      <c r="G16" s="173" t="s">
        <v>189</v>
      </c>
      <c r="H16" s="173">
        <v>2</v>
      </c>
      <c r="I16" s="173" t="s">
        <v>1465</v>
      </c>
      <c r="J16" s="173" t="s">
        <v>14</v>
      </c>
      <c r="K16" s="173" t="s">
        <v>16</v>
      </c>
      <c r="L16" s="173"/>
      <c r="M16" s="173" t="s">
        <v>184</v>
      </c>
      <c r="N16" s="173">
        <v>860062808</v>
      </c>
      <c r="O16" s="175">
        <v>3360504</v>
      </c>
      <c r="P16" s="7"/>
      <c r="Q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" s="9">
        <f>+IFERROR(VLOOKUP(Tabla3[[#This Row],[Cliente factura]],Tabla4[[NIT]:[TOTAL CREDITO]],6,FALSE),0)</f>
        <v>0</v>
      </c>
      <c r="S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" s="10" t="str">
        <f>VLOOKUP(Tabla3[[#This Row],[Razón social cliente factura]]&amp;Tabla3[[#This Row],[Desc. ciudad]],'Estandar de Rutas'!$C$1:$E$553,2,FALSE)</f>
        <v>7.2</v>
      </c>
      <c r="U16" s="130">
        <f>IFERROR(VLOOKUP(Tabla3[[#This Row],[Referencia]]&amp;Tabla3[[#This Row],[Desc detalle ext 1]],Tabla1[[Referencia-Color]:[Disponibilidad]],3,FALSE),0)</f>
        <v>83</v>
      </c>
      <c r="V16" s="13"/>
      <c r="W16" s="17">
        <f>+Tabla3[[#This Row],[Cant. Programada]]*Tabla3[[#This Row],[Precio unit]]</f>
        <v>0</v>
      </c>
      <c r="X16" s="130"/>
      <c r="Y16" s="129"/>
      <c r="Z16" s="8" t="str">
        <f>+Tabla3[[#This Row],[Referencia]]&amp;Tabla3[[#This Row],[Desc detalle ext 1]]</f>
        <v xml:space="preserve">*CB-110                                           NEGRO    </v>
      </c>
      <c r="AA16" s="128" t="e">
        <f>+VLOOKUP(Tabla3[[#This Row],[CODIGO2]],ESTANDAR!$B$3:$C$9,2,FALSE)</f>
        <v>#N/A</v>
      </c>
      <c r="AB16" s="128" t="str">
        <f>+MID(Tabla3[[#This Row],['# Viaje]],10,1)</f>
        <v/>
      </c>
    </row>
    <row r="17" spans="1:28" ht="15" hidden="1" customHeight="1">
      <c r="A17" s="173" t="s">
        <v>1464</v>
      </c>
      <c r="B17" s="174">
        <v>42948</v>
      </c>
      <c r="C17" s="173" t="s">
        <v>1231</v>
      </c>
      <c r="D17" s="173" t="s">
        <v>1237</v>
      </c>
      <c r="E17" s="173" t="s">
        <v>1232</v>
      </c>
      <c r="F17" s="173">
        <v>1</v>
      </c>
      <c r="G17" s="173" t="s">
        <v>189</v>
      </c>
      <c r="H17" s="173">
        <v>1</v>
      </c>
      <c r="I17" s="173" t="s">
        <v>1465</v>
      </c>
      <c r="J17" s="173" t="s">
        <v>27</v>
      </c>
      <c r="K17" s="173" t="s">
        <v>16</v>
      </c>
      <c r="L17" s="173"/>
      <c r="M17" s="173" t="s">
        <v>184</v>
      </c>
      <c r="N17" s="173">
        <v>860062808</v>
      </c>
      <c r="O17" s="175">
        <v>5789916</v>
      </c>
      <c r="P17" s="7"/>
      <c r="Q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" s="9">
        <f>+IFERROR(VLOOKUP(Tabla3[[#This Row],[Cliente factura]],Tabla4[[NIT]:[TOTAL CREDITO]],6,FALSE),0)</f>
        <v>0</v>
      </c>
      <c r="S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" s="10" t="str">
        <f>VLOOKUP(Tabla3[[#This Row],[Razón social cliente factura]]&amp;Tabla3[[#This Row],[Desc. ciudad]],'Estandar de Rutas'!$C$1:$E$553,2,FALSE)</f>
        <v>7.2</v>
      </c>
      <c r="U17" s="130">
        <f>IFERROR(VLOOKUP(Tabla3[[#This Row],[Referencia]]&amp;Tabla3[[#This Row],[Desc detalle ext 1]],Tabla1[[Referencia-Color]:[Disponibilidad]],3,FALSE),0)</f>
        <v>3</v>
      </c>
      <c r="V17" s="13"/>
      <c r="W17" s="17">
        <f>+Tabla3[[#This Row],[Cant. Programada]]*Tabla3[[#This Row],[Precio unit]]</f>
        <v>0</v>
      </c>
      <c r="X17" s="130"/>
      <c r="Y17" s="129"/>
      <c r="Z17" s="8" t="str">
        <f>+Tabla3[[#This Row],[Referencia]]&amp;Tabla3[[#This Row],[Desc detalle ext 1]]</f>
        <v xml:space="preserve">*XR 150L                                          NEGRO    </v>
      </c>
      <c r="AA17" s="128" t="e">
        <f>+VLOOKUP(Tabla3[[#This Row],[CODIGO2]],ESTANDAR!$B$3:$C$9,2,FALSE)</f>
        <v>#N/A</v>
      </c>
      <c r="AB17" s="128" t="str">
        <f>+MID(Tabla3[[#This Row],['# Viaje]],10,1)</f>
        <v/>
      </c>
    </row>
    <row r="18" spans="1:28" ht="15" hidden="1" customHeight="1">
      <c r="A18" s="173" t="s">
        <v>1464</v>
      </c>
      <c r="B18" s="174">
        <v>42948</v>
      </c>
      <c r="C18" s="173" t="s">
        <v>1231</v>
      </c>
      <c r="D18" s="173" t="s">
        <v>1237</v>
      </c>
      <c r="E18" s="173" t="s">
        <v>1232</v>
      </c>
      <c r="F18" s="173">
        <v>2</v>
      </c>
      <c r="G18" s="173" t="s">
        <v>189</v>
      </c>
      <c r="H18" s="173">
        <v>2</v>
      </c>
      <c r="I18" s="173" t="s">
        <v>1465</v>
      </c>
      <c r="J18" s="173" t="s">
        <v>10</v>
      </c>
      <c r="K18" s="173" t="s">
        <v>13</v>
      </c>
      <c r="L18" s="173"/>
      <c r="M18" s="173" t="s">
        <v>184</v>
      </c>
      <c r="N18" s="173">
        <v>860062808</v>
      </c>
      <c r="O18" s="175">
        <v>7554622</v>
      </c>
      <c r="P18" s="7"/>
      <c r="Q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" s="9">
        <f>+IFERROR(VLOOKUP(Tabla3[[#This Row],[Cliente factura]],Tabla4[[NIT]:[TOTAL CREDITO]],6,FALSE),0)</f>
        <v>0</v>
      </c>
      <c r="S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" s="10" t="str">
        <f>VLOOKUP(Tabla3[[#This Row],[Razón social cliente factura]]&amp;Tabla3[[#This Row],[Desc. ciudad]],'Estandar de Rutas'!$C$1:$E$553,2,FALSE)</f>
        <v>7.2</v>
      </c>
      <c r="U18" s="130">
        <f>IFERROR(VLOOKUP(Tabla3[[#This Row],[Referencia]]&amp;Tabla3[[#This Row],[Desc detalle ext 1]],Tabla1[[Referencia-Color]:[Disponibilidad]],3,FALSE),0)</f>
        <v>75</v>
      </c>
      <c r="V18" s="13"/>
      <c r="W18" s="17">
        <f>+Tabla3[[#This Row],[Cant. Programada]]*Tabla3[[#This Row],[Precio unit]]</f>
        <v>0</v>
      </c>
      <c r="X18" s="130"/>
      <c r="Y18" s="129"/>
      <c r="Z18" s="8" t="str">
        <f>+Tabla3[[#This Row],[Referencia]]&amp;Tabla3[[#This Row],[Desc detalle ext 1]]</f>
        <v>CB 190R                                           ROJO NEGR</v>
      </c>
      <c r="AA18" s="128" t="e">
        <f>+VLOOKUP(Tabla3[[#This Row],[CODIGO2]],ESTANDAR!$B$3:$C$9,2,FALSE)</f>
        <v>#N/A</v>
      </c>
      <c r="AB18" s="128" t="str">
        <f>+MID(Tabla3[[#This Row],['# Viaje]],10,1)</f>
        <v/>
      </c>
    </row>
    <row r="19" spans="1:28" ht="15" hidden="1" customHeight="1">
      <c r="A19" s="173" t="s">
        <v>1464</v>
      </c>
      <c r="B19" s="174">
        <v>42948</v>
      </c>
      <c r="C19" s="173" t="s">
        <v>1231</v>
      </c>
      <c r="D19" s="173" t="s">
        <v>1237</v>
      </c>
      <c r="E19" s="173" t="s">
        <v>1232</v>
      </c>
      <c r="F19" s="173">
        <v>4</v>
      </c>
      <c r="G19" s="173" t="s">
        <v>189</v>
      </c>
      <c r="H19" s="173">
        <v>4</v>
      </c>
      <c r="I19" s="173" t="s">
        <v>1465</v>
      </c>
      <c r="J19" s="173" t="s">
        <v>10</v>
      </c>
      <c r="K19" s="173" t="s">
        <v>11</v>
      </c>
      <c r="L19" s="173"/>
      <c r="M19" s="173" t="s">
        <v>184</v>
      </c>
      <c r="N19" s="173">
        <v>860062808</v>
      </c>
      <c r="O19" s="175">
        <v>7554622</v>
      </c>
      <c r="P19" s="7"/>
      <c r="Q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" s="9">
        <f>+IFERROR(VLOOKUP(Tabla3[[#This Row],[Cliente factura]],Tabla4[[NIT]:[TOTAL CREDITO]],6,FALSE),0)</f>
        <v>0</v>
      </c>
      <c r="S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" s="10" t="str">
        <f>VLOOKUP(Tabla3[[#This Row],[Razón social cliente factura]]&amp;Tabla3[[#This Row],[Desc. ciudad]],'Estandar de Rutas'!$C$1:$E$553,2,FALSE)</f>
        <v>7.2</v>
      </c>
      <c r="U19" s="130">
        <f>IFERROR(VLOOKUP(Tabla3[[#This Row],[Referencia]]&amp;Tabla3[[#This Row],[Desc detalle ext 1]],Tabla1[[Referencia-Color]:[Disponibilidad]],3,FALSE),0)</f>
        <v>0</v>
      </c>
      <c r="V19" s="13"/>
      <c r="W19" s="17">
        <f>+Tabla3[[#This Row],[Cant. Programada]]*Tabla3[[#This Row],[Precio unit]]</f>
        <v>0</v>
      </c>
      <c r="X19" s="129"/>
      <c r="Y19" s="129"/>
      <c r="Z19" s="8" t="str">
        <f>+Tabla3[[#This Row],[Referencia]]&amp;Tabla3[[#This Row],[Desc detalle ext 1]]</f>
        <v>CB 190R                                           NEGRO ONI</v>
      </c>
      <c r="AA19" s="128" t="e">
        <f>+VLOOKUP(Tabla3[[#This Row],[CODIGO2]],ESTANDAR!$B$3:$C$9,2,FALSE)</f>
        <v>#N/A</v>
      </c>
      <c r="AB19" s="128" t="str">
        <f>+MID(Tabla3[[#This Row],['# Viaje]],10,1)</f>
        <v/>
      </c>
    </row>
    <row r="20" spans="1:28" ht="15" hidden="1" customHeight="1">
      <c r="A20" s="173" t="s">
        <v>1464</v>
      </c>
      <c r="B20" s="174">
        <v>42948</v>
      </c>
      <c r="C20" s="173" t="s">
        <v>1231</v>
      </c>
      <c r="D20" s="173" t="s">
        <v>1237</v>
      </c>
      <c r="E20" s="173" t="s">
        <v>1232</v>
      </c>
      <c r="F20" s="173">
        <v>5</v>
      </c>
      <c r="G20" s="173" t="s">
        <v>189</v>
      </c>
      <c r="H20" s="173">
        <v>5</v>
      </c>
      <c r="I20" s="173" t="s">
        <v>1465</v>
      </c>
      <c r="J20" s="173" t="s">
        <v>1425</v>
      </c>
      <c r="K20" s="173" t="s">
        <v>1426</v>
      </c>
      <c r="L20" s="173"/>
      <c r="M20" s="173" t="s">
        <v>184</v>
      </c>
      <c r="N20" s="173">
        <v>860062808</v>
      </c>
      <c r="O20" s="175">
        <v>7730252</v>
      </c>
      <c r="P20" s="7"/>
      <c r="Q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" s="9">
        <f>+IFERROR(VLOOKUP(Tabla3[[#This Row],[Cliente factura]],Tabla4[[NIT]:[TOTAL CREDITO]],6,FALSE),0)</f>
        <v>0</v>
      </c>
      <c r="S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" s="10" t="str">
        <f>VLOOKUP(Tabla3[[#This Row],[Razón social cliente factura]]&amp;Tabla3[[#This Row],[Desc. ciudad]],'Estandar de Rutas'!$C$1:$E$553,2,FALSE)</f>
        <v>7.2</v>
      </c>
      <c r="U20" s="130">
        <f>IFERROR(VLOOKUP(Tabla3[[#This Row],[Referencia]]&amp;Tabla3[[#This Row],[Desc detalle ext 1]],Tabla1[[Referencia-Color]:[Disponibilidad]],3,FALSE),0)</f>
        <v>104</v>
      </c>
      <c r="V20" s="13"/>
      <c r="W20" s="17">
        <f>+Tabla3[[#This Row],[Cant. Programada]]*Tabla3[[#This Row],[Precio unit]]</f>
        <v>0</v>
      </c>
      <c r="X20" s="129"/>
      <c r="Y20" s="129"/>
      <c r="Z20" s="8" t="str">
        <f>+Tabla3[[#This Row],[Referencia]]&amp;Tabla3[[#This Row],[Desc detalle ext 1]]</f>
        <v>CB 190 REPSOL                                     NARANJA B</v>
      </c>
      <c r="AA20" s="128" t="e">
        <f>+VLOOKUP(Tabla3[[#This Row],[CODIGO2]],ESTANDAR!$B$3:$C$9,2,FALSE)</f>
        <v>#N/A</v>
      </c>
      <c r="AB20" s="128" t="str">
        <f>+MID(Tabla3[[#This Row],['# Viaje]],10,1)</f>
        <v/>
      </c>
    </row>
    <row r="21" spans="1:28" ht="15" hidden="1" customHeight="1">
      <c r="A21" s="173" t="s">
        <v>1464</v>
      </c>
      <c r="B21" s="174">
        <v>42948</v>
      </c>
      <c r="C21" s="173" t="s">
        <v>1231</v>
      </c>
      <c r="D21" s="173" t="s">
        <v>1237</v>
      </c>
      <c r="E21" s="173" t="s">
        <v>1232</v>
      </c>
      <c r="F21" s="173">
        <v>1</v>
      </c>
      <c r="G21" s="173" t="s">
        <v>189</v>
      </c>
      <c r="H21" s="173">
        <v>1</v>
      </c>
      <c r="I21" s="173" t="s">
        <v>1465</v>
      </c>
      <c r="J21" s="173" t="s">
        <v>354</v>
      </c>
      <c r="K21" s="173" t="s">
        <v>474</v>
      </c>
      <c r="L21" s="173"/>
      <c r="M21" s="173" t="s">
        <v>184</v>
      </c>
      <c r="N21" s="173">
        <v>860062808</v>
      </c>
      <c r="O21" s="175">
        <v>6133613</v>
      </c>
      <c r="P21" s="7"/>
      <c r="Q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" s="9">
        <f>+IFERROR(VLOOKUP(Tabla3[[#This Row],[Cliente factura]],Tabla4[[NIT]:[TOTAL CREDITO]],6,FALSE),0)</f>
        <v>0</v>
      </c>
      <c r="S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" s="10" t="str">
        <f>VLOOKUP(Tabla3[[#This Row],[Razón social cliente factura]]&amp;Tabla3[[#This Row],[Desc. ciudad]],'Estandar de Rutas'!$C$1:$E$553,2,FALSE)</f>
        <v>7.2</v>
      </c>
      <c r="U21" s="130">
        <f>IFERROR(VLOOKUP(Tabla3[[#This Row],[Referencia]]&amp;Tabla3[[#This Row],[Desc detalle ext 1]],Tabla1[[Referencia-Color]:[Disponibilidad]],3,FALSE),0)</f>
        <v>3</v>
      </c>
      <c r="V21" s="13"/>
      <c r="W21" s="17">
        <f>+Tabla3[[#This Row],[Cant. Programada]]*Tabla3[[#This Row],[Precio unit]]</f>
        <v>0</v>
      </c>
      <c r="X21" s="130"/>
      <c r="Y21" s="129"/>
      <c r="Z21" s="8" t="str">
        <f>+Tabla3[[#This Row],[Referencia]]&amp;Tabla3[[#This Row],[Desc detalle ext 1]]</f>
        <v>CB 160F DLX                                       NARANJA N</v>
      </c>
      <c r="AA21" s="128" t="e">
        <f>+VLOOKUP(Tabla3[[#This Row],[CODIGO2]],ESTANDAR!$B$3:$C$9,2,FALSE)</f>
        <v>#N/A</v>
      </c>
      <c r="AB21" s="128" t="str">
        <f>+MID(Tabla3[[#This Row],['# Viaje]],10,1)</f>
        <v/>
      </c>
    </row>
    <row r="22" spans="1:28" ht="15" hidden="1" customHeight="1">
      <c r="A22" s="173" t="s">
        <v>1464</v>
      </c>
      <c r="B22" s="174">
        <v>42948</v>
      </c>
      <c r="C22" s="173" t="s">
        <v>1231</v>
      </c>
      <c r="D22" s="173" t="s">
        <v>1237</v>
      </c>
      <c r="E22" s="173" t="s">
        <v>1232</v>
      </c>
      <c r="F22" s="173">
        <v>1</v>
      </c>
      <c r="G22" s="173" t="s">
        <v>189</v>
      </c>
      <c r="H22" s="173">
        <v>1</v>
      </c>
      <c r="I22" s="173" t="s">
        <v>1465</v>
      </c>
      <c r="J22" s="173" t="s">
        <v>1433</v>
      </c>
      <c r="K22" s="173" t="s">
        <v>1431</v>
      </c>
      <c r="L22" s="173"/>
      <c r="M22" s="173" t="s">
        <v>184</v>
      </c>
      <c r="N22" s="173">
        <v>860062808</v>
      </c>
      <c r="O22" s="175">
        <v>3521008</v>
      </c>
      <c r="P22" s="7"/>
      <c r="Q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" s="9">
        <f>+IFERROR(VLOOKUP(Tabla3[[#This Row],[Cliente factura]],Tabla4[[NIT]:[TOTAL CREDITO]],6,FALSE),0)</f>
        <v>0</v>
      </c>
      <c r="S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" s="10" t="str">
        <f>VLOOKUP(Tabla3[[#This Row],[Razón social cliente factura]]&amp;Tabla3[[#This Row],[Desc. ciudad]],'Estandar de Rutas'!$C$1:$E$553,2,FALSE)</f>
        <v>7.2</v>
      </c>
      <c r="U22" s="130">
        <f>IFERROR(VLOOKUP(Tabla3[[#This Row],[Referencia]]&amp;Tabla3[[#This Row],[Desc detalle ext 1]],Tabla1[[Referencia-Color]:[Disponibilidad]],3,FALSE),0)</f>
        <v>0</v>
      </c>
      <c r="V22" s="13"/>
      <c r="W22" s="17">
        <f>+Tabla3[[#This Row],[Cant. Programada]]*Tabla3[[#This Row],[Precio unit]]</f>
        <v>0</v>
      </c>
      <c r="X22" s="130"/>
      <c r="Y22" s="129"/>
      <c r="Z22" s="8" t="str">
        <f>+Tabla3[[#This Row],[Referencia]]&amp;Tabla3[[#This Row],[Desc detalle ext 1]]</f>
        <v xml:space="preserve">DIO  110                                          ROJO     </v>
      </c>
      <c r="AA22" s="128" t="e">
        <f>+VLOOKUP(Tabla3[[#This Row],[CODIGO2]],ESTANDAR!$B$3:$C$9,2,FALSE)</f>
        <v>#N/A</v>
      </c>
      <c r="AB22" s="128" t="str">
        <f>+MID(Tabla3[[#This Row],['# Viaje]],10,1)</f>
        <v/>
      </c>
    </row>
    <row r="23" spans="1:28" ht="15" hidden="1" customHeight="1">
      <c r="A23" s="173" t="s">
        <v>1464</v>
      </c>
      <c r="B23" s="174">
        <v>42948</v>
      </c>
      <c r="C23" s="173" t="s">
        <v>1231</v>
      </c>
      <c r="D23" s="173" t="s">
        <v>1237</v>
      </c>
      <c r="E23" s="173" t="s">
        <v>1232</v>
      </c>
      <c r="F23" s="173">
        <v>1</v>
      </c>
      <c r="G23" s="173" t="s">
        <v>189</v>
      </c>
      <c r="H23" s="173">
        <v>1</v>
      </c>
      <c r="I23" s="173" t="s">
        <v>1465</v>
      </c>
      <c r="J23" s="173" t="s">
        <v>1430</v>
      </c>
      <c r="K23" s="173" t="s">
        <v>1432</v>
      </c>
      <c r="L23" s="173"/>
      <c r="M23" s="173" t="s">
        <v>184</v>
      </c>
      <c r="N23" s="173">
        <v>860062808</v>
      </c>
      <c r="O23" s="175">
        <v>3941176</v>
      </c>
      <c r="P23" s="7"/>
      <c r="Q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" s="9">
        <f>+IFERROR(VLOOKUP(Tabla3[[#This Row],[Cliente factura]],Tabla4[[NIT]:[TOTAL CREDITO]],6,FALSE),0)</f>
        <v>0</v>
      </c>
      <c r="S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" s="10" t="str">
        <f>VLOOKUP(Tabla3[[#This Row],[Razón social cliente factura]]&amp;Tabla3[[#This Row],[Desc. ciudad]],'Estandar de Rutas'!$C$1:$E$553,2,FALSE)</f>
        <v>7.2</v>
      </c>
      <c r="U23" s="130">
        <f>IFERROR(VLOOKUP(Tabla3[[#This Row],[Referencia]]&amp;Tabla3[[#This Row],[Desc detalle ext 1]],Tabla1[[Referencia-Color]:[Disponibilidad]],3,FALSE),0)</f>
        <v>23</v>
      </c>
      <c r="V23" s="13"/>
      <c r="W23" s="17">
        <f>+Tabla3[[#This Row],[Cant. Programada]]*Tabla3[[#This Row],[Precio unit]]</f>
        <v>0</v>
      </c>
      <c r="X23" s="130"/>
      <c r="Y23" s="129"/>
      <c r="Z23" s="8" t="str">
        <f>+Tabla3[[#This Row],[Referencia]]&amp;Tabla3[[#This Row],[Desc detalle ext 1]]</f>
        <v xml:space="preserve">WAVE 110S                                         BLANCO   </v>
      </c>
      <c r="AA23" s="128" t="e">
        <f>+VLOOKUP(Tabla3[[#This Row],[CODIGO2]],ESTANDAR!$B$3:$C$9,2,FALSE)</f>
        <v>#N/A</v>
      </c>
      <c r="AB23" s="128" t="str">
        <f>+MID(Tabla3[[#This Row],['# Viaje]],10,1)</f>
        <v/>
      </c>
    </row>
    <row r="24" spans="1:28" ht="15" hidden="1" customHeight="1">
      <c r="A24" s="173" t="s">
        <v>1464</v>
      </c>
      <c r="B24" s="174">
        <v>42948</v>
      </c>
      <c r="C24" s="173" t="s">
        <v>1231</v>
      </c>
      <c r="D24" s="173" t="s">
        <v>1237</v>
      </c>
      <c r="E24" s="173" t="s">
        <v>1232</v>
      </c>
      <c r="F24" s="173">
        <v>1</v>
      </c>
      <c r="G24" s="173" t="s">
        <v>189</v>
      </c>
      <c r="H24" s="173">
        <v>1</v>
      </c>
      <c r="I24" s="173" t="s">
        <v>1465</v>
      </c>
      <c r="J24" s="173" t="s">
        <v>1234</v>
      </c>
      <c r="K24" s="173" t="s">
        <v>17</v>
      </c>
      <c r="L24" s="173"/>
      <c r="M24" s="173" t="s">
        <v>184</v>
      </c>
      <c r="N24" s="173">
        <v>860062808</v>
      </c>
      <c r="O24" s="175">
        <v>5453782</v>
      </c>
      <c r="P24" s="7"/>
      <c r="Q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" s="9">
        <f>+IFERROR(VLOOKUP(Tabla3[[#This Row],[Cliente factura]],Tabla4[[NIT]:[TOTAL CREDITO]],6,FALSE),0)</f>
        <v>0</v>
      </c>
      <c r="S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" s="10" t="str">
        <f>VLOOKUP(Tabla3[[#This Row],[Razón social cliente factura]]&amp;Tabla3[[#This Row],[Desc. ciudad]],'Estandar de Rutas'!$C$1:$E$553,2,FALSE)</f>
        <v>7.2</v>
      </c>
      <c r="U24" s="130">
        <f>IFERROR(VLOOKUP(Tabla3[[#This Row],[Referencia]]&amp;Tabla3[[#This Row],[Desc detalle ext 1]],Tabla1[[Referencia-Color]:[Disponibilidad]],3,FALSE),0)</f>
        <v>0</v>
      </c>
      <c r="V24" s="13"/>
      <c r="W24" s="17">
        <f>+Tabla3[[#This Row],[Cant. Programada]]*Tabla3[[#This Row],[Precio unit]]</f>
        <v>0</v>
      </c>
      <c r="X24" s="130"/>
      <c r="Y24" s="129"/>
      <c r="Z24" s="8" t="str">
        <f>+Tabla3[[#This Row],[Referencia]]&amp;Tabla3[[#This Row],[Desc detalle ext 1]]</f>
        <v>CB 160F STD                                       ROJO SPOR</v>
      </c>
      <c r="AA24" s="128" t="e">
        <f>+VLOOKUP(Tabla3[[#This Row],[CODIGO2]],ESTANDAR!$B$3:$C$9,2,FALSE)</f>
        <v>#N/A</v>
      </c>
      <c r="AB24" s="128" t="str">
        <f>+MID(Tabla3[[#This Row],['# Viaje]],10,1)</f>
        <v/>
      </c>
    </row>
    <row r="25" spans="1:28" ht="15" hidden="1" customHeight="1">
      <c r="A25" s="173" t="s">
        <v>1464</v>
      </c>
      <c r="B25" s="174">
        <v>42948</v>
      </c>
      <c r="C25" s="173" t="s">
        <v>1231</v>
      </c>
      <c r="D25" s="173" t="s">
        <v>1237</v>
      </c>
      <c r="E25" s="173" t="s">
        <v>1232</v>
      </c>
      <c r="F25" s="173">
        <v>1</v>
      </c>
      <c r="G25" s="173" t="s">
        <v>189</v>
      </c>
      <c r="H25" s="173">
        <v>1</v>
      </c>
      <c r="I25" s="173" t="s">
        <v>1465</v>
      </c>
      <c r="J25" s="173" t="s">
        <v>1234</v>
      </c>
      <c r="K25" s="173" t="s">
        <v>355</v>
      </c>
      <c r="L25" s="173"/>
      <c r="M25" s="173" t="s">
        <v>184</v>
      </c>
      <c r="N25" s="173">
        <v>860062808</v>
      </c>
      <c r="O25" s="175">
        <v>5453782</v>
      </c>
      <c r="P25" s="7"/>
      <c r="Q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" s="9">
        <f>+IFERROR(VLOOKUP(Tabla3[[#This Row],[Cliente factura]],Tabla4[[NIT]:[TOTAL CREDITO]],6,FALSE),0)</f>
        <v>0</v>
      </c>
      <c r="S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" s="10" t="str">
        <f>VLOOKUP(Tabla3[[#This Row],[Razón social cliente factura]]&amp;Tabla3[[#This Row],[Desc. ciudad]],'Estandar de Rutas'!$C$1:$E$553,2,FALSE)</f>
        <v>7.2</v>
      </c>
      <c r="U25" s="130">
        <f>IFERROR(VLOOKUP(Tabla3[[#This Row],[Referencia]]&amp;Tabla3[[#This Row],[Desc detalle ext 1]],Tabla1[[Referencia-Color]:[Disponibilidad]],3,FALSE),0)</f>
        <v>0</v>
      </c>
      <c r="V25" s="13"/>
      <c r="W25" s="17">
        <f>+Tabla3[[#This Row],[Cant. Programada]]*Tabla3[[#This Row],[Precio unit]]</f>
        <v>0</v>
      </c>
      <c r="X25" s="129"/>
      <c r="Y25" s="8"/>
      <c r="Z25" s="8" t="str">
        <f>+Tabla3[[#This Row],[Referencia]]&amp;Tabla3[[#This Row],[Desc detalle ext 1]]</f>
        <v>CB 160F STD                                       NEGRO PER</v>
      </c>
      <c r="AA25" s="128" t="e">
        <f>+VLOOKUP(Tabla3[[#This Row],[CODIGO2]],ESTANDAR!$B$3:$C$9,2,FALSE)</f>
        <v>#N/A</v>
      </c>
      <c r="AB25" s="128" t="str">
        <f>+MID(Tabla3[[#This Row],['# Viaje]],10,1)</f>
        <v/>
      </c>
    </row>
    <row r="26" spans="1:28" ht="15" hidden="1" customHeight="1">
      <c r="A26" s="173" t="s">
        <v>1464</v>
      </c>
      <c r="B26" s="174">
        <v>42948</v>
      </c>
      <c r="C26" s="173" t="s">
        <v>1231</v>
      </c>
      <c r="D26" s="173" t="s">
        <v>1237</v>
      </c>
      <c r="E26" s="173" t="s">
        <v>1232</v>
      </c>
      <c r="F26" s="173">
        <v>1</v>
      </c>
      <c r="G26" s="173" t="s">
        <v>189</v>
      </c>
      <c r="H26" s="173">
        <v>1</v>
      </c>
      <c r="I26" s="173" t="s">
        <v>1465</v>
      </c>
      <c r="J26" s="173" t="s">
        <v>1234</v>
      </c>
      <c r="K26" s="173" t="s">
        <v>44</v>
      </c>
      <c r="L26" s="173"/>
      <c r="M26" s="173" t="s">
        <v>184</v>
      </c>
      <c r="N26" s="173">
        <v>860062808</v>
      </c>
      <c r="O26" s="175">
        <v>5453782</v>
      </c>
      <c r="P26" s="7"/>
      <c r="Q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6" s="9">
        <f>+IFERROR(VLOOKUP(Tabla3[[#This Row],[Cliente factura]],Tabla4[[NIT]:[TOTAL CREDITO]],6,FALSE),0)</f>
        <v>0</v>
      </c>
      <c r="S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" s="10" t="str">
        <f>VLOOKUP(Tabla3[[#This Row],[Razón social cliente factura]]&amp;Tabla3[[#This Row],[Desc. ciudad]],'Estandar de Rutas'!$C$1:$E$553,2,FALSE)</f>
        <v>7.2</v>
      </c>
      <c r="U26" s="130">
        <f>IFERROR(VLOOKUP(Tabla3[[#This Row],[Referencia]]&amp;Tabla3[[#This Row],[Desc detalle ext 1]],Tabla1[[Referencia-Color]:[Disponibilidad]],3,FALSE),0)</f>
        <v>1</v>
      </c>
      <c r="V26" s="13"/>
      <c r="W26" s="17">
        <f>+Tabla3[[#This Row],[Cant. Programada]]*Tabla3[[#This Row],[Precio unit]]</f>
        <v>0</v>
      </c>
      <c r="X26" s="129"/>
      <c r="Y26" s="8"/>
      <c r="Z26" s="8" t="str">
        <f>+Tabla3[[#This Row],[Referencia]]&amp;Tabla3[[#This Row],[Desc detalle ext 1]]</f>
        <v>CB 160F STD                                       BLANCO PE</v>
      </c>
      <c r="AA26" s="128" t="e">
        <f>+VLOOKUP(Tabla3[[#This Row],[CODIGO2]],ESTANDAR!$B$3:$C$9,2,FALSE)</f>
        <v>#N/A</v>
      </c>
      <c r="AB26" s="128" t="str">
        <f>+MID(Tabla3[[#This Row],['# Viaje]],10,1)</f>
        <v/>
      </c>
    </row>
    <row r="27" spans="1:28" ht="15" hidden="1" customHeight="1">
      <c r="A27" s="173" t="s">
        <v>1464</v>
      </c>
      <c r="B27" s="174">
        <v>42948</v>
      </c>
      <c r="C27" s="173" t="s">
        <v>1231</v>
      </c>
      <c r="D27" s="173" t="s">
        <v>1237</v>
      </c>
      <c r="E27" s="173" t="s">
        <v>1232</v>
      </c>
      <c r="F27" s="173">
        <v>4</v>
      </c>
      <c r="G27" s="173" t="s">
        <v>189</v>
      </c>
      <c r="H27" s="173">
        <v>4</v>
      </c>
      <c r="I27" s="173" t="s">
        <v>1465</v>
      </c>
      <c r="J27" s="173" t="s">
        <v>1451</v>
      </c>
      <c r="K27" s="173" t="s">
        <v>16</v>
      </c>
      <c r="L27" s="173"/>
      <c r="M27" s="173" t="s">
        <v>184</v>
      </c>
      <c r="N27" s="173">
        <v>860062808</v>
      </c>
      <c r="O27" s="175">
        <v>3696639</v>
      </c>
      <c r="P27" s="7"/>
      <c r="Q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" s="9">
        <f>+IFERROR(VLOOKUP(Tabla3[[#This Row],[Cliente factura]],Tabla4[[NIT]:[TOTAL CREDITO]],6,FALSE),0)</f>
        <v>0</v>
      </c>
      <c r="S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" s="10" t="str">
        <f>VLOOKUP(Tabla3[[#This Row],[Razón social cliente factura]]&amp;Tabla3[[#This Row],[Desc. ciudad]],'Estandar de Rutas'!$C$1:$E$553,2,FALSE)</f>
        <v>7.2</v>
      </c>
      <c r="U27" s="130">
        <f>IFERROR(VLOOKUP(Tabla3[[#This Row],[Referencia]]&amp;Tabla3[[#This Row],[Desc detalle ext 1]],Tabla1[[Referencia-Color]:[Disponibilidad]],3,FALSE),0)</f>
        <v>3</v>
      </c>
      <c r="V27" s="13"/>
      <c r="W27" s="17">
        <f>+Tabla3[[#This Row],[Cant. Programada]]*Tabla3[[#This Row],[Precio unit]]</f>
        <v>0</v>
      </c>
      <c r="X27" s="130"/>
      <c r="Y27" s="129"/>
      <c r="Z27" s="8" t="str">
        <f>+Tabla3[[#This Row],[Referencia]]&amp;Tabla3[[#This Row],[Desc detalle ext 1]]</f>
        <v xml:space="preserve">CB 110 DLX                                        NEGRO    </v>
      </c>
      <c r="AA27" s="128" t="e">
        <f>+VLOOKUP(Tabla3[[#This Row],[CODIGO2]],ESTANDAR!$B$3:$C$9,2,FALSE)</f>
        <v>#N/A</v>
      </c>
      <c r="AB27" s="128" t="str">
        <f>+MID(Tabla3[[#This Row],['# Viaje]],10,1)</f>
        <v/>
      </c>
    </row>
    <row r="28" spans="1:28" ht="15" hidden="1" customHeight="1">
      <c r="A28" s="173" t="s">
        <v>1466</v>
      </c>
      <c r="B28" s="174">
        <v>42948</v>
      </c>
      <c r="C28" s="173" t="s">
        <v>1231</v>
      </c>
      <c r="D28" s="173" t="s">
        <v>1237</v>
      </c>
      <c r="E28" s="173" t="s">
        <v>1232</v>
      </c>
      <c r="F28" s="173">
        <v>2</v>
      </c>
      <c r="G28" s="173" t="s">
        <v>189</v>
      </c>
      <c r="H28" s="173">
        <v>2</v>
      </c>
      <c r="I28" s="173" t="s">
        <v>1467</v>
      </c>
      <c r="J28" s="173" t="s">
        <v>14</v>
      </c>
      <c r="K28" s="173" t="s">
        <v>16</v>
      </c>
      <c r="L28" s="173"/>
      <c r="M28" s="173" t="s">
        <v>184</v>
      </c>
      <c r="N28" s="173">
        <v>860062808</v>
      </c>
      <c r="O28" s="175">
        <v>3360504</v>
      </c>
      <c r="P28" s="7"/>
      <c r="Q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8" s="9">
        <f>+IFERROR(VLOOKUP(Tabla3[[#This Row],[Cliente factura]],Tabla4[[NIT]:[TOTAL CREDITO]],6,FALSE),0)</f>
        <v>0</v>
      </c>
      <c r="S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" s="10" t="str">
        <f>VLOOKUP(Tabla3[[#This Row],[Razón social cliente factura]]&amp;Tabla3[[#This Row],[Desc. ciudad]],'Estandar de Rutas'!$C$1:$E$553,2,FALSE)</f>
        <v>7.2</v>
      </c>
      <c r="U28" s="130">
        <f>IFERROR(VLOOKUP(Tabla3[[#This Row],[Referencia]]&amp;Tabla3[[#This Row],[Desc detalle ext 1]],Tabla1[[Referencia-Color]:[Disponibilidad]],3,FALSE),0)</f>
        <v>83</v>
      </c>
      <c r="V28" s="13"/>
      <c r="W28" s="17">
        <f>+Tabla3[[#This Row],[Cant. Programada]]*Tabla3[[#This Row],[Precio unit]]</f>
        <v>0</v>
      </c>
      <c r="X28" s="130"/>
      <c r="Y28" s="129"/>
      <c r="Z28" s="8" t="str">
        <f>+Tabla3[[#This Row],[Referencia]]&amp;Tabla3[[#This Row],[Desc detalle ext 1]]</f>
        <v xml:space="preserve">*CB-110                                           NEGRO    </v>
      </c>
      <c r="AA28" s="128" t="e">
        <f>+VLOOKUP(Tabla3[[#This Row],[CODIGO2]],ESTANDAR!$B$3:$C$9,2,FALSE)</f>
        <v>#N/A</v>
      </c>
      <c r="AB28" s="128" t="str">
        <f>+MID(Tabla3[[#This Row],['# Viaje]],10,1)</f>
        <v/>
      </c>
    </row>
    <row r="29" spans="1:28" ht="15" hidden="1" customHeight="1">
      <c r="A29" s="173" t="s">
        <v>1466</v>
      </c>
      <c r="B29" s="174">
        <v>42948</v>
      </c>
      <c r="C29" s="173" t="s">
        <v>1231</v>
      </c>
      <c r="D29" s="173" t="s">
        <v>1237</v>
      </c>
      <c r="E29" s="173" t="s">
        <v>1232</v>
      </c>
      <c r="F29" s="173">
        <v>1</v>
      </c>
      <c r="G29" s="173" t="s">
        <v>189</v>
      </c>
      <c r="H29" s="173">
        <v>1</v>
      </c>
      <c r="I29" s="173" t="s">
        <v>1467</v>
      </c>
      <c r="J29" s="173" t="s">
        <v>27</v>
      </c>
      <c r="K29" s="173" t="s">
        <v>16</v>
      </c>
      <c r="L29" s="173"/>
      <c r="M29" s="173" t="s">
        <v>184</v>
      </c>
      <c r="N29" s="173">
        <v>860062808</v>
      </c>
      <c r="O29" s="175">
        <v>5789916</v>
      </c>
      <c r="P29" s="7"/>
      <c r="Q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" s="9">
        <f>+IFERROR(VLOOKUP(Tabla3[[#This Row],[Cliente factura]],Tabla4[[NIT]:[TOTAL CREDITO]],6,FALSE),0)</f>
        <v>0</v>
      </c>
      <c r="S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" s="10" t="str">
        <f>VLOOKUP(Tabla3[[#This Row],[Razón social cliente factura]]&amp;Tabla3[[#This Row],[Desc. ciudad]],'Estandar de Rutas'!$C$1:$E$553,2,FALSE)</f>
        <v>7.2</v>
      </c>
      <c r="U29" s="130">
        <f>IFERROR(VLOOKUP(Tabla3[[#This Row],[Referencia]]&amp;Tabla3[[#This Row],[Desc detalle ext 1]],Tabla1[[Referencia-Color]:[Disponibilidad]],3,FALSE),0)</f>
        <v>3</v>
      </c>
      <c r="V29" s="13"/>
      <c r="W29" s="17">
        <f>+Tabla3[[#This Row],[Cant. Programada]]*Tabla3[[#This Row],[Precio unit]]</f>
        <v>0</v>
      </c>
      <c r="X29" s="130"/>
      <c r="Y29" s="129"/>
      <c r="Z29" s="8" t="str">
        <f>+Tabla3[[#This Row],[Referencia]]&amp;Tabla3[[#This Row],[Desc detalle ext 1]]</f>
        <v xml:space="preserve">*XR 150L                                          NEGRO    </v>
      </c>
      <c r="AA29" s="128" t="e">
        <f>+VLOOKUP(Tabla3[[#This Row],[CODIGO2]],ESTANDAR!$B$3:$C$9,2,FALSE)</f>
        <v>#N/A</v>
      </c>
      <c r="AB29" s="128" t="str">
        <f>+MID(Tabla3[[#This Row],['# Viaje]],10,1)</f>
        <v/>
      </c>
    </row>
    <row r="30" spans="1:28" ht="15" hidden="1" customHeight="1">
      <c r="A30" s="173" t="s">
        <v>1466</v>
      </c>
      <c r="B30" s="174">
        <v>42948</v>
      </c>
      <c r="C30" s="173" t="s">
        <v>1231</v>
      </c>
      <c r="D30" s="173" t="s">
        <v>1237</v>
      </c>
      <c r="E30" s="173" t="s">
        <v>1232</v>
      </c>
      <c r="F30" s="173">
        <v>2</v>
      </c>
      <c r="G30" s="173" t="s">
        <v>189</v>
      </c>
      <c r="H30" s="173">
        <v>2</v>
      </c>
      <c r="I30" s="173" t="s">
        <v>1467</v>
      </c>
      <c r="J30" s="173" t="s">
        <v>10</v>
      </c>
      <c r="K30" s="173" t="s">
        <v>13</v>
      </c>
      <c r="L30" s="173"/>
      <c r="M30" s="173" t="s">
        <v>184</v>
      </c>
      <c r="N30" s="173">
        <v>860062808</v>
      </c>
      <c r="O30" s="175">
        <v>7554622</v>
      </c>
      <c r="P30" s="7"/>
      <c r="Q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" s="9">
        <f>+IFERROR(VLOOKUP(Tabla3[[#This Row],[Cliente factura]],Tabla4[[NIT]:[TOTAL CREDITO]],6,FALSE),0)</f>
        <v>0</v>
      </c>
      <c r="S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" s="10" t="str">
        <f>VLOOKUP(Tabla3[[#This Row],[Razón social cliente factura]]&amp;Tabla3[[#This Row],[Desc. ciudad]],'Estandar de Rutas'!$C$1:$E$553,2,FALSE)</f>
        <v>7.2</v>
      </c>
      <c r="U30" s="130">
        <f>IFERROR(VLOOKUP(Tabla3[[#This Row],[Referencia]]&amp;Tabla3[[#This Row],[Desc detalle ext 1]],Tabla1[[Referencia-Color]:[Disponibilidad]],3,FALSE),0)</f>
        <v>75</v>
      </c>
      <c r="V30" s="13"/>
      <c r="W30" s="17">
        <f>+Tabla3[[#This Row],[Cant. Programada]]*Tabla3[[#This Row],[Precio unit]]</f>
        <v>0</v>
      </c>
      <c r="X30" s="130"/>
      <c r="Y30" s="129"/>
      <c r="Z30" s="8" t="str">
        <f>+Tabla3[[#This Row],[Referencia]]&amp;Tabla3[[#This Row],[Desc detalle ext 1]]</f>
        <v>CB 190R                                           ROJO NEGR</v>
      </c>
      <c r="AA30" s="128" t="e">
        <f>+VLOOKUP(Tabla3[[#This Row],[CODIGO2]],ESTANDAR!$B$3:$C$9,2,FALSE)</f>
        <v>#N/A</v>
      </c>
      <c r="AB30" s="128" t="str">
        <f>+MID(Tabla3[[#This Row],['# Viaje]],10,1)</f>
        <v/>
      </c>
    </row>
    <row r="31" spans="1:28" ht="15" hidden="1" customHeight="1">
      <c r="A31" s="173" t="s">
        <v>1466</v>
      </c>
      <c r="B31" s="174">
        <v>42948</v>
      </c>
      <c r="C31" s="173" t="s">
        <v>1231</v>
      </c>
      <c r="D31" s="173" t="s">
        <v>1237</v>
      </c>
      <c r="E31" s="173" t="s">
        <v>1232</v>
      </c>
      <c r="F31" s="173">
        <v>4</v>
      </c>
      <c r="G31" s="173" t="s">
        <v>189</v>
      </c>
      <c r="H31" s="173">
        <v>4</v>
      </c>
      <c r="I31" s="173" t="s">
        <v>1467</v>
      </c>
      <c r="J31" s="173" t="s">
        <v>10</v>
      </c>
      <c r="K31" s="173" t="s">
        <v>11</v>
      </c>
      <c r="L31" s="173"/>
      <c r="M31" s="173" t="s">
        <v>184</v>
      </c>
      <c r="N31" s="173">
        <v>860062808</v>
      </c>
      <c r="O31" s="175">
        <v>7554622</v>
      </c>
      <c r="P31" s="7"/>
      <c r="Q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1" s="9">
        <f>+IFERROR(VLOOKUP(Tabla3[[#This Row],[Cliente factura]],Tabla4[[NIT]:[TOTAL CREDITO]],6,FALSE),0)</f>
        <v>0</v>
      </c>
      <c r="S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" s="10" t="str">
        <f>VLOOKUP(Tabla3[[#This Row],[Razón social cliente factura]]&amp;Tabla3[[#This Row],[Desc. ciudad]],'Estandar de Rutas'!$C$1:$E$553,2,FALSE)</f>
        <v>7.2</v>
      </c>
      <c r="U31" s="130">
        <f>IFERROR(VLOOKUP(Tabla3[[#This Row],[Referencia]]&amp;Tabla3[[#This Row],[Desc detalle ext 1]],Tabla1[[Referencia-Color]:[Disponibilidad]],3,FALSE),0)</f>
        <v>0</v>
      </c>
      <c r="V31" s="13"/>
      <c r="W31" s="17">
        <f>+Tabla3[[#This Row],[Cant. Programada]]*Tabla3[[#This Row],[Precio unit]]</f>
        <v>0</v>
      </c>
      <c r="X31" s="129"/>
      <c r="Y31" s="8"/>
      <c r="Z31" s="8" t="str">
        <f>+Tabla3[[#This Row],[Referencia]]&amp;Tabla3[[#This Row],[Desc detalle ext 1]]</f>
        <v>CB 190R                                           NEGRO ONI</v>
      </c>
      <c r="AA31" s="128" t="e">
        <f>+VLOOKUP(Tabla3[[#This Row],[CODIGO2]],ESTANDAR!$B$3:$C$9,2,FALSE)</f>
        <v>#N/A</v>
      </c>
      <c r="AB31" s="128" t="str">
        <f>+MID(Tabla3[[#This Row],['# Viaje]],10,1)</f>
        <v/>
      </c>
    </row>
    <row r="32" spans="1:28" ht="15" hidden="1" customHeight="1">
      <c r="A32" s="173" t="s">
        <v>1466</v>
      </c>
      <c r="B32" s="174">
        <v>42948</v>
      </c>
      <c r="C32" s="173" t="s">
        <v>1231</v>
      </c>
      <c r="D32" s="173" t="s">
        <v>1237</v>
      </c>
      <c r="E32" s="173" t="s">
        <v>1232</v>
      </c>
      <c r="F32" s="173">
        <v>5</v>
      </c>
      <c r="G32" s="173" t="s">
        <v>189</v>
      </c>
      <c r="H32" s="173">
        <v>5</v>
      </c>
      <c r="I32" s="173" t="s">
        <v>1467</v>
      </c>
      <c r="J32" s="173" t="s">
        <v>1425</v>
      </c>
      <c r="K32" s="173" t="s">
        <v>1426</v>
      </c>
      <c r="L32" s="173"/>
      <c r="M32" s="173" t="s">
        <v>184</v>
      </c>
      <c r="N32" s="173">
        <v>860062808</v>
      </c>
      <c r="O32" s="175">
        <v>7730252</v>
      </c>
      <c r="P32" s="7"/>
      <c r="Q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" s="9">
        <f>+IFERROR(VLOOKUP(Tabla3[[#This Row],[Cliente factura]],Tabla4[[NIT]:[TOTAL CREDITO]],6,FALSE),0)</f>
        <v>0</v>
      </c>
      <c r="S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" s="10" t="str">
        <f>VLOOKUP(Tabla3[[#This Row],[Razón social cliente factura]]&amp;Tabla3[[#This Row],[Desc. ciudad]],'Estandar de Rutas'!$C$1:$E$553,2,FALSE)</f>
        <v>7.2</v>
      </c>
      <c r="U32" s="130">
        <f>IFERROR(VLOOKUP(Tabla3[[#This Row],[Referencia]]&amp;Tabla3[[#This Row],[Desc detalle ext 1]],Tabla1[[Referencia-Color]:[Disponibilidad]],3,FALSE),0)</f>
        <v>104</v>
      </c>
      <c r="V32" s="13"/>
      <c r="W32" s="17">
        <f>+Tabla3[[#This Row],[Cant. Programada]]*Tabla3[[#This Row],[Precio unit]]</f>
        <v>0</v>
      </c>
      <c r="X32" s="129"/>
      <c r="Y32" s="8"/>
      <c r="Z32" s="8" t="str">
        <f>+Tabla3[[#This Row],[Referencia]]&amp;Tabla3[[#This Row],[Desc detalle ext 1]]</f>
        <v>CB 190 REPSOL                                     NARANJA B</v>
      </c>
      <c r="AA32" s="128" t="e">
        <f>+VLOOKUP(Tabla3[[#This Row],[CODIGO2]],ESTANDAR!$B$3:$C$9,2,FALSE)</f>
        <v>#N/A</v>
      </c>
      <c r="AB32" s="128" t="str">
        <f>+MID(Tabla3[[#This Row],['# Viaje]],10,1)</f>
        <v/>
      </c>
    </row>
    <row r="33" spans="1:28" ht="15" hidden="1" customHeight="1">
      <c r="A33" s="173" t="s">
        <v>1466</v>
      </c>
      <c r="B33" s="174">
        <v>42948</v>
      </c>
      <c r="C33" s="173" t="s">
        <v>1231</v>
      </c>
      <c r="D33" s="173" t="s">
        <v>1237</v>
      </c>
      <c r="E33" s="173" t="s">
        <v>1232</v>
      </c>
      <c r="F33" s="173">
        <v>1</v>
      </c>
      <c r="G33" s="173" t="s">
        <v>189</v>
      </c>
      <c r="H33" s="173">
        <v>1</v>
      </c>
      <c r="I33" s="173" t="s">
        <v>1467</v>
      </c>
      <c r="J33" s="173" t="s">
        <v>354</v>
      </c>
      <c r="K33" s="173" t="s">
        <v>474</v>
      </c>
      <c r="L33" s="173"/>
      <c r="M33" s="173" t="s">
        <v>184</v>
      </c>
      <c r="N33" s="173">
        <v>860062808</v>
      </c>
      <c r="O33" s="175">
        <v>6133613</v>
      </c>
      <c r="P33" s="7"/>
      <c r="Q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" s="9">
        <f>+IFERROR(VLOOKUP(Tabla3[[#This Row],[Cliente factura]],Tabla4[[NIT]:[TOTAL CREDITO]],6,FALSE),0)</f>
        <v>0</v>
      </c>
      <c r="S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" s="10" t="str">
        <f>VLOOKUP(Tabla3[[#This Row],[Razón social cliente factura]]&amp;Tabla3[[#This Row],[Desc. ciudad]],'Estandar de Rutas'!$C$1:$E$553,2,FALSE)</f>
        <v>7.2</v>
      </c>
      <c r="U33" s="130">
        <f>IFERROR(VLOOKUP(Tabla3[[#This Row],[Referencia]]&amp;Tabla3[[#This Row],[Desc detalle ext 1]],Tabla1[[Referencia-Color]:[Disponibilidad]],3,FALSE),0)</f>
        <v>3</v>
      </c>
      <c r="V33" s="13"/>
      <c r="W33" s="17">
        <f>+Tabla3[[#This Row],[Cant. Programada]]*Tabla3[[#This Row],[Precio unit]]</f>
        <v>0</v>
      </c>
      <c r="X33" s="129"/>
      <c r="Y33" s="8"/>
      <c r="Z33" s="8" t="str">
        <f>+Tabla3[[#This Row],[Referencia]]&amp;Tabla3[[#This Row],[Desc detalle ext 1]]</f>
        <v>CB 160F DLX                                       NARANJA N</v>
      </c>
      <c r="AA33" s="128" t="e">
        <f>+VLOOKUP(Tabla3[[#This Row],[CODIGO2]],ESTANDAR!$B$3:$C$9,2,FALSE)</f>
        <v>#N/A</v>
      </c>
      <c r="AB33" s="128" t="str">
        <f>+MID(Tabla3[[#This Row],['# Viaje]],10,1)</f>
        <v/>
      </c>
    </row>
    <row r="34" spans="1:28" ht="15" hidden="1" customHeight="1">
      <c r="A34" s="173" t="s">
        <v>1466</v>
      </c>
      <c r="B34" s="174">
        <v>42948</v>
      </c>
      <c r="C34" s="173" t="s">
        <v>1231</v>
      </c>
      <c r="D34" s="173" t="s">
        <v>1237</v>
      </c>
      <c r="E34" s="173" t="s">
        <v>1232</v>
      </c>
      <c r="F34" s="173">
        <v>1</v>
      </c>
      <c r="G34" s="173" t="s">
        <v>189</v>
      </c>
      <c r="H34" s="173">
        <v>1</v>
      </c>
      <c r="I34" s="173" t="s">
        <v>1467</v>
      </c>
      <c r="J34" s="173" t="s">
        <v>1433</v>
      </c>
      <c r="K34" s="173" t="s">
        <v>1431</v>
      </c>
      <c r="L34" s="173"/>
      <c r="M34" s="173" t="s">
        <v>184</v>
      </c>
      <c r="N34" s="173">
        <v>860062808</v>
      </c>
      <c r="O34" s="175">
        <v>3521008</v>
      </c>
      <c r="P34" s="7"/>
      <c r="Q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" s="9">
        <f>+IFERROR(VLOOKUP(Tabla3[[#This Row],[Cliente factura]],Tabla4[[NIT]:[TOTAL CREDITO]],6,FALSE),0)</f>
        <v>0</v>
      </c>
      <c r="S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" s="10" t="str">
        <f>VLOOKUP(Tabla3[[#This Row],[Razón social cliente factura]]&amp;Tabla3[[#This Row],[Desc. ciudad]],'Estandar de Rutas'!$C$1:$E$553,2,FALSE)</f>
        <v>7.2</v>
      </c>
      <c r="U34" s="130">
        <f>IFERROR(VLOOKUP(Tabla3[[#This Row],[Referencia]]&amp;Tabla3[[#This Row],[Desc detalle ext 1]],Tabla1[[Referencia-Color]:[Disponibilidad]],3,FALSE),0)</f>
        <v>0</v>
      </c>
      <c r="V34" s="13"/>
      <c r="W34" s="17">
        <f>+Tabla3[[#This Row],[Cant. Programada]]*Tabla3[[#This Row],[Precio unit]]</f>
        <v>0</v>
      </c>
      <c r="X34" s="129"/>
      <c r="Y34" s="8"/>
      <c r="Z34" s="8" t="str">
        <f>+Tabla3[[#This Row],[Referencia]]&amp;Tabla3[[#This Row],[Desc detalle ext 1]]</f>
        <v xml:space="preserve">DIO  110                                          ROJO     </v>
      </c>
      <c r="AA34" s="128" t="e">
        <f>+VLOOKUP(Tabla3[[#This Row],[CODIGO2]],ESTANDAR!$B$3:$C$9,2,FALSE)</f>
        <v>#N/A</v>
      </c>
      <c r="AB34" s="128" t="str">
        <f>+MID(Tabla3[[#This Row],['# Viaje]],10,1)</f>
        <v/>
      </c>
    </row>
    <row r="35" spans="1:28" ht="15" hidden="1" customHeight="1">
      <c r="A35" s="173" t="s">
        <v>1466</v>
      </c>
      <c r="B35" s="174">
        <v>42948</v>
      </c>
      <c r="C35" s="173" t="s">
        <v>1231</v>
      </c>
      <c r="D35" s="173" t="s">
        <v>1237</v>
      </c>
      <c r="E35" s="173" t="s">
        <v>1232</v>
      </c>
      <c r="F35" s="173">
        <v>1</v>
      </c>
      <c r="G35" s="173" t="s">
        <v>189</v>
      </c>
      <c r="H35" s="173">
        <v>1</v>
      </c>
      <c r="I35" s="173" t="s">
        <v>1467</v>
      </c>
      <c r="J35" s="173" t="s">
        <v>1428</v>
      </c>
      <c r="K35" s="173" t="s">
        <v>1461</v>
      </c>
      <c r="L35" s="173"/>
      <c r="M35" s="173" t="s">
        <v>184</v>
      </c>
      <c r="N35" s="173">
        <v>860062808</v>
      </c>
      <c r="O35" s="175">
        <v>3067227</v>
      </c>
      <c r="P35" s="7"/>
      <c r="Q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5" s="9">
        <f>+IFERROR(VLOOKUP(Tabla3[[#This Row],[Cliente factura]],Tabla4[[NIT]:[TOTAL CREDITO]],6,FALSE),0)</f>
        <v>0</v>
      </c>
      <c r="S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" s="10" t="str">
        <f>VLOOKUP(Tabla3[[#This Row],[Razón social cliente factura]]&amp;Tabla3[[#This Row],[Desc. ciudad]],'Estandar de Rutas'!$C$1:$E$553,2,FALSE)</f>
        <v>7.2</v>
      </c>
      <c r="U35" s="130">
        <f>IFERROR(VLOOKUP(Tabla3[[#This Row],[Referencia]]&amp;Tabla3[[#This Row],[Desc detalle ext 1]],Tabla1[[Referencia-Color]:[Disponibilidad]],3,FALSE),0)</f>
        <v>0</v>
      </c>
      <c r="V35" s="13"/>
      <c r="W35" s="17">
        <f>+Tabla3[[#This Row],[Cant. Programada]]*Tabla3[[#This Row],[Precio unit]]</f>
        <v>0</v>
      </c>
      <c r="X35" s="129"/>
      <c r="Y35" s="8"/>
      <c r="Z35" s="8" t="str">
        <f>+Tabla3[[#This Row],[Referencia]]&amp;Tabla3[[#This Row],[Desc detalle ext 1]]</f>
        <v>DREAM  NEO                                        ROJO ALFA</v>
      </c>
      <c r="AA35" s="128" t="e">
        <f>+VLOOKUP(Tabla3[[#This Row],[CODIGO2]],ESTANDAR!$B$3:$C$9,2,FALSE)</f>
        <v>#N/A</v>
      </c>
      <c r="AB35" s="128" t="str">
        <f>+MID(Tabla3[[#This Row],['# Viaje]],10,1)</f>
        <v/>
      </c>
    </row>
    <row r="36" spans="1:28" ht="15" hidden="1" customHeight="1">
      <c r="A36" s="173" t="s">
        <v>1466</v>
      </c>
      <c r="B36" s="174">
        <v>42948</v>
      </c>
      <c r="C36" s="173" t="s">
        <v>1231</v>
      </c>
      <c r="D36" s="173" t="s">
        <v>1237</v>
      </c>
      <c r="E36" s="173" t="s">
        <v>1232</v>
      </c>
      <c r="F36" s="173">
        <v>1</v>
      </c>
      <c r="G36" s="173" t="s">
        <v>189</v>
      </c>
      <c r="H36" s="173">
        <v>1</v>
      </c>
      <c r="I36" s="173" t="s">
        <v>1467</v>
      </c>
      <c r="J36" s="173" t="s">
        <v>1430</v>
      </c>
      <c r="K36" s="173" t="s">
        <v>1431</v>
      </c>
      <c r="L36" s="173"/>
      <c r="M36" s="173" t="s">
        <v>184</v>
      </c>
      <c r="N36" s="173">
        <v>860062808</v>
      </c>
      <c r="O36" s="175">
        <v>3941176</v>
      </c>
      <c r="P36" s="7"/>
      <c r="Q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" s="9">
        <f>+IFERROR(VLOOKUP(Tabla3[[#This Row],[Cliente factura]],Tabla4[[NIT]:[TOTAL CREDITO]],6,FALSE),0)</f>
        <v>0</v>
      </c>
      <c r="S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" s="10" t="str">
        <f>VLOOKUP(Tabla3[[#This Row],[Razón social cliente factura]]&amp;Tabla3[[#This Row],[Desc. ciudad]],'Estandar de Rutas'!$C$1:$E$553,2,FALSE)</f>
        <v>7.2</v>
      </c>
      <c r="U36" s="130">
        <f>IFERROR(VLOOKUP(Tabla3[[#This Row],[Referencia]]&amp;Tabla3[[#This Row],[Desc detalle ext 1]],Tabla1[[Referencia-Color]:[Disponibilidad]],3,FALSE),0)</f>
        <v>0</v>
      </c>
      <c r="V36" s="13"/>
      <c r="W36" s="17">
        <f>+Tabla3[[#This Row],[Cant. Programada]]*Tabla3[[#This Row],[Precio unit]]</f>
        <v>0</v>
      </c>
      <c r="X36" s="8"/>
      <c r="Y36" s="8"/>
      <c r="Z36" s="8" t="str">
        <f>+Tabla3[[#This Row],[Referencia]]&amp;Tabla3[[#This Row],[Desc detalle ext 1]]</f>
        <v xml:space="preserve">WAVE 110S                                         ROJO     </v>
      </c>
      <c r="AA36" s="128" t="e">
        <f>+VLOOKUP(Tabla3[[#This Row],[CODIGO2]],ESTANDAR!$B$3:$C$9,2,FALSE)</f>
        <v>#N/A</v>
      </c>
      <c r="AB36" s="128" t="str">
        <f>+MID(Tabla3[[#This Row],['# Viaje]],10,1)</f>
        <v/>
      </c>
    </row>
    <row r="37" spans="1:28" ht="15" hidden="1" customHeight="1">
      <c r="A37" s="173" t="s">
        <v>1466</v>
      </c>
      <c r="B37" s="174">
        <v>42948</v>
      </c>
      <c r="C37" s="173" t="s">
        <v>1231</v>
      </c>
      <c r="D37" s="173" t="s">
        <v>1237</v>
      </c>
      <c r="E37" s="173" t="s">
        <v>1232</v>
      </c>
      <c r="F37" s="173">
        <v>1</v>
      </c>
      <c r="G37" s="173" t="s">
        <v>189</v>
      </c>
      <c r="H37" s="173">
        <v>1</v>
      </c>
      <c r="I37" s="173" t="s">
        <v>1467</v>
      </c>
      <c r="J37" s="173" t="s">
        <v>1234</v>
      </c>
      <c r="K37" s="173" t="s">
        <v>17</v>
      </c>
      <c r="L37" s="173"/>
      <c r="M37" s="173" t="s">
        <v>184</v>
      </c>
      <c r="N37" s="173">
        <v>860062808</v>
      </c>
      <c r="O37" s="175">
        <v>5453782</v>
      </c>
      <c r="P37" s="7"/>
      <c r="Q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" s="9">
        <f>+IFERROR(VLOOKUP(Tabla3[[#This Row],[Cliente factura]],Tabla4[[NIT]:[TOTAL CREDITO]],6,FALSE),0)</f>
        <v>0</v>
      </c>
      <c r="S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" s="10" t="str">
        <f>VLOOKUP(Tabla3[[#This Row],[Razón social cliente factura]]&amp;Tabla3[[#This Row],[Desc. ciudad]],'Estandar de Rutas'!$C$1:$E$553,2,FALSE)</f>
        <v>7.2</v>
      </c>
      <c r="U37" s="130">
        <f>IFERROR(VLOOKUP(Tabla3[[#This Row],[Referencia]]&amp;Tabla3[[#This Row],[Desc detalle ext 1]],Tabla1[[Referencia-Color]:[Disponibilidad]],3,FALSE),0)</f>
        <v>0</v>
      </c>
      <c r="V37" s="13"/>
      <c r="W37" s="17">
        <f>+Tabla3[[#This Row],[Cant. Programada]]*Tabla3[[#This Row],[Precio unit]]</f>
        <v>0</v>
      </c>
      <c r="X37" s="129"/>
      <c r="Y37" s="129"/>
      <c r="Z37" s="8" t="str">
        <f>+Tabla3[[#This Row],[Referencia]]&amp;Tabla3[[#This Row],[Desc detalle ext 1]]</f>
        <v>CB 160F STD                                       ROJO SPOR</v>
      </c>
      <c r="AA37" s="128" t="e">
        <f>+VLOOKUP(Tabla3[[#This Row],[CODIGO2]],ESTANDAR!$B$3:$C$9,2,FALSE)</f>
        <v>#N/A</v>
      </c>
      <c r="AB37" s="128" t="str">
        <f>+MID(Tabla3[[#This Row],['# Viaje]],10,1)</f>
        <v/>
      </c>
    </row>
    <row r="38" spans="1:28" ht="15" hidden="1" customHeight="1">
      <c r="A38" s="173" t="s">
        <v>1466</v>
      </c>
      <c r="B38" s="174">
        <v>42948</v>
      </c>
      <c r="C38" s="173" t="s">
        <v>1231</v>
      </c>
      <c r="D38" s="173" t="s">
        <v>1237</v>
      </c>
      <c r="E38" s="173" t="s">
        <v>1232</v>
      </c>
      <c r="F38" s="173">
        <v>1</v>
      </c>
      <c r="G38" s="173" t="s">
        <v>189</v>
      </c>
      <c r="H38" s="173">
        <v>1</v>
      </c>
      <c r="I38" s="173" t="s">
        <v>1467</v>
      </c>
      <c r="J38" s="173" t="s">
        <v>1234</v>
      </c>
      <c r="K38" s="173" t="s">
        <v>355</v>
      </c>
      <c r="L38" s="173"/>
      <c r="M38" s="173" t="s">
        <v>184</v>
      </c>
      <c r="N38" s="173">
        <v>860062808</v>
      </c>
      <c r="O38" s="175">
        <v>5453782</v>
      </c>
      <c r="P38" s="7"/>
      <c r="Q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8" s="9">
        <f>+IFERROR(VLOOKUP(Tabla3[[#This Row],[Cliente factura]],Tabla4[[NIT]:[TOTAL CREDITO]],6,FALSE),0)</f>
        <v>0</v>
      </c>
      <c r="S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" s="10" t="str">
        <f>VLOOKUP(Tabla3[[#This Row],[Razón social cliente factura]]&amp;Tabla3[[#This Row],[Desc. ciudad]],'Estandar de Rutas'!$C$1:$E$553,2,FALSE)</f>
        <v>7.2</v>
      </c>
      <c r="U38" s="130">
        <f>IFERROR(VLOOKUP(Tabla3[[#This Row],[Referencia]]&amp;Tabla3[[#This Row],[Desc detalle ext 1]],Tabla1[[Referencia-Color]:[Disponibilidad]],3,FALSE),0)</f>
        <v>0</v>
      </c>
      <c r="V38" s="13"/>
      <c r="W38" s="17">
        <f>+Tabla3[[#This Row],[Cant. Programada]]*Tabla3[[#This Row],[Precio unit]]</f>
        <v>0</v>
      </c>
      <c r="X38" s="129"/>
      <c r="Y38" s="129"/>
      <c r="Z38" s="8" t="str">
        <f>+Tabla3[[#This Row],[Referencia]]&amp;Tabla3[[#This Row],[Desc detalle ext 1]]</f>
        <v>CB 160F STD                                       NEGRO PER</v>
      </c>
      <c r="AA38" s="128" t="e">
        <f>+VLOOKUP(Tabla3[[#This Row],[CODIGO2]],ESTANDAR!$B$3:$C$9,2,FALSE)</f>
        <v>#N/A</v>
      </c>
      <c r="AB38" s="128" t="str">
        <f>+MID(Tabla3[[#This Row],['# Viaje]],10,1)</f>
        <v/>
      </c>
    </row>
    <row r="39" spans="1:28" ht="15" hidden="1" customHeight="1">
      <c r="A39" s="173" t="s">
        <v>1466</v>
      </c>
      <c r="B39" s="174">
        <v>42948</v>
      </c>
      <c r="C39" s="173" t="s">
        <v>1231</v>
      </c>
      <c r="D39" s="173" t="s">
        <v>1237</v>
      </c>
      <c r="E39" s="173" t="s">
        <v>1232</v>
      </c>
      <c r="F39" s="173">
        <v>3</v>
      </c>
      <c r="G39" s="173" t="s">
        <v>189</v>
      </c>
      <c r="H39" s="173">
        <v>3</v>
      </c>
      <c r="I39" s="173" t="s">
        <v>1467</v>
      </c>
      <c r="J39" s="173" t="s">
        <v>1451</v>
      </c>
      <c r="K39" s="173" t="s">
        <v>16</v>
      </c>
      <c r="L39" s="173"/>
      <c r="M39" s="173" t="s">
        <v>184</v>
      </c>
      <c r="N39" s="173">
        <v>860062808</v>
      </c>
      <c r="O39" s="175">
        <v>3696639</v>
      </c>
      <c r="P39" s="7"/>
      <c r="Q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9" s="9">
        <f>+IFERROR(VLOOKUP(Tabla3[[#This Row],[Cliente factura]],Tabla4[[NIT]:[TOTAL CREDITO]],6,FALSE),0)</f>
        <v>0</v>
      </c>
      <c r="S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" s="10" t="str">
        <f>VLOOKUP(Tabla3[[#This Row],[Razón social cliente factura]]&amp;Tabla3[[#This Row],[Desc. ciudad]],'Estandar de Rutas'!$C$1:$E$553,2,FALSE)</f>
        <v>7.2</v>
      </c>
      <c r="U39" s="130">
        <f>IFERROR(VLOOKUP(Tabla3[[#This Row],[Referencia]]&amp;Tabla3[[#This Row],[Desc detalle ext 1]],Tabla1[[Referencia-Color]:[Disponibilidad]],3,FALSE),0)</f>
        <v>3</v>
      </c>
      <c r="V39" s="13"/>
      <c r="W39" s="17">
        <f>+Tabla3[[#This Row],[Cant. Programada]]*Tabla3[[#This Row],[Precio unit]]</f>
        <v>0</v>
      </c>
      <c r="X39" s="129"/>
      <c r="Y39" s="129"/>
      <c r="Z39" s="8" t="str">
        <f>+Tabla3[[#This Row],[Referencia]]&amp;Tabla3[[#This Row],[Desc detalle ext 1]]</f>
        <v xml:space="preserve">CB 110 DLX                                        NEGRO    </v>
      </c>
      <c r="AA39" s="128" t="e">
        <f>+VLOOKUP(Tabla3[[#This Row],[CODIGO2]],ESTANDAR!$B$3:$C$9,2,FALSE)</f>
        <v>#N/A</v>
      </c>
      <c r="AB39" s="128" t="str">
        <f>+MID(Tabla3[[#This Row],['# Viaje]],10,1)</f>
        <v/>
      </c>
    </row>
    <row r="40" spans="1:28" ht="15" hidden="1" customHeight="1">
      <c r="A40" s="173" t="s">
        <v>1468</v>
      </c>
      <c r="B40" s="174">
        <v>42948</v>
      </c>
      <c r="C40" s="173" t="s">
        <v>1231</v>
      </c>
      <c r="D40" s="173" t="s">
        <v>1237</v>
      </c>
      <c r="E40" s="173" t="s">
        <v>1232</v>
      </c>
      <c r="F40" s="173">
        <v>1</v>
      </c>
      <c r="G40" s="173" t="s">
        <v>189</v>
      </c>
      <c r="H40" s="173">
        <v>1</v>
      </c>
      <c r="I40" s="173" t="s">
        <v>1469</v>
      </c>
      <c r="J40" s="173" t="s">
        <v>1421</v>
      </c>
      <c r="K40" s="173" t="s">
        <v>1434</v>
      </c>
      <c r="L40" s="173"/>
      <c r="M40" s="173" t="s">
        <v>184</v>
      </c>
      <c r="N40" s="173">
        <v>860062808</v>
      </c>
      <c r="O40" s="175">
        <v>11496063</v>
      </c>
      <c r="P40" s="7"/>
      <c r="Q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0" s="9">
        <f>+IFERROR(VLOOKUP(Tabla3[[#This Row],[Cliente factura]],Tabla4[[NIT]:[TOTAL CREDITO]],6,FALSE),0)</f>
        <v>0</v>
      </c>
      <c r="S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" s="10" t="str">
        <f>VLOOKUP(Tabla3[[#This Row],[Razón social cliente factura]]&amp;Tabla3[[#This Row],[Desc. ciudad]],'Estandar de Rutas'!$C$1:$E$553,2,FALSE)</f>
        <v>7.2</v>
      </c>
      <c r="U40" s="130">
        <f>IFERROR(VLOOKUP(Tabla3[[#This Row],[Referencia]]&amp;Tabla3[[#This Row],[Desc detalle ext 1]],Tabla1[[Referencia-Color]:[Disponibilidad]],3,FALSE),0)</f>
        <v>0</v>
      </c>
      <c r="V40" s="13"/>
      <c r="W40" s="17">
        <f>+Tabla3[[#This Row],[Cant. Programada]]*Tabla3[[#This Row],[Precio unit]]</f>
        <v>0</v>
      </c>
      <c r="X40" s="8"/>
      <c r="Y40" s="8"/>
      <c r="Z40" s="8" t="str">
        <f>+Tabla3[[#This Row],[Referencia]]&amp;Tabla3[[#This Row],[Desc detalle ext 1]]</f>
        <v>*XR-250 TORNADO pt MD34                           BLANCO NE</v>
      </c>
      <c r="AA40" s="128" t="e">
        <f>+VLOOKUP(Tabla3[[#This Row],[CODIGO2]],ESTANDAR!$B$3:$C$9,2,FALSE)</f>
        <v>#N/A</v>
      </c>
      <c r="AB40" s="128" t="str">
        <f>+MID(Tabla3[[#This Row],['# Viaje]],10,1)</f>
        <v/>
      </c>
    </row>
    <row r="41" spans="1:28" ht="15" hidden="1" customHeight="1">
      <c r="A41" s="173" t="s">
        <v>1468</v>
      </c>
      <c r="B41" s="174">
        <v>42948</v>
      </c>
      <c r="C41" s="173" t="s">
        <v>1231</v>
      </c>
      <c r="D41" s="173" t="s">
        <v>1237</v>
      </c>
      <c r="E41" s="173" t="s">
        <v>1232</v>
      </c>
      <c r="F41" s="173">
        <v>1</v>
      </c>
      <c r="G41" s="173" t="s">
        <v>189</v>
      </c>
      <c r="H41" s="173">
        <v>1</v>
      </c>
      <c r="I41" s="173" t="s">
        <v>1469</v>
      </c>
      <c r="J41" s="173" t="s">
        <v>354</v>
      </c>
      <c r="K41" s="173" t="s">
        <v>355</v>
      </c>
      <c r="L41" s="173"/>
      <c r="M41" s="173" t="s">
        <v>184</v>
      </c>
      <c r="N41" s="173">
        <v>860062808</v>
      </c>
      <c r="O41" s="175">
        <v>6133613</v>
      </c>
      <c r="P41" s="7"/>
      <c r="Q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1" s="9">
        <f>+IFERROR(VLOOKUP(Tabla3[[#This Row],[Cliente factura]],Tabla4[[NIT]:[TOTAL CREDITO]],6,FALSE),0)</f>
        <v>0</v>
      </c>
      <c r="S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" s="10" t="str">
        <f>VLOOKUP(Tabla3[[#This Row],[Razón social cliente factura]]&amp;Tabla3[[#This Row],[Desc. ciudad]],'Estandar de Rutas'!$C$1:$E$553,2,FALSE)</f>
        <v>7.2</v>
      </c>
      <c r="U41" s="130">
        <f>IFERROR(VLOOKUP(Tabla3[[#This Row],[Referencia]]&amp;Tabla3[[#This Row],[Desc detalle ext 1]],Tabla1[[Referencia-Color]:[Disponibilidad]],3,FALSE),0)</f>
        <v>0</v>
      </c>
      <c r="V41" s="13"/>
      <c r="W41" s="17">
        <f>+Tabla3[[#This Row],[Cant. Programada]]*Tabla3[[#This Row],[Precio unit]]</f>
        <v>0</v>
      </c>
      <c r="X41" s="8"/>
      <c r="Y41" s="8"/>
      <c r="Z41" s="8" t="str">
        <f>+Tabla3[[#This Row],[Referencia]]&amp;Tabla3[[#This Row],[Desc detalle ext 1]]</f>
        <v>CB 160F DLX                                       NEGRO PER</v>
      </c>
      <c r="AA41" s="128" t="e">
        <f>+VLOOKUP(Tabla3[[#This Row],[CODIGO2]],ESTANDAR!$B$3:$C$9,2,FALSE)</f>
        <v>#N/A</v>
      </c>
      <c r="AB41" s="128" t="str">
        <f>+MID(Tabla3[[#This Row],['# Viaje]],10,1)</f>
        <v/>
      </c>
    </row>
    <row r="42" spans="1:28" ht="15" hidden="1" customHeight="1">
      <c r="A42" s="173" t="s">
        <v>1468</v>
      </c>
      <c r="B42" s="174">
        <v>42948</v>
      </c>
      <c r="C42" s="173" t="s">
        <v>1231</v>
      </c>
      <c r="D42" s="173" t="s">
        <v>1237</v>
      </c>
      <c r="E42" s="173" t="s">
        <v>1232</v>
      </c>
      <c r="F42" s="173">
        <v>1</v>
      </c>
      <c r="G42" s="173" t="s">
        <v>189</v>
      </c>
      <c r="H42" s="173">
        <v>1</v>
      </c>
      <c r="I42" s="173" t="s">
        <v>1469</v>
      </c>
      <c r="J42" s="173" t="s">
        <v>1433</v>
      </c>
      <c r="K42" s="173" t="s">
        <v>1431</v>
      </c>
      <c r="L42" s="173"/>
      <c r="M42" s="173" t="s">
        <v>184</v>
      </c>
      <c r="N42" s="173">
        <v>860062808</v>
      </c>
      <c r="O42" s="175">
        <v>3521008</v>
      </c>
      <c r="P42" s="7"/>
      <c r="Q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2" s="9">
        <f>+IFERROR(VLOOKUP(Tabla3[[#This Row],[Cliente factura]],Tabla4[[NIT]:[TOTAL CREDITO]],6,FALSE),0)</f>
        <v>0</v>
      </c>
      <c r="S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" s="10" t="str">
        <f>VLOOKUP(Tabla3[[#This Row],[Razón social cliente factura]]&amp;Tabla3[[#This Row],[Desc. ciudad]],'Estandar de Rutas'!$C$1:$E$553,2,FALSE)</f>
        <v>7.2</v>
      </c>
      <c r="U42" s="130">
        <f>IFERROR(VLOOKUP(Tabla3[[#This Row],[Referencia]]&amp;Tabla3[[#This Row],[Desc detalle ext 1]],Tabla1[[Referencia-Color]:[Disponibilidad]],3,FALSE),0)</f>
        <v>0</v>
      </c>
      <c r="V42" s="13"/>
      <c r="W42" s="17">
        <f>+Tabla3[[#This Row],[Cant. Programada]]*Tabla3[[#This Row],[Precio unit]]</f>
        <v>0</v>
      </c>
      <c r="X42" s="129"/>
      <c r="Y42" s="129"/>
      <c r="Z42" s="8" t="str">
        <f>+Tabla3[[#This Row],[Referencia]]&amp;Tabla3[[#This Row],[Desc detalle ext 1]]</f>
        <v xml:space="preserve">DIO  110                                          ROJO     </v>
      </c>
      <c r="AA42" s="128" t="e">
        <f>+VLOOKUP(Tabla3[[#This Row],[CODIGO2]],ESTANDAR!$B$3:$C$9,2,FALSE)</f>
        <v>#N/A</v>
      </c>
      <c r="AB42" s="128" t="str">
        <f>+MID(Tabla3[[#This Row],['# Viaje]],10,1)</f>
        <v/>
      </c>
    </row>
    <row r="43" spans="1:28" ht="15" hidden="1" customHeight="1">
      <c r="A43" s="173" t="s">
        <v>1468</v>
      </c>
      <c r="B43" s="174">
        <v>42948</v>
      </c>
      <c r="C43" s="173" t="s">
        <v>1231</v>
      </c>
      <c r="D43" s="173" t="s">
        <v>1237</v>
      </c>
      <c r="E43" s="173" t="s">
        <v>1232</v>
      </c>
      <c r="F43" s="173">
        <v>1</v>
      </c>
      <c r="G43" s="173" t="s">
        <v>189</v>
      </c>
      <c r="H43" s="173">
        <v>1</v>
      </c>
      <c r="I43" s="173" t="s">
        <v>1469</v>
      </c>
      <c r="J43" s="173" t="s">
        <v>1234</v>
      </c>
      <c r="K43" s="173" t="s">
        <v>17</v>
      </c>
      <c r="L43" s="173"/>
      <c r="M43" s="173" t="s">
        <v>184</v>
      </c>
      <c r="N43" s="173">
        <v>860062808</v>
      </c>
      <c r="O43" s="175">
        <v>5453782</v>
      </c>
      <c r="P43" s="7"/>
      <c r="Q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" s="9">
        <f>+IFERROR(VLOOKUP(Tabla3[[#This Row],[Cliente factura]],Tabla4[[NIT]:[TOTAL CREDITO]],6,FALSE),0)</f>
        <v>0</v>
      </c>
      <c r="S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" s="10" t="str">
        <f>VLOOKUP(Tabla3[[#This Row],[Razón social cliente factura]]&amp;Tabla3[[#This Row],[Desc. ciudad]],'Estandar de Rutas'!$C$1:$E$553,2,FALSE)</f>
        <v>7.2</v>
      </c>
      <c r="U43" s="130">
        <f>IFERROR(VLOOKUP(Tabla3[[#This Row],[Referencia]]&amp;Tabla3[[#This Row],[Desc detalle ext 1]],Tabla1[[Referencia-Color]:[Disponibilidad]],3,FALSE),0)</f>
        <v>0</v>
      </c>
      <c r="V43" s="13"/>
      <c r="W43" s="17">
        <f>+Tabla3[[#This Row],[Cant. Programada]]*Tabla3[[#This Row],[Precio unit]]</f>
        <v>0</v>
      </c>
      <c r="X43" s="8"/>
      <c r="Y43" s="8"/>
      <c r="Z43" s="8" t="str">
        <f>+Tabla3[[#This Row],[Referencia]]&amp;Tabla3[[#This Row],[Desc detalle ext 1]]</f>
        <v>CB 160F STD                                       ROJO SPOR</v>
      </c>
      <c r="AA43" s="128" t="e">
        <f>+VLOOKUP(Tabla3[[#This Row],[CODIGO2]],ESTANDAR!$B$3:$C$9,2,FALSE)</f>
        <v>#N/A</v>
      </c>
      <c r="AB43" s="128" t="str">
        <f>+MID(Tabla3[[#This Row],['# Viaje]],10,1)</f>
        <v/>
      </c>
    </row>
    <row r="44" spans="1:28" ht="15" hidden="1" customHeight="1">
      <c r="A44" s="173" t="s">
        <v>1468</v>
      </c>
      <c r="B44" s="174">
        <v>42948</v>
      </c>
      <c r="C44" s="173" t="s">
        <v>1231</v>
      </c>
      <c r="D44" s="173" t="s">
        <v>1237</v>
      </c>
      <c r="E44" s="173" t="s">
        <v>1232</v>
      </c>
      <c r="F44" s="173">
        <v>1</v>
      </c>
      <c r="G44" s="173" t="s">
        <v>189</v>
      </c>
      <c r="H44" s="173">
        <v>1</v>
      </c>
      <c r="I44" s="173" t="s">
        <v>1469</v>
      </c>
      <c r="J44" s="173" t="s">
        <v>1234</v>
      </c>
      <c r="K44" s="173" t="s">
        <v>355</v>
      </c>
      <c r="L44" s="173"/>
      <c r="M44" s="173" t="s">
        <v>184</v>
      </c>
      <c r="N44" s="173">
        <v>860062808</v>
      </c>
      <c r="O44" s="175">
        <v>5453782</v>
      </c>
      <c r="P44" s="7"/>
      <c r="Q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" s="9">
        <f>+IFERROR(VLOOKUP(Tabla3[[#This Row],[Cliente factura]],Tabla4[[NIT]:[TOTAL CREDITO]],6,FALSE),0)</f>
        <v>0</v>
      </c>
      <c r="S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" s="10" t="str">
        <f>VLOOKUP(Tabla3[[#This Row],[Razón social cliente factura]]&amp;Tabla3[[#This Row],[Desc. ciudad]],'Estandar de Rutas'!$C$1:$E$553,2,FALSE)</f>
        <v>7.2</v>
      </c>
      <c r="U44" s="130">
        <f>IFERROR(VLOOKUP(Tabla3[[#This Row],[Referencia]]&amp;Tabla3[[#This Row],[Desc detalle ext 1]],Tabla1[[Referencia-Color]:[Disponibilidad]],3,FALSE),0)</f>
        <v>0</v>
      </c>
      <c r="V44" s="13"/>
      <c r="W44" s="17">
        <f>+Tabla3[[#This Row],[Cant. Programada]]*Tabla3[[#This Row],[Precio unit]]</f>
        <v>0</v>
      </c>
      <c r="X44" s="8"/>
      <c r="Y44" s="8"/>
      <c r="Z44" s="8" t="str">
        <f>+Tabla3[[#This Row],[Referencia]]&amp;Tabla3[[#This Row],[Desc detalle ext 1]]</f>
        <v>CB 160F STD                                       NEGRO PER</v>
      </c>
      <c r="AA44" s="128" t="e">
        <f>+VLOOKUP(Tabla3[[#This Row],[CODIGO2]],ESTANDAR!$B$3:$C$9,2,FALSE)</f>
        <v>#N/A</v>
      </c>
      <c r="AB44" s="128" t="str">
        <f>+MID(Tabla3[[#This Row],['# Viaje]],10,1)</f>
        <v/>
      </c>
    </row>
    <row r="45" spans="1:28" ht="15" hidden="1" customHeight="1">
      <c r="A45" s="173" t="s">
        <v>1468</v>
      </c>
      <c r="B45" s="174">
        <v>42948</v>
      </c>
      <c r="C45" s="173" t="s">
        <v>1231</v>
      </c>
      <c r="D45" s="173" t="s">
        <v>1237</v>
      </c>
      <c r="E45" s="173" t="s">
        <v>1232</v>
      </c>
      <c r="F45" s="173">
        <v>1</v>
      </c>
      <c r="G45" s="173" t="s">
        <v>189</v>
      </c>
      <c r="H45" s="173">
        <v>1</v>
      </c>
      <c r="I45" s="173" t="s">
        <v>1469</v>
      </c>
      <c r="J45" s="173" t="s">
        <v>1234</v>
      </c>
      <c r="K45" s="173" t="s">
        <v>44</v>
      </c>
      <c r="L45" s="173"/>
      <c r="M45" s="173" t="s">
        <v>184</v>
      </c>
      <c r="N45" s="173">
        <v>860062808</v>
      </c>
      <c r="O45" s="175">
        <v>5453782</v>
      </c>
      <c r="P45" s="7"/>
      <c r="Q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" s="9">
        <f>+IFERROR(VLOOKUP(Tabla3[[#This Row],[Cliente factura]],Tabla4[[NIT]:[TOTAL CREDITO]],6,FALSE),0)</f>
        <v>0</v>
      </c>
      <c r="S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" s="10" t="str">
        <f>VLOOKUP(Tabla3[[#This Row],[Razón social cliente factura]]&amp;Tabla3[[#This Row],[Desc. ciudad]],'Estandar de Rutas'!$C$1:$E$553,2,FALSE)</f>
        <v>7.2</v>
      </c>
      <c r="U45" s="130">
        <f>IFERROR(VLOOKUP(Tabla3[[#This Row],[Referencia]]&amp;Tabla3[[#This Row],[Desc detalle ext 1]],Tabla1[[Referencia-Color]:[Disponibilidad]],3,FALSE),0)</f>
        <v>1</v>
      </c>
      <c r="V45" s="13"/>
      <c r="W45" s="17">
        <f>+Tabla3[[#This Row],[Cant. Programada]]*Tabla3[[#This Row],[Precio unit]]</f>
        <v>0</v>
      </c>
      <c r="X45" s="8"/>
      <c r="Y45" s="8"/>
      <c r="Z45" s="8" t="str">
        <f>+Tabla3[[#This Row],[Referencia]]&amp;Tabla3[[#This Row],[Desc detalle ext 1]]</f>
        <v>CB 160F STD                                       BLANCO PE</v>
      </c>
      <c r="AA45" s="128" t="e">
        <f>+VLOOKUP(Tabla3[[#This Row],[CODIGO2]],ESTANDAR!$B$3:$C$9,2,FALSE)</f>
        <v>#N/A</v>
      </c>
      <c r="AB45" s="128" t="str">
        <f>+MID(Tabla3[[#This Row],['# Viaje]],10,1)</f>
        <v/>
      </c>
    </row>
    <row r="46" spans="1:28" ht="15" hidden="1" customHeight="1">
      <c r="A46" s="173" t="s">
        <v>1468</v>
      </c>
      <c r="B46" s="174">
        <v>42948</v>
      </c>
      <c r="C46" s="173" t="s">
        <v>1231</v>
      </c>
      <c r="D46" s="173" t="s">
        <v>1237</v>
      </c>
      <c r="E46" s="173" t="s">
        <v>1232</v>
      </c>
      <c r="F46" s="173">
        <v>3</v>
      </c>
      <c r="G46" s="173" t="s">
        <v>189</v>
      </c>
      <c r="H46" s="173">
        <v>3</v>
      </c>
      <c r="I46" s="173" t="s">
        <v>1469</v>
      </c>
      <c r="J46" s="173" t="s">
        <v>1451</v>
      </c>
      <c r="K46" s="173" t="s">
        <v>16</v>
      </c>
      <c r="L46" s="173"/>
      <c r="M46" s="173" t="s">
        <v>184</v>
      </c>
      <c r="N46" s="173">
        <v>860062808</v>
      </c>
      <c r="O46" s="175">
        <v>3696639</v>
      </c>
      <c r="P46" s="7"/>
      <c r="Q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" s="9">
        <f>+IFERROR(VLOOKUP(Tabla3[[#This Row],[Cliente factura]],Tabla4[[NIT]:[TOTAL CREDITO]],6,FALSE),0)</f>
        <v>0</v>
      </c>
      <c r="S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" s="10" t="str">
        <f>VLOOKUP(Tabla3[[#This Row],[Razón social cliente factura]]&amp;Tabla3[[#This Row],[Desc. ciudad]],'Estandar de Rutas'!$C$1:$E$553,2,FALSE)</f>
        <v>7.2</v>
      </c>
      <c r="U46" s="130">
        <f>IFERROR(VLOOKUP(Tabla3[[#This Row],[Referencia]]&amp;Tabla3[[#This Row],[Desc detalle ext 1]],Tabla1[[Referencia-Color]:[Disponibilidad]],3,FALSE),0)</f>
        <v>3</v>
      </c>
      <c r="V46" s="13"/>
      <c r="W46" s="17">
        <f>+Tabla3[[#This Row],[Cant. Programada]]*Tabla3[[#This Row],[Precio unit]]</f>
        <v>0</v>
      </c>
      <c r="X46" s="8"/>
      <c r="Y46" s="8"/>
      <c r="Z46" s="8" t="str">
        <f>+Tabla3[[#This Row],[Referencia]]&amp;Tabla3[[#This Row],[Desc detalle ext 1]]</f>
        <v xml:space="preserve">CB 110 DLX                                        NEGRO    </v>
      </c>
      <c r="AA46" s="128" t="e">
        <f>+VLOOKUP(Tabla3[[#This Row],[CODIGO2]],ESTANDAR!$B$3:$C$9,2,FALSE)</f>
        <v>#N/A</v>
      </c>
      <c r="AB46" s="128" t="str">
        <f>+MID(Tabla3[[#This Row],['# Viaje]],10,1)</f>
        <v/>
      </c>
    </row>
    <row r="47" spans="1:28" ht="15" hidden="1" customHeight="1">
      <c r="A47" s="173" t="s">
        <v>1470</v>
      </c>
      <c r="B47" s="174">
        <v>42948</v>
      </c>
      <c r="C47" s="173" t="s">
        <v>1231</v>
      </c>
      <c r="D47" s="173" t="s">
        <v>1237</v>
      </c>
      <c r="E47" s="173" t="s">
        <v>1232</v>
      </c>
      <c r="F47" s="173">
        <v>1</v>
      </c>
      <c r="G47" s="173" t="s">
        <v>189</v>
      </c>
      <c r="H47" s="173">
        <v>1</v>
      </c>
      <c r="I47" s="173" t="s">
        <v>1471</v>
      </c>
      <c r="J47" s="173" t="s">
        <v>27</v>
      </c>
      <c r="K47" s="173" t="s">
        <v>26</v>
      </c>
      <c r="L47" s="173"/>
      <c r="M47" s="173" t="s">
        <v>254</v>
      </c>
      <c r="N47" s="173">
        <v>860062808</v>
      </c>
      <c r="O47" s="175">
        <v>5789916</v>
      </c>
      <c r="P47" s="7"/>
      <c r="Q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7" s="9">
        <f>+IFERROR(VLOOKUP(Tabla3[[#This Row],[Cliente factura]],Tabla4[[NIT]:[TOTAL CREDITO]],6,FALSE),0)</f>
        <v>0</v>
      </c>
      <c r="S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7" s="10" t="str">
        <f>VLOOKUP(Tabla3[[#This Row],[Razón social cliente factura]]&amp;Tabla3[[#This Row],[Desc. ciudad]],'Estandar de Rutas'!$C$1:$E$553,2,FALSE)</f>
        <v>7.1.A</v>
      </c>
      <c r="U47" s="130">
        <f>IFERROR(VLOOKUP(Tabla3[[#This Row],[Referencia]]&amp;Tabla3[[#This Row],[Desc detalle ext 1]],Tabla1[[Referencia-Color]:[Disponibilidad]],3,FALSE),0)</f>
        <v>59</v>
      </c>
      <c r="V47" s="13"/>
      <c r="W47" s="17">
        <f>+Tabla3[[#This Row],[Cant. Programada]]*Tabla3[[#This Row],[Precio unit]]</f>
        <v>0</v>
      </c>
      <c r="X47" s="8"/>
      <c r="Y47" s="8"/>
      <c r="Z47" s="8" t="str">
        <f>+Tabla3[[#This Row],[Referencia]]&amp;Tabla3[[#This Row],[Desc detalle ext 1]]</f>
        <v>*XR 150L                                          NEGRO BLA</v>
      </c>
      <c r="AA47" s="128" t="e">
        <f>+VLOOKUP(Tabla3[[#This Row],[CODIGO2]],ESTANDAR!$B$3:$C$9,2,FALSE)</f>
        <v>#N/A</v>
      </c>
      <c r="AB47" s="128" t="str">
        <f>+MID(Tabla3[[#This Row],['# Viaje]],10,1)</f>
        <v/>
      </c>
    </row>
    <row r="48" spans="1:28" ht="15" hidden="1" customHeight="1">
      <c r="A48" s="173" t="s">
        <v>1470</v>
      </c>
      <c r="B48" s="174">
        <v>42948</v>
      </c>
      <c r="C48" s="173" t="s">
        <v>1231</v>
      </c>
      <c r="D48" s="173" t="s">
        <v>1237</v>
      </c>
      <c r="E48" s="173" t="s">
        <v>1232</v>
      </c>
      <c r="F48" s="173">
        <v>1</v>
      </c>
      <c r="G48" s="173" t="s">
        <v>189</v>
      </c>
      <c r="H48" s="173">
        <v>1</v>
      </c>
      <c r="I48" s="173" t="s">
        <v>1471</v>
      </c>
      <c r="J48" s="173" t="s">
        <v>1234</v>
      </c>
      <c r="K48" s="173" t="s">
        <v>17</v>
      </c>
      <c r="L48" s="173"/>
      <c r="M48" s="173" t="s">
        <v>254</v>
      </c>
      <c r="N48" s="173">
        <v>860062808</v>
      </c>
      <c r="O48" s="175">
        <v>5453782</v>
      </c>
      <c r="P48" s="7"/>
      <c r="Q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8" s="9">
        <f>+IFERROR(VLOOKUP(Tabla3[[#This Row],[Cliente factura]],Tabla4[[NIT]:[TOTAL CREDITO]],6,FALSE),0)</f>
        <v>0</v>
      </c>
      <c r="S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8" s="10" t="str">
        <f>VLOOKUP(Tabla3[[#This Row],[Razón social cliente factura]]&amp;Tabla3[[#This Row],[Desc. ciudad]],'Estandar de Rutas'!$C$1:$E$553,2,FALSE)</f>
        <v>7.1.A</v>
      </c>
      <c r="U48" s="130">
        <f>IFERROR(VLOOKUP(Tabla3[[#This Row],[Referencia]]&amp;Tabla3[[#This Row],[Desc detalle ext 1]],Tabla1[[Referencia-Color]:[Disponibilidad]],3,FALSE),0)</f>
        <v>0</v>
      </c>
      <c r="V48" s="13"/>
      <c r="W48" s="17">
        <f>+Tabla3[[#This Row],[Cant. Programada]]*Tabla3[[#This Row],[Precio unit]]</f>
        <v>0</v>
      </c>
      <c r="X48" s="129"/>
      <c r="Y48" s="8"/>
      <c r="Z48" s="8" t="str">
        <f>+Tabla3[[#This Row],[Referencia]]&amp;Tabla3[[#This Row],[Desc detalle ext 1]]</f>
        <v>CB 160F STD                                       ROJO SPOR</v>
      </c>
      <c r="AA48" s="128" t="e">
        <f>+VLOOKUP(Tabla3[[#This Row],[CODIGO2]],ESTANDAR!$B$3:$C$9,2,FALSE)</f>
        <v>#N/A</v>
      </c>
      <c r="AB48" s="128" t="str">
        <f>+MID(Tabla3[[#This Row],['# Viaje]],10,1)</f>
        <v/>
      </c>
    </row>
    <row r="49" spans="1:28" ht="15" hidden="1" customHeight="1">
      <c r="A49" s="173" t="s">
        <v>1470</v>
      </c>
      <c r="B49" s="174">
        <v>42948</v>
      </c>
      <c r="C49" s="173" t="s">
        <v>1231</v>
      </c>
      <c r="D49" s="173" t="s">
        <v>1237</v>
      </c>
      <c r="E49" s="173" t="s">
        <v>1232</v>
      </c>
      <c r="F49" s="173">
        <v>1</v>
      </c>
      <c r="G49" s="173" t="s">
        <v>189</v>
      </c>
      <c r="H49" s="173">
        <v>1</v>
      </c>
      <c r="I49" s="173" t="s">
        <v>1471</v>
      </c>
      <c r="J49" s="173" t="s">
        <v>1234</v>
      </c>
      <c r="K49" s="173" t="s">
        <v>355</v>
      </c>
      <c r="L49" s="173"/>
      <c r="M49" s="173" t="s">
        <v>254</v>
      </c>
      <c r="N49" s="173">
        <v>860062808</v>
      </c>
      <c r="O49" s="175">
        <v>5453782</v>
      </c>
      <c r="P49" s="7"/>
      <c r="Q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9" s="9">
        <f>+IFERROR(VLOOKUP(Tabla3[[#This Row],[Cliente factura]],Tabla4[[NIT]:[TOTAL CREDITO]],6,FALSE),0)</f>
        <v>0</v>
      </c>
      <c r="S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" s="10" t="str">
        <f>VLOOKUP(Tabla3[[#This Row],[Razón social cliente factura]]&amp;Tabla3[[#This Row],[Desc. ciudad]],'Estandar de Rutas'!$C$1:$E$553,2,FALSE)</f>
        <v>7.1.A</v>
      </c>
      <c r="U49" s="130">
        <f>IFERROR(VLOOKUP(Tabla3[[#This Row],[Referencia]]&amp;Tabla3[[#This Row],[Desc detalle ext 1]],Tabla1[[Referencia-Color]:[Disponibilidad]],3,FALSE),0)</f>
        <v>0</v>
      </c>
      <c r="V49" s="13"/>
      <c r="W49" s="17">
        <f>+Tabla3[[#This Row],[Cant. Programada]]*Tabla3[[#This Row],[Precio unit]]</f>
        <v>0</v>
      </c>
      <c r="X49" s="8"/>
      <c r="Y49" s="8"/>
      <c r="Z49" s="8" t="str">
        <f>+Tabla3[[#This Row],[Referencia]]&amp;Tabla3[[#This Row],[Desc detalle ext 1]]</f>
        <v>CB 160F STD                                       NEGRO PER</v>
      </c>
      <c r="AA49" s="128" t="e">
        <f>+VLOOKUP(Tabla3[[#This Row],[CODIGO2]],ESTANDAR!$B$3:$C$9,2,FALSE)</f>
        <v>#N/A</v>
      </c>
      <c r="AB49" s="128" t="str">
        <f>+MID(Tabla3[[#This Row],['# Viaje]],10,1)</f>
        <v/>
      </c>
    </row>
    <row r="50" spans="1:28" ht="15" hidden="1" customHeight="1">
      <c r="A50" s="173" t="s">
        <v>1470</v>
      </c>
      <c r="B50" s="174">
        <v>42948</v>
      </c>
      <c r="C50" s="173" t="s">
        <v>1231</v>
      </c>
      <c r="D50" s="173" t="s">
        <v>1237</v>
      </c>
      <c r="E50" s="173" t="s">
        <v>1232</v>
      </c>
      <c r="F50" s="173">
        <v>4</v>
      </c>
      <c r="G50" s="173" t="s">
        <v>189</v>
      </c>
      <c r="H50" s="173">
        <v>4</v>
      </c>
      <c r="I50" s="173" t="s">
        <v>1471</v>
      </c>
      <c r="J50" s="173" t="s">
        <v>1451</v>
      </c>
      <c r="K50" s="173" t="s">
        <v>16</v>
      </c>
      <c r="L50" s="173"/>
      <c r="M50" s="173" t="s">
        <v>254</v>
      </c>
      <c r="N50" s="173">
        <v>860062808</v>
      </c>
      <c r="O50" s="175">
        <v>3696639</v>
      </c>
      <c r="P50" s="7"/>
      <c r="Q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0" s="9">
        <f>+IFERROR(VLOOKUP(Tabla3[[#This Row],[Cliente factura]],Tabla4[[NIT]:[TOTAL CREDITO]],6,FALSE),0)</f>
        <v>0</v>
      </c>
      <c r="S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0" s="10" t="str">
        <f>VLOOKUP(Tabla3[[#This Row],[Razón social cliente factura]]&amp;Tabla3[[#This Row],[Desc. ciudad]],'Estandar de Rutas'!$C$1:$E$553,2,FALSE)</f>
        <v>7.1.A</v>
      </c>
      <c r="U50" s="130">
        <f>IFERROR(VLOOKUP(Tabla3[[#This Row],[Referencia]]&amp;Tabla3[[#This Row],[Desc detalle ext 1]],Tabla1[[Referencia-Color]:[Disponibilidad]],3,FALSE),0)</f>
        <v>3</v>
      </c>
      <c r="V50" s="13"/>
      <c r="W50" s="17">
        <f>+Tabla3[[#This Row],[Cant. Programada]]*Tabla3[[#This Row],[Precio unit]]</f>
        <v>0</v>
      </c>
      <c r="X50" s="8"/>
      <c r="Y50" s="8"/>
      <c r="Z50" s="8" t="str">
        <f>+Tabla3[[#This Row],[Referencia]]&amp;Tabla3[[#This Row],[Desc detalle ext 1]]</f>
        <v xml:space="preserve">CB 110 DLX                                        NEGRO    </v>
      </c>
      <c r="AA50" s="128" t="e">
        <f>+VLOOKUP(Tabla3[[#This Row],[CODIGO2]],ESTANDAR!$B$3:$C$9,2,FALSE)</f>
        <v>#N/A</v>
      </c>
      <c r="AB50" s="128" t="str">
        <f>+MID(Tabla3[[#This Row],['# Viaje]],10,1)</f>
        <v/>
      </c>
    </row>
    <row r="51" spans="1:28" ht="15" hidden="1" customHeight="1">
      <c r="A51" s="173" t="s">
        <v>1472</v>
      </c>
      <c r="B51" s="174">
        <v>42948</v>
      </c>
      <c r="C51" s="173" t="s">
        <v>1231</v>
      </c>
      <c r="D51" s="173" t="s">
        <v>1237</v>
      </c>
      <c r="E51" s="173" t="s">
        <v>1232</v>
      </c>
      <c r="F51" s="173">
        <v>2</v>
      </c>
      <c r="G51" s="173" t="s">
        <v>189</v>
      </c>
      <c r="H51" s="173">
        <v>2</v>
      </c>
      <c r="I51" s="173" t="s">
        <v>1473</v>
      </c>
      <c r="J51" s="173" t="s">
        <v>14</v>
      </c>
      <c r="K51" s="173" t="s">
        <v>16</v>
      </c>
      <c r="L51" s="173"/>
      <c r="M51" s="173" t="s">
        <v>184</v>
      </c>
      <c r="N51" s="173">
        <v>860062808</v>
      </c>
      <c r="O51" s="175">
        <v>3360504</v>
      </c>
      <c r="P51" s="7"/>
      <c r="Q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1" s="9">
        <f>+IFERROR(VLOOKUP(Tabla3[[#This Row],[Cliente factura]],Tabla4[[NIT]:[TOTAL CREDITO]],6,FALSE),0)</f>
        <v>0</v>
      </c>
      <c r="S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" s="10" t="str">
        <f>VLOOKUP(Tabla3[[#This Row],[Razón social cliente factura]]&amp;Tabla3[[#This Row],[Desc. ciudad]],'Estandar de Rutas'!$C$1:$E$553,2,FALSE)</f>
        <v>7.2</v>
      </c>
      <c r="U51" s="130">
        <f>IFERROR(VLOOKUP(Tabla3[[#This Row],[Referencia]]&amp;Tabla3[[#This Row],[Desc detalle ext 1]],Tabla1[[Referencia-Color]:[Disponibilidad]],3,FALSE),0)</f>
        <v>83</v>
      </c>
      <c r="V51" s="13"/>
      <c r="W51" s="17">
        <f>+Tabla3[[#This Row],[Cant. Programada]]*Tabla3[[#This Row],[Precio unit]]</f>
        <v>0</v>
      </c>
      <c r="X51" s="129"/>
      <c r="Y51" s="8"/>
      <c r="Z51" s="8" t="str">
        <f>+Tabla3[[#This Row],[Referencia]]&amp;Tabla3[[#This Row],[Desc detalle ext 1]]</f>
        <v xml:space="preserve">*CB-110                                           NEGRO    </v>
      </c>
      <c r="AA51" s="128" t="e">
        <f>+VLOOKUP(Tabla3[[#This Row],[CODIGO2]],ESTANDAR!$B$3:$C$9,2,FALSE)</f>
        <v>#N/A</v>
      </c>
      <c r="AB51" s="128" t="str">
        <f>+MID(Tabla3[[#This Row],['# Viaje]],10,1)</f>
        <v/>
      </c>
    </row>
    <row r="52" spans="1:28" ht="15" hidden="1" customHeight="1">
      <c r="A52" s="173" t="s">
        <v>1472</v>
      </c>
      <c r="B52" s="174">
        <v>42948</v>
      </c>
      <c r="C52" s="173" t="s">
        <v>1231</v>
      </c>
      <c r="D52" s="173" t="s">
        <v>1237</v>
      </c>
      <c r="E52" s="173" t="s">
        <v>1232</v>
      </c>
      <c r="F52" s="173">
        <v>1</v>
      </c>
      <c r="G52" s="173" t="s">
        <v>189</v>
      </c>
      <c r="H52" s="173">
        <v>1</v>
      </c>
      <c r="I52" s="173" t="s">
        <v>1473</v>
      </c>
      <c r="J52" s="173" t="s">
        <v>27</v>
      </c>
      <c r="K52" s="173" t="s">
        <v>26</v>
      </c>
      <c r="L52" s="173"/>
      <c r="M52" s="173" t="s">
        <v>184</v>
      </c>
      <c r="N52" s="173">
        <v>860062808</v>
      </c>
      <c r="O52" s="175">
        <v>5789916</v>
      </c>
      <c r="P52" s="7"/>
      <c r="Q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2" s="9">
        <f>+IFERROR(VLOOKUP(Tabla3[[#This Row],[Cliente factura]],Tabla4[[NIT]:[TOTAL CREDITO]],6,FALSE),0)</f>
        <v>0</v>
      </c>
      <c r="S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" s="10" t="str">
        <f>VLOOKUP(Tabla3[[#This Row],[Razón social cliente factura]]&amp;Tabla3[[#This Row],[Desc. ciudad]],'Estandar de Rutas'!$C$1:$E$553,2,FALSE)</f>
        <v>7.2</v>
      </c>
      <c r="U52" s="130">
        <f>IFERROR(VLOOKUP(Tabla3[[#This Row],[Referencia]]&amp;Tabla3[[#This Row],[Desc detalle ext 1]],Tabla1[[Referencia-Color]:[Disponibilidad]],3,FALSE),0)</f>
        <v>59</v>
      </c>
      <c r="V52" s="13"/>
      <c r="W52" s="17">
        <f>+Tabla3[[#This Row],[Cant. Programada]]*Tabla3[[#This Row],[Precio unit]]</f>
        <v>0</v>
      </c>
      <c r="X52" s="129"/>
      <c r="Y52" s="8"/>
      <c r="Z52" s="8" t="str">
        <f>+Tabla3[[#This Row],[Referencia]]&amp;Tabla3[[#This Row],[Desc detalle ext 1]]</f>
        <v>*XR 150L                                          NEGRO BLA</v>
      </c>
      <c r="AA52" s="128" t="e">
        <f>+VLOOKUP(Tabla3[[#This Row],[CODIGO2]],ESTANDAR!$B$3:$C$9,2,FALSE)</f>
        <v>#N/A</v>
      </c>
      <c r="AB52" s="128" t="str">
        <f>+MID(Tabla3[[#This Row],['# Viaje]],10,1)</f>
        <v/>
      </c>
    </row>
    <row r="53" spans="1:28" ht="15" hidden="1" customHeight="1">
      <c r="A53" s="173" t="s">
        <v>1472</v>
      </c>
      <c r="B53" s="174">
        <v>42948</v>
      </c>
      <c r="C53" s="173" t="s">
        <v>1231</v>
      </c>
      <c r="D53" s="173" t="s">
        <v>1237</v>
      </c>
      <c r="E53" s="173" t="s">
        <v>1232</v>
      </c>
      <c r="F53" s="173">
        <v>2</v>
      </c>
      <c r="G53" s="173" t="s">
        <v>189</v>
      </c>
      <c r="H53" s="173">
        <v>2</v>
      </c>
      <c r="I53" s="173" t="s">
        <v>1473</v>
      </c>
      <c r="J53" s="173" t="s">
        <v>10</v>
      </c>
      <c r="K53" s="173" t="s">
        <v>13</v>
      </c>
      <c r="L53" s="173"/>
      <c r="M53" s="173" t="s">
        <v>184</v>
      </c>
      <c r="N53" s="173">
        <v>860062808</v>
      </c>
      <c r="O53" s="175">
        <v>7554622</v>
      </c>
      <c r="P53" s="7"/>
      <c r="Q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3" s="9">
        <f>+IFERROR(VLOOKUP(Tabla3[[#This Row],[Cliente factura]],Tabla4[[NIT]:[TOTAL CREDITO]],6,FALSE),0)</f>
        <v>0</v>
      </c>
      <c r="S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" s="10" t="str">
        <f>VLOOKUP(Tabla3[[#This Row],[Razón social cliente factura]]&amp;Tabla3[[#This Row],[Desc. ciudad]],'Estandar de Rutas'!$C$1:$E$553,2,FALSE)</f>
        <v>7.2</v>
      </c>
      <c r="U53" s="130">
        <f>IFERROR(VLOOKUP(Tabla3[[#This Row],[Referencia]]&amp;Tabla3[[#This Row],[Desc detalle ext 1]],Tabla1[[Referencia-Color]:[Disponibilidad]],3,FALSE),0)</f>
        <v>75</v>
      </c>
      <c r="V53" s="13"/>
      <c r="W53" s="17">
        <f>+Tabla3[[#This Row],[Cant. Programada]]*Tabla3[[#This Row],[Precio unit]]</f>
        <v>0</v>
      </c>
      <c r="X53" s="129"/>
      <c r="Y53" s="8"/>
      <c r="Z53" s="8" t="str">
        <f>+Tabla3[[#This Row],[Referencia]]&amp;Tabla3[[#This Row],[Desc detalle ext 1]]</f>
        <v>CB 190R                                           ROJO NEGR</v>
      </c>
      <c r="AA53" s="128" t="e">
        <f>+VLOOKUP(Tabla3[[#This Row],[CODIGO2]],ESTANDAR!$B$3:$C$9,2,FALSE)</f>
        <v>#N/A</v>
      </c>
      <c r="AB53" s="128" t="str">
        <f>+MID(Tabla3[[#This Row],['# Viaje]],10,1)</f>
        <v/>
      </c>
    </row>
    <row r="54" spans="1:28" ht="15" hidden="1" customHeight="1">
      <c r="A54" s="173" t="s">
        <v>1472</v>
      </c>
      <c r="B54" s="174">
        <v>42948</v>
      </c>
      <c r="C54" s="173" t="s">
        <v>1231</v>
      </c>
      <c r="D54" s="173" t="s">
        <v>1237</v>
      </c>
      <c r="E54" s="173" t="s">
        <v>1232</v>
      </c>
      <c r="F54" s="173">
        <v>4</v>
      </c>
      <c r="G54" s="173" t="s">
        <v>189</v>
      </c>
      <c r="H54" s="173">
        <v>4</v>
      </c>
      <c r="I54" s="173" t="s">
        <v>1473</v>
      </c>
      <c r="J54" s="173" t="s">
        <v>10</v>
      </c>
      <c r="K54" s="173" t="s">
        <v>11</v>
      </c>
      <c r="L54" s="173"/>
      <c r="M54" s="173" t="s">
        <v>184</v>
      </c>
      <c r="N54" s="173">
        <v>860062808</v>
      </c>
      <c r="O54" s="175">
        <v>7554622</v>
      </c>
      <c r="P54" s="7"/>
      <c r="Q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4" s="9">
        <f>+IFERROR(VLOOKUP(Tabla3[[#This Row],[Cliente factura]],Tabla4[[NIT]:[TOTAL CREDITO]],6,FALSE),0)</f>
        <v>0</v>
      </c>
      <c r="S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" s="10" t="str">
        <f>VLOOKUP(Tabla3[[#This Row],[Razón social cliente factura]]&amp;Tabla3[[#This Row],[Desc. ciudad]],'Estandar de Rutas'!$C$1:$E$553,2,FALSE)</f>
        <v>7.2</v>
      </c>
      <c r="U54" s="130">
        <f>IFERROR(VLOOKUP(Tabla3[[#This Row],[Referencia]]&amp;Tabla3[[#This Row],[Desc detalle ext 1]],Tabla1[[Referencia-Color]:[Disponibilidad]],3,FALSE),0)</f>
        <v>0</v>
      </c>
      <c r="V54" s="13"/>
      <c r="W54" s="17">
        <f>+Tabla3[[#This Row],[Cant. Programada]]*Tabla3[[#This Row],[Precio unit]]</f>
        <v>0</v>
      </c>
      <c r="X54" s="129"/>
      <c r="Y54" s="8"/>
      <c r="Z54" s="8" t="str">
        <f>+Tabla3[[#This Row],[Referencia]]&amp;Tabla3[[#This Row],[Desc detalle ext 1]]</f>
        <v>CB 190R                                           NEGRO ONI</v>
      </c>
      <c r="AA54" s="128" t="e">
        <f>+VLOOKUP(Tabla3[[#This Row],[CODIGO2]],ESTANDAR!$B$3:$C$9,2,FALSE)</f>
        <v>#N/A</v>
      </c>
      <c r="AB54" s="128" t="str">
        <f>+MID(Tabla3[[#This Row],['# Viaje]],10,1)</f>
        <v/>
      </c>
    </row>
    <row r="55" spans="1:28" ht="15" hidden="1" customHeight="1">
      <c r="A55" s="173" t="s">
        <v>1472</v>
      </c>
      <c r="B55" s="174">
        <v>42948</v>
      </c>
      <c r="C55" s="173" t="s">
        <v>1231</v>
      </c>
      <c r="D55" s="173" t="s">
        <v>1237</v>
      </c>
      <c r="E55" s="173" t="s">
        <v>1232</v>
      </c>
      <c r="F55" s="173">
        <v>5</v>
      </c>
      <c r="G55" s="173" t="s">
        <v>189</v>
      </c>
      <c r="H55" s="173">
        <v>5</v>
      </c>
      <c r="I55" s="173" t="s">
        <v>1473</v>
      </c>
      <c r="J55" s="173" t="s">
        <v>1425</v>
      </c>
      <c r="K55" s="173" t="s">
        <v>1426</v>
      </c>
      <c r="L55" s="173"/>
      <c r="M55" s="173" t="s">
        <v>184</v>
      </c>
      <c r="N55" s="173">
        <v>860062808</v>
      </c>
      <c r="O55" s="175">
        <v>7730252</v>
      </c>
      <c r="P55" s="7"/>
      <c r="Q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5" s="9">
        <f>+IFERROR(VLOOKUP(Tabla3[[#This Row],[Cliente factura]],Tabla4[[NIT]:[TOTAL CREDITO]],6,FALSE),0)</f>
        <v>0</v>
      </c>
      <c r="S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" s="10" t="str">
        <f>VLOOKUP(Tabla3[[#This Row],[Razón social cliente factura]]&amp;Tabla3[[#This Row],[Desc. ciudad]],'Estandar de Rutas'!$C$1:$E$553,2,FALSE)</f>
        <v>7.2</v>
      </c>
      <c r="U55" s="130">
        <f>IFERROR(VLOOKUP(Tabla3[[#This Row],[Referencia]]&amp;Tabla3[[#This Row],[Desc detalle ext 1]],Tabla1[[Referencia-Color]:[Disponibilidad]],3,FALSE),0)</f>
        <v>104</v>
      </c>
      <c r="V55" s="13"/>
      <c r="W55" s="17">
        <f>+Tabla3[[#This Row],[Cant. Programada]]*Tabla3[[#This Row],[Precio unit]]</f>
        <v>0</v>
      </c>
      <c r="X55" s="129"/>
      <c r="Y55" s="8"/>
      <c r="Z55" s="8" t="str">
        <f>+Tabla3[[#This Row],[Referencia]]&amp;Tabla3[[#This Row],[Desc detalle ext 1]]</f>
        <v>CB 190 REPSOL                                     NARANJA B</v>
      </c>
      <c r="AA55" s="128" t="e">
        <f>+VLOOKUP(Tabla3[[#This Row],[CODIGO2]],ESTANDAR!$B$3:$C$9,2,FALSE)</f>
        <v>#N/A</v>
      </c>
      <c r="AB55" s="128" t="str">
        <f>+MID(Tabla3[[#This Row],['# Viaje]],10,1)</f>
        <v/>
      </c>
    </row>
    <row r="56" spans="1:28" ht="15" hidden="1" customHeight="1">
      <c r="A56" s="173" t="s">
        <v>1472</v>
      </c>
      <c r="B56" s="174">
        <v>42948</v>
      </c>
      <c r="C56" s="173" t="s">
        <v>1231</v>
      </c>
      <c r="D56" s="173" t="s">
        <v>1237</v>
      </c>
      <c r="E56" s="173" t="s">
        <v>1232</v>
      </c>
      <c r="F56" s="173">
        <v>1</v>
      </c>
      <c r="G56" s="173" t="s">
        <v>189</v>
      </c>
      <c r="H56" s="173">
        <v>1</v>
      </c>
      <c r="I56" s="173" t="s">
        <v>1473</v>
      </c>
      <c r="J56" s="173" t="s">
        <v>354</v>
      </c>
      <c r="K56" s="173" t="s">
        <v>355</v>
      </c>
      <c r="L56" s="173"/>
      <c r="M56" s="173" t="s">
        <v>184</v>
      </c>
      <c r="N56" s="173">
        <v>860062808</v>
      </c>
      <c r="O56" s="175">
        <v>6133613</v>
      </c>
      <c r="P56" s="7"/>
      <c r="Q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6" s="9">
        <f>+IFERROR(VLOOKUP(Tabla3[[#This Row],[Cliente factura]],Tabla4[[NIT]:[TOTAL CREDITO]],6,FALSE),0)</f>
        <v>0</v>
      </c>
      <c r="S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" s="10" t="str">
        <f>VLOOKUP(Tabla3[[#This Row],[Razón social cliente factura]]&amp;Tabla3[[#This Row],[Desc. ciudad]],'Estandar de Rutas'!$C$1:$E$553,2,FALSE)</f>
        <v>7.2</v>
      </c>
      <c r="U56" s="130">
        <f>IFERROR(VLOOKUP(Tabla3[[#This Row],[Referencia]]&amp;Tabla3[[#This Row],[Desc detalle ext 1]],Tabla1[[Referencia-Color]:[Disponibilidad]],3,FALSE),0)</f>
        <v>0</v>
      </c>
      <c r="V56" s="13"/>
      <c r="W56" s="17">
        <f>+Tabla3[[#This Row],[Cant. Programada]]*Tabla3[[#This Row],[Precio unit]]</f>
        <v>0</v>
      </c>
      <c r="X56" s="129"/>
      <c r="Y56" s="8"/>
      <c r="Z56" s="8" t="str">
        <f>+Tabla3[[#This Row],[Referencia]]&amp;Tabla3[[#This Row],[Desc detalle ext 1]]</f>
        <v>CB 160F DLX                                       NEGRO PER</v>
      </c>
      <c r="AA56" s="128" t="e">
        <f>+VLOOKUP(Tabla3[[#This Row],[CODIGO2]],ESTANDAR!$B$3:$C$9,2,FALSE)</f>
        <v>#N/A</v>
      </c>
      <c r="AB56" s="128" t="str">
        <f>+MID(Tabla3[[#This Row],['# Viaje]],10,1)</f>
        <v/>
      </c>
    </row>
    <row r="57" spans="1:28" ht="15" hidden="1" customHeight="1">
      <c r="A57" s="173" t="s">
        <v>1472</v>
      </c>
      <c r="B57" s="174">
        <v>42948</v>
      </c>
      <c r="C57" s="173" t="s">
        <v>1231</v>
      </c>
      <c r="D57" s="173" t="s">
        <v>1237</v>
      </c>
      <c r="E57" s="173" t="s">
        <v>1232</v>
      </c>
      <c r="F57" s="173">
        <v>1</v>
      </c>
      <c r="G57" s="173" t="s">
        <v>189</v>
      </c>
      <c r="H57" s="173">
        <v>1</v>
      </c>
      <c r="I57" s="173" t="s">
        <v>1473</v>
      </c>
      <c r="J57" s="173" t="s">
        <v>1433</v>
      </c>
      <c r="K57" s="173" t="s">
        <v>1431</v>
      </c>
      <c r="L57" s="173"/>
      <c r="M57" s="173" t="s">
        <v>184</v>
      </c>
      <c r="N57" s="173">
        <v>860062808</v>
      </c>
      <c r="O57" s="175">
        <v>3521008</v>
      </c>
      <c r="P57" s="7"/>
      <c r="Q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7" s="9">
        <f>+IFERROR(VLOOKUP(Tabla3[[#This Row],[Cliente factura]],Tabla4[[NIT]:[TOTAL CREDITO]],6,FALSE),0)</f>
        <v>0</v>
      </c>
      <c r="S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" s="10" t="str">
        <f>VLOOKUP(Tabla3[[#This Row],[Razón social cliente factura]]&amp;Tabla3[[#This Row],[Desc. ciudad]],'Estandar de Rutas'!$C$1:$E$553,2,FALSE)</f>
        <v>7.2</v>
      </c>
      <c r="U57" s="130">
        <f>IFERROR(VLOOKUP(Tabla3[[#This Row],[Referencia]]&amp;Tabla3[[#This Row],[Desc detalle ext 1]],Tabla1[[Referencia-Color]:[Disponibilidad]],3,FALSE),0)</f>
        <v>0</v>
      </c>
      <c r="V57" s="13"/>
      <c r="W57" s="17">
        <f>+Tabla3[[#This Row],[Cant. Programada]]*Tabla3[[#This Row],[Precio unit]]</f>
        <v>0</v>
      </c>
      <c r="X57" s="129"/>
      <c r="Y57" s="8"/>
      <c r="Z57" s="8" t="str">
        <f>+Tabla3[[#This Row],[Referencia]]&amp;Tabla3[[#This Row],[Desc detalle ext 1]]</f>
        <v xml:space="preserve">DIO  110                                          ROJO     </v>
      </c>
      <c r="AA57" s="128" t="e">
        <f>+VLOOKUP(Tabla3[[#This Row],[CODIGO2]],ESTANDAR!$B$3:$C$9,2,FALSE)</f>
        <v>#N/A</v>
      </c>
      <c r="AB57" s="128" t="str">
        <f>+MID(Tabla3[[#This Row],['# Viaje]],10,1)</f>
        <v/>
      </c>
    </row>
    <row r="58" spans="1:28" ht="15" hidden="1" customHeight="1">
      <c r="A58" s="173" t="s">
        <v>1472</v>
      </c>
      <c r="B58" s="174">
        <v>42948</v>
      </c>
      <c r="C58" s="173" t="s">
        <v>1231</v>
      </c>
      <c r="D58" s="173" t="s">
        <v>1237</v>
      </c>
      <c r="E58" s="173" t="s">
        <v>1232</v>
      </c>
      <c r="F58" s="173">
        <v>1</v>
      </c>
      <c r="G58" s="173" t="s">
        <v>189</v>
      </c>
      <c r="H58" s="173">
        <v>1</v>
      </c>
      <c r="I58" s="173" t="s">
        <v>1473</v>
      </c>
      <c r="J58" s="173" t="s">
        <v>1428</v>
      </c>
      <c r="K58" s="173" t="s">
        <v>1461</v>
      </c>
      <c r="L58" s="173"/>
      <c r="M58" s="173" t="s">
        <v>184</v>
      </c>
      <c r="N58" s="173">
        <v>860062808</v>
      </c>
      <c r="O58" s="175">
        <v>3067227</v>
      </c>
      <c r="P58" s="7"/>
      <c r="Q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8" s="9">
        <f>+IFERROR(VLOOKUP(Tabla3[[#This Row],[Cliente factura]],Tabla4[[NIT]:[TOTAL CREDITO]],6,FALSE),0)</f>
        <v>0</v>
      </c>
      <c r="S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" s="10" t="str">
        <f>VLOOKUP(Tabla3[[#This Row],[Razón social cliente factura]]&amp;Tabla3[[#This Row],[Desc. ciudad]],'Estandar de Rutas'!$C$1:$E$553,2,FALSE)</f>
        <v>7.2</v>
      </c>
      <c r="U58" s="130">
        <f>IFERROR(VLOOKUP(Tabla3[[#This Row],[Referencia]]&amp;Tabla3[[#This Row],[Desc detalle ext 1]],Tabla1[[Referencia-Color]:[Disponibilidad]],3,FALSE),0)</f>
        <v>0</v>
      </c>
      <c r="V58" s="13"/>
      <c r="W58" s="17">
        <f>+Tabla3[[#This Row],[Cant. Programada]]*Tabla3[[#This Row],[Precio unit]]</f>
        <v>0</v>
      </c>
      <c r="X58" s="129"/>
      <c r="Y58" s="129"/>
      <c r="Z58" s="8" t="str">
        <f>+Tabla3[[#This Row],[Referencia]]&amp;Tabla3[[#This Row],[Desc detalle ext 1]]</f>
        <v>DREAM  NEO                                        ROJO ALFA</v>
      </c>
      <c r="AA58" s="128" t="e">
        <f>+VLOOKUP(Tabla3[[#This Row],[CODIGO2]],ESTANDAR!$B$3:$C$9,2,FALSE)</f>
        <v>#N/A</v>
      </c>
      <c r="AB58" s="128" t="str">
        <f>+MID(Tabla3[[#This Row],['# Viaje]],10,1)</f>
        <v/>
      </c>
    </row>
    <row r="59" spans="1:28" ht="15" hidden="1" customHeight="1">
      <c r="A59" s="173" t="s">
        <v>1472</v>
      </c>
      <c r="B59" s="174">
        <v>42948</v>
      </c>
      <c r="C59" s="173" t="s">
        <v>1231</v>
      </c>
      <c r="D59" s="173" t="s">
        <v>1237</v>
      </c>
      <c r="E59" s="173" t="s">
        <v>1232</v>
      </c>
      <c r="F59" s="173">
        <v>1</v>
      </c>
      <c r="G59" s="173" t="s">
        <v>189</v>
      </c>
      <c r="H59" s="173">
        <v>1</v>
      </c>
      <c r="I59" s="173" t="s">
        <v>1473</v>
      </c>
      <c r="J59" s="173" t="s">
        <v>1430</v>
      </c>
      <c r="K59" s="173" t="s">
        <v>1431</v>
      </c>
      <c r="L59" s="173"/>
      <c r="M59" s="173" t="s">
        <v>184</v>
      </c>
      <c r="N59" s="173">
        <v>860062808</v>
      </c>
      <c r="O59" s="175">
        <v>3941176</v>
      </c>
      <c r="P59" s="7"/>
      <c r="Q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9" s="9">
        <f>+IFERROR(VLOOKUP(Tabla3[[#This Row],[Cliente factura]],Tabla4[[NIT]:[TOTAL CREDITO]],6,FALSE),0)</f>
        <v>0</v>
      </c>
      <c r="S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" s="10" t="str">
        <f>VLOOKUP(Tabla3[[#This Row],[Razón social cliente factura]]&amp;Tabla3[[#This Row],[Desc. ciudad]],'Estandar de Rutas'!$C$1:$E$553,2,FALSE)</f>
        <v>7.2</v>
      </c>
      <c r="U59" s="130">
        <f>IFERROR(VLOOKUP(Tabla3[[#This Row],[Referencia]]&amp;Tabla3[[#This Row],[Desc detalle ext 1]],Tabla1[[Referencia-Color]:[Disponibilidad]],3,FALSE),0)</f>
        <v>0</v>
      </c>
      <c r="V59" s="13"/>
      <c r="W59" s="17">
        <f>+Tabla3[[#This Row],[Cant. Programada]]*Tabla3[[#This Row],[Precio unit]]</f>
        <v>0</v>
      </c>
      <c r="X59" s="130"/>
      <c r="Y59" s="8"/>
      <c r="Z59" s="8" t="str">
        <f>+Tabla3[[#This Row],[Referencia]]&amp;Tabla3[[#This Row],[Desc detalle ext 1]]</f>
        <v xml:space="preserve">WAVE 110S                                         ROJO     </v>
      </c>
      <c r="AA59" s="128" t="e">
        <f>+VLOOKUP(Tabla3[[#This Row],[CODIGO2]],ESTANDAR!$B$3:$C$9,2,FALSE)</f>
        <v>#N/A</v>
      </c>
      <c r="AB59" s="128" t="str">
        <f>+MID(Tabla3[[#This Row],['# Viaje]],10,1)</f>
        <v/>
      </c>
    </row>
    <row r="60" spans="1:28" ht="15" hidden="1" customHeight="1">
      <c r="A60" s="173" t="s">
        <v>1472</v>
      </c>
      <c r="B60" s="174">
        <v>42948</v>
      </c>
      <c r="C60" s="173" t="s">
        <v>1231</v>
      </c>
      <c r="D60" s="173" t="s">
        <v>1237</v>
      </c>
      <c r="E60" s="173" t="s">
        <v>1232</v>
      </c>
      <c r="F60" s="173">
        <v>1</v>
      </c>
      <c r="G60" s="173" t="s">
        <v>189</v>
      </c>
      <c r="H60" s="173">
        <v>1</v>
      </c>
      <c r="I60" s="173" t="s">
        <v>1473</v>
      </c>
      <c r="J60" s="173" t="s">
        <v>1234</v>
      </c>
      <c r="K60" s="173" t="s">
        <v>17</v>
      </c>
      <c r="L60" s="173"/>
      <c r="M60" s="173" t="s">
        <v>184</v>
      </c>
      <c r="N60" s="173">
        <v>860062808</v>
      </c>
      <c r="O60" s="175">
        <v>5453782</v>
      </c>
      <c r="P60" s="7"/>
      <c r="Q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0" s="9">
        <f>+IFERROR(VLOOKUP(Tabla3[[#This Row],[Cliente factura]],Tabla4[[NIT]:[TOTAL CREDITO]],6,FALSE),0)</f>
        <v>0</v>
      </c>
      <c r="S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" s="10" t="str">
        <f>VLOOKUP(Tabla3[[#This Row],[Razón social cliente factura]]&amp;Tabla3[[#This Row],[Desc. ciudad]],'Estandar de Rutas'!$C$1:$E$553,2,FALSE)</f>
        <v>7.2</v>
      </c>
      <c r="U60" s="130">
        <f>IFERROR(VLOOKUP(Tabla3[[#This Row],[Referencia]]&amp;Tabla3[[#This Row],[Desc detalle ext 1]],Tabla1[[Referencia-Color]:[Disponibilidad]],3,FALSE),0)</f>
        <v>0</v>
      </c>
      <c r="V60" s="13"/>
      <c r="W60" s="17">
        <f>+Tabla3[[#This Row],[Cant. Programada]]*Tabla3[[#This Row],[Precio unit]]</f>
        <v>0</v>
      </c>
      <c r="X60" s="130"/>
      <c r="Y60" s="129"/>
      <c r="Z60" s="8" t="str">
        <f>+Tabla3[[#This Row],[Referencia]]&amp;Tabla3[[#This Row],[Desc detalle ext 1]]</f>
        <v>CB 160F STD                                       ROJO SPOR</v>
      </c>
      <c r="AA60" s="128" t="e">
        <f>+VLOOKUP(Tabla3[[#This Row],[CODIGO2]],ESTANDAR!$B$3:$C$9,2,FALSE)</f>
        <v>#N/A</v>
      </c>
      <c r="AB60" s="128" t="str">
        <f>+MID(Tabla3[[#This Row],['# Viaje]],10,1)</f>
        <v/>
      </c>
    </row>
    <row r="61" spans="1:28" ht="15" hidden="1" customHeight="1">
      <c r="A61" s="173" t="s">
        <v>1472</v>
      </c>
      <c r="B61" s="174">
        <v>42948</v>
      </c>
      <c r="C61" s="173" t="s">
        <v>1231</v>
      </c>
      <c r="D61" s="173" t="s">
        <v>1237</v>
      </c>
      <c r="E61" s="173" t="s">
        <v>1232</v>
      </c>
      <c r="F61" s="173">
        <v>1</v>
      </c>
      <c r="G61" s="173" t="s">
        <v>189</v>
      </c>
      <c r="H61" s="173">
        <v>1</v>
      </c>
      <c r="I61" s="173" t="s">
        <v>1473</v>
      </c>
      <c r="J61" s="173" t="s">
        <v>1234</v>
      </c>
      <c r="K61" s="173" t="s">
        <v>355</v>
      </c>
      <c r="L61" s="173"/>
      <c r="M61" s="173" t="s">
        <v>184</v>
      </c>
      <c r="N61" s="173">
        <v>860062808</v>
      </c>
      <c r="O61" s="175">
        <v>5453782</v>
      </c>
      <c r="P61" s="7"/>
      <c r="Q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1" s="9">
        <f>+IFERROR(VLOOKUP(Tabla3[[#This Row],[Cliente factura]],Tabla4[[NIT]:[TOTAL CREDITO]],6,FALSE),0)</f>
        <v>0</v>
      </c>
      <c r="S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" s="10" t="str">
        <f>VLOOKUP(Tabla3[[#This Row],[Razón social cliente factura]]&amp;Tabla3[[#This Row],[Desc. ciudad]],'Estandar de Rutas'!$C$1:$E$553,2,FALSE)</f>
        <v>7.2</v>
      </c>
      <c r="U61" s="130">
        <f>IFERROR(VLOOKUP(Tabla3[[#This Row],[Referencia]]&amp;Tabla3[[#This Row],[Desc detalle ext 1]],Tabla1[[Referencia-Color]:[Disponibilidad]],3,FALSE),0)</f>
        <v>0</v>
      </c>
      <c r="V61" s="13"/>
      <c r="W61" s="17">
        <f>+Tabla3[[#This Row],[Cant. Programada]]*Tabla3[[#This Row],[Precio unit]]</f>
        <v>0</v>
      </c>
      <c r="X61" s="130"/>
      <c r="Y61" s="129"/>
      <c r="Z61" s="8" t="str">
        <f>+Tabla3[[#This Row],[Referencia]]&amp;Tabla3[[#This Row],[Desc detalle ext 1]]</f>
        <v>CB 160F STD                                       NEGRO PER</v>
      </c>
      <c r="AA61" s="128" t="e">
        <f>+VLOOKUP(Tabla3[[#This Row],[CODIGO2]],ESTANDAR!$B$3:$C$9,2,FALSE)</f>
        <v>#N/A</v>
      </c>
      <c r="AB61" s="128" t="str">
        <f>+MID(Tabla3[[#This Row],['# Viaje]],10,1)</f>
        <v/>
      </c>
    </row>
    <row r="62" spans="1:28" ht="15" hidden="1" customHeight="1">
      <c r="A62" s="173" t="s">
        <v>1472</v>
      </c>
      <c r="B62" s="174">
        <v>42948</v>
      </c>
      <c r="C62" s="173" t="s">
        <v>1231</v>
      </c>
      <c r="D62" s="173" t="s">
        <v>1237</v>
      </c>
      <c r="E62" s="173" t="s">
        <v>1232</v>
      </c>
      <c r="F62" s="173">
        <v>3</v>
      </c>
      <c r="G62" s="173" t="s">
        <v>189</v>
      </c>
      <c r="H62" s="173">
        <v>3</v>
      </c>
      <c r="I62" s="173" t="s">
        <v>1473</v>
      </c>
      <c r="J62" s="173" t="s">
        <v>1451</v>
      </c>
      <c r="K62" s="173" t="s">
        <v>16</v>
      </c>
      <c r="L62" s="173"/>
      <c r="M62" s="173" t="s">
        <v>184</v>
      </c>
      <c r="N62" s="173">
        <v>860062808</v>
      </c>
      <c r="O62" s="175">
        <v>3696639</v>
      </c>
      <c r="P62" s="7"/>
      <c r="Q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2" s="9">
        <f>+IFERROR(VLOOKUP(Tabla3[[#This Row],[Cliente factura]],Tabla4[[NIT]:[TOTAL CREDITO]],6,FALSE),0)</f>
        <v>0</v>
      </c>
      <c r="S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" s="10" t="str">
        <f>VLOOKUP(Tabla3[[#This Row],[Razón social cliente factura]]&amp;Tabla3[[#This Row],[Desc. ciudad]],'Estandar de Rutas'!$C$1:$E$553,2,FALSE)</f>
        <v>7.2</v>
      </c>
      <c r="U62" s="130">
        <f>IFERROR(VLOOKUP(Tabla3[[#This Row],[Referencia]]&amp;Tabla3[[#This Row],[Desc detalle ext 1]],Tabla1[[Referencia-Color]:[Disponibilidad]],3,FALSE),0)</f>
        <v>3</v>
      </c>
      <c r="V62" s="13"/>
      <c r="W62" s="17">
        <f>+Tabla3[[#This Row],[Cant. Programada]]*Tabla3[[#This Row],[Precio unit]]</f>
        <v>0</v>
      </c>
      <c r="X62" s="129"/>
      <c r="Y62" s="8"/>
      <c r="Z62" s="8" t="str">
        <f>+Tabla3[[#This Row],[Referencia]]&amp;Tabla3[[#This Row],[Desc detalle ext 1]]</f>
        <v xml:space="preserve">CB 110 DLX                                        NEGRO    </v>
      </c>
      <c r="AA62" s="128" t="e">
        <f>+VLOOKUP(Tabla3[[#This Row],[CODIGO2]],ESTANDAR!$B$3:$C$9,2,FALSE)</f>
        <v>#N/A</v>
      </c>
      <c r="AB62" s="128" t="str">
        <f>+MID(Tabla3[[#This Row],['# Viaje]],10,1)</f>
        <v/>
      </c>
    </row>
    <row r="63" spans="1:28" ht="15" hidden="1" customHeight="1">
      <c r="A63" s="173" t="s">
        <v>1474</v>
      </c>
      <c r="B63" s="174">
        <v>42948</v>
      </c>
      <c r="C63" s="173" t="s">
        <v>1231</v>
      </c>
      <c r="D63" s="173" t="s">
        <v>1237</v>
      </c>
      <c r="E63" s="173" t="s">
        <v>1232</v>
      </c>
      <c r="F63" s="173">
        <v>1</v>
      </c>
      <c r="G63" s="173" t="s">
        <v>189</v>
      </c>
      <c r="H63" s="173">
        <v>1</v>
      </c>
      <c r="I63" s="173" t="s">
        <v>1475</v>
      </c>
      <c r="J63" s="173" t="s">
        <v>1421</v>
      </c>
      <c r="K63" s="173" t="s">
        <v>1422</v>
      </c>
      <c r="L63" s="173"/>
      <c r="M63" s="173" t="s">
        <v>184</v>
      </c>
      <c r="N63" s="173">
        <v>860062808</v>
      </c>
      <c r="O63" s="175">
        <v>11496063</v>
      </c>
      <c r="P63" s="7"/>
      <c r="Q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3" s="9">
        <f>+IFERROR(VLOOKUP(Tabla3[[#This Row],[Cliente factura]],Tabla4[[NIT]:[TOTAL CREDITO]],6,FALSE),0)</f>
        <v>0</v>
      </c>
      <c r="S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" s="10" t="str">
        <f>VLOOKUP(Tabla3[[#This Row],[Razón social cliente factura]]&amp;Tabla3[[#This Row],[Desc. ciudad]],'Estandar de Rutas'!$C$1:$E$553,2,FALSE)</f>
        <v>7.2</v>
      </c>
      <c r="U63" s="130">
        <f>IFERROR(VLOOKUP(Tabla3[[#This Row],[Referencia]]&amp;Tabla3[[#This Row],[Desc detalle ext 1]],Tabla1[[Referencia-Color]:[Disponibilidad]],3,FALSE),0)</f>
        <v>13</v>
      </c>
      <c r="V63" s="13"/>
      <c r="W63" s="17">
        <f>+Tabla3[[#This Row],[Cant. Programada]]*Tabla3[[#This Row],[Precio unit]]</f>
        <v>0</v>
      </c>
      <c r="X63" s="129"/>
      <c r="Y63" s="8"/>
      <c r="Z63" s="8" t="str">
        <f>+Tabla3[[#This Row],[Referencia]]&amp;Tabla3[[#This Row],[Desc detalle ext 1]]</f>
        <v>*XR-250 TORNADO pt MD34                           ROJO BLAN</v>
      </c>
      <c r="AA63" s="128" t="e">
        <f>+VLOOKUP(Tabla3[[#This Row],[CODIGO2]],ESTANDAR!$B$3:$C$9,2,FALSE)</f>
        <v>#N/A</v>
      </c>
      <c r="AB63" s="128" t="str">
        <f>+MID(Tabla3[[#This Row],['# Viaje]],10,1)</f>
        <v/>
      </c>
    </row>
    <row r="64" spans="1:28" ht="15" hidden="1" customHeight="1">
      <c r="A64" s="173" t="s">
        <v>1474</v>
      </c>
      <c r="B64" s="174">
        <v>42948</v>
      </c>
      <c r="C64" s="173" t="s">
        <v>1231</v>
      </c>
      <c r="D64" s="173" t="s">
        <v>1237</v>
      </c>
      <c r="E64" s="173" t="s">
        <v>1232</v>
      </c>
      <c r="F64" s="173">
        <v>1</v>
      </c>
      <c r="G64" s="173" t="s">
        <v>189</v>
      </c>
      <c r="H64" s="173">
        <v>1</v>
      </c>
      <c r="I64" s="173" t="s">
        <v>1475</v>
      </c>
      <c r="J64" s="173" t="s">
        <v>27</v>
      </c>
      <c r="K64" s="173" t="s">
        <v>26</v>
      </c>
      <c r="L64" s="173"/>
      <c r="M64" s="173" t="s">
        <v>184</v>
      </c>
      <c r="N64" s="173">
        <v>860062808</v>
      </c>
      <c r="O64" s="175">
        <v>5789916</v>
      </c>
      <c r="P64" s="7"/>
      <c r="Q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4" s="9">
        <f>+IFERROR(VLOOKUP(Tabla3[[#This Row],[Cliente factura]],Tabla4[[NIT]:[TOTAL CREDITO]],6,FALSE),0)</f>
        <v>0</v>
      </c>
      <c r="S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" s="10" t="str">
        <f>VLOOKUP(Tabla3[[#This Row],[Razón social cliente factura]]&amp;Tabla3[[#This Row],[Desc. ciudad]],'Estandar de Rutas'!$C$1:$E$553,2,FALSE)</f>
        <v>7.2</v>
      </c>
      <c r="U64" s="130">
        <f>IFERROR(VLOOKUP(Tabla3[[#This Row],[Referencia]]&amp;Tabla3[[#This Row],[Desc detalle ext 1]],Tabla1[[Referencia-Color]:[Disponibilidad]],3,FALSE),0)</f>
        <v>59</v>
      </c>
      <c r="V64" s="13"/>
      <c r="W64" s="17">
        <f>+Tabla3[[#This Row],[Cant. Programada]]*Tabla3[[#This Row],[Precio unit]]</f>
        <v>0</v>
      </c>
      <c r="X64" s="130"/>
      <c r="Y64" s="129"/>
      <c r="Z64" s="8" t="str">
        <f>+Tabla3[[#This Row],[Referencia]]&amp;Tabla3[[#This Row],[Desc detalle ext 1]]</f>
        <v>*XR 150L                                          NEGRO BLA</v>
      </c>
      <c r="AA64" s="128" t="e">
        <f>+VLOOKUP(Tabla3[[#This Row],[CODIGO2]],ESTANDAR!$B$3:$C$9,2,FALSE)</f>
        <v>#N/A</v>
      </c>
      <c r="AB64" s="128" t="str">
        <f>+MID(Tabla3[[#This Row],['# Viaje]],10,1)</f>
        <v/>
      </c>
    </row>
    <row r="65" spans="1:28" ht="15" hidden="1" customHeight="1">
      <c r="A65" s="173" t="s">
        <v>1474</v>
      </c>
      <c r="B65" s="174">
        <v>42948</v>
      </c>
      <c r="C65" s="173" t="s">
        <v>1231</v>
      </c>
      <c r="D65" s="173" t="s">
        <v>1237</v>
      </c>
      <c r="E65" s="173" t="s">
        <v>1232</v>
      </c>
      <c r="F65" s="173">
        <v>5</v>
      </c>
      <c r="G65" s="173" t="s">
        <v>189</v>
      </c>
      <c r="H65" s="173">
        <v>5</v>
      </c>
      <c r="I65" s="173" t="s">
        <v>1475</v>
      </c>
      <c r="J65" s="173" t="s">
        <v>1425</v>
      </c>
      <c r="K65" s="173" t="s">
        <v>1426</v>
      </c>
      <c r="L65" s="173"/>
      <c r="M65" s="173" t="s">
        <v>184</v>
      </c>
      <c r="N65" s="173">
        <v>860062808</v>
      </c>
      <c r="O65" s="175">
        <v>7730252</v>
      </c>
      <c r="P65" s="7"/>
      <c r="Q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5" s="9">
        <f>+IFERROR(VLOOKUP(Tabla3[[#This Row],[Cliente factura]],Tabla4[[NIT]:[TOTAL CREDITO]],6,FALSE),0)</f>
        <v>0</v>
      </c>
      <c r="S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" s="10" t="str">
        <f>VLOOKUP(Tabla3[[#This Row],[Razón social cliente factura]]&amp;Tabla3[[#This Row],[Desc. ciudad]],'Estandar de Rutas'!$C$1:$E$553,2,FALSE)</f>
        <v>7.2</v>
      </c>
      <c r="U65" s="130">
        <f>IFERROR(VLOOKUP(Tabla3[[#This Row],[Referencia]]&amp;Tabla3[[#This Row],[Desc detalle ext 1]],Tabla1[[Referencia-Color]:[Disponibilidad]],3,FALSE),0)</f>
        <v>104</v>
      </c>
      <c r="V65" s="13"/>
      <c r="W65" s="17">
        <f>+Tabla3[[#This Row],[Cant. Programada]]*Tabla3[[#This Row],[Precio unit]]</f>
        <v>0</v>
      </c>
      <c r="X65" s="129"/>
      <c r="Y65" s="8"/>
      <c r="Z65" s="8" t="str">
        <f>+Tabla3[[#This Row],[Referencia]]&amp;Tabla3[[#This Row],[Desc detalle ext 1]]</f>
        <v>CB 190 REPSOL                                     NARANJA B</v>
      </c>
      <c r="AA65" s="128" t="e">
        <f>+VLOOKUP(Tabla3[[#This Row],[CODIGO2]],ESTANDAR!$B$3:$C$9,2,FALSE)</f>
        <v>#N/A</v>
      </c>
      <c r="AB65" s="128" t="str">
        <f>+MID(Tabla3[[#This Row],['# Viaje]],10,1)</f>
        <v/>
      </c>
    </row>
    <row r="66" spans="1:28" ht="15" hidden="1" customHeight="1">
      <c r="A66" s="173" t="s">
        <v>1474</v>
      </c>
      <c r="B66" s="174">
        <v>42948</v>
      </c>
      <c r="C66" s="173" t="s">
        <v>1231</v>
      </c>
      <c r="D66" s="173" t="s">
        <v>1237</v>
      </c>
      <c r="E66" s="173" t="s">
        <v>1232</v>
      </c>
      <c r="F66" s="173">
        <v>1</v>
      </c>
      <c r="G66" s="173" t="s">
        <v>189</v>
      </c>
      <c r="H66" s="173">
        <v>1</v>
      </c>
      <c r="I66" s="173" t="s">
        <v>1475</v>
      </c>
      <c r="J66" s="173" t="s">
        <v>354</v>
      </c>
      <c r="K66" s="173" t="s">
        <v>355</v>
      </c>
      <c r="L66" s="173"/>
      <c r="M66" s="173" t="s">
        <v>184</v>
      </c>
      <c r="N66" s="173">
        <v>860062808</v>
      </c>
      <c r="O66" s="175">
        <v>6133613</v>
      </c>
      <c r="P66" s="7"/>
      <c r="Q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6" s="9">
        <f>+IFERROR(VLOOKUP(Tabla3[[#This Row],[Cliente factura]],Tabla4[[NIT]:[TOTAL CREDITO]],6,FALSE),0)</f>
        <v>0</v>
      </c>
      <c r="S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" s="10" t="str">
        <f>VLOOKUP(Tabla3[[#This Row],[Razón social cliente factura]]&amp;Tabla3[[#This Row],[Desc. ciudad]],'Estandar de Rutas'!$C$1:$E$553,2,FALSE)</f>
        <v>7.2</v>
      </c>
      <c r="U66" s="130">
        <f>IFERROR(VLOOKUP(Tabla3[[#This Row],[Referencia]]&amp;Tabla3[[#This Row],[Desc detalle ext 1]],Tabla1[[Referencia-Color]:[Disponibilidad]],3,FALSE),0)</f>
        <v>0</v>
      </c>
      <c r="V66" s="13"/>
      <c r="W66" s="17">
        <f>+Tabla3[[#This Row],[Cant. Programada]]*Tabla3[[#This Row],[Precio unit]]</f>
        <v>0</v>
      </c>
      <c r="X66" s="130"/>
      <c r="Y66" s="129"/>
      <c r="Z66" s="8" t="str">
        <f>+Tabla3[[#This Row],[Referencia]]&amp;Tabla3[[#This Row],[Desc detalle ext 1]]</f>
        <v>CB 160F DLX                                       NEGRO PER</v>
      </c>
      <c r="AA66" s="128" t="e">
        <f>+VLOOKUP(Tabla3[[#This Row],[CODIGO2]],ESTANDAR!$B$3:$C$9,2,FALSE)</f>
        <v>#N/A</v>
      </c>
      <c r="AB66" s="128" t="str">
        <f>+MID(Tabla3[[#This Row],['# Viaje]],10,1)</f>
        <v/>
      </c>
    </row>
    <row r="67" spans="1:28" ht="15" hidden="1" customHeight="1">
      <c r="A67" s="173" t="s">
        <v>1474</v>
      </c>
      <c r="B67" s="174">
        <v>42948</v>
      </c>
      <c r="C67" s="173" t="s">
        <v>1231</v>
      </c>
      <c r="D67" s="173" t="s">
        <v>1237</v>
      </c>
      <c r="E67" s="173" t="s">
        <v>1232</v>
      </c>
      <c r="F67" s="173">
        <v>1</v>
      </c>
      <c r="G67" s="173" t="s">
        <v>189</v>
      </c>
      <c r="H67" s="173">
        <v>1</v>
      </c>
      <c r="I67" s="173" t="s">
        <v>1475</v>
      </c>
      <c r="J67" s="173" t="s">
        <v>1234</v>
      </c>
      <c r="K67" s="173" t="s">
        <v>17</v>
      </c>
      <c r="L67" s="173"/>
      <c r="M67" s="173" t="s">
        <v>184</v>
      </c>
      <c r="N67" s="173">
        <v>860062808</v>
      </c>
      <c r="O67" s="175">
        <v>5453782</v>
      </c>
      <c r="P67" s="7"/>
      <c r="Q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7" s="9">
        <f>+IFERROR(VLOOKUP(Tabla3[[#This Row],[Cliente factura]],Tabla4[[NIT]:[TOTAL CREDITO]],6,FALSE),0)</f>
        <v>0</v>
      </c>
      <c r="S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7" s="10" t="str">
        <f>VLOOKUP(Tabla3[[#This Row],[Razón social cliente factura]]&amp;Tabla3[[#This Row],[Desc. ciudad]],'Estandar de Rutas'!$C$1:$E$553,2,FALSE)</f>
        <v>7.2</v>
      </c>
      <c r="U67" s="130">
        <f>IFERROR(VLOOKUP(Tabla3[[#This Row],[Referencia]]&amp;Tabla3[[#This Row],[Desc detalle ext 1]],Tabla1[[Referencia-Color]:[Disponibilidad]],3,FALSE),0)</f>
        <v>0</v>
      </c>
      <c r="V67" s="13"/>
      <c r="W67" s="17">
        <f>+Tabla3[[#This Row],[Cant. Programada]]*Tabla3[[#This Row],[Precio unit]]</f>
        <v>0</v>
      </c>
      <c r="X67" s="8"/>
      <c r="Y67" s="8"/>
      <c r="Z67" s="8" t="str">
        <f>+Tabla3[[#This Row],[Referencia]]&amp;Tabla3[[#This Row],[Desc detalle ext 1]]</f>
        <v>CB 160F STD                                       ROJO SPOR</v>
      </c>
      <c r="AA67" s="128" t="e">
        <f>+VLOOKUP(Tabla3[[#This Row],[CODIGO2]],ESTANDAR!$B$3:$C$9,2,FALSE)</f>
        <v>#N/A</v>
      </c>
      <c r="AB67" s="128" t="str">
        <f>+MID(Tabla3[[#This Row],['# Viaje]],10,1)</f>
        <v/>
      </c>
    </row>
    <row r="68" spans="1:28" ht="15" hidden="1" customHeight="1">
      <c r="A68" s="173" t="s">
        <v>1474</v>
      </c>
      <c r="B68" s="174">
        <v>42948</v>
      </c>
      <c r="C68" s="173" t="s">
        <v>1231</v>
      </c>
      <c r="D68" s="173" t="s">
        <v>1237</v>
      </c>
      <c r="E68" s="173" t="s">
        <v>1232</v>
      </c>
      <c r="F68" s="173">
        <v>1</v>
      </c>
      <c r="G68" s="173" t="s">
        <v>189</v>
      </c>
      <c r="H68" s="173">
        <v>1</v>
      </c>
      <c r="I68" s="173" t="s">
        <v>1475</v>
      </c>
      <c r="J68" s="173" t="s">
        <v>1234</v>
      </c>
      <c r="K68" s="173" t="s">
        <v>355</v>
      </c>
      <c r="L68" s="173"/>
      <c r="M68" s="173" t="s">
        <v>184</v>
      </c>
      <c r="N68" s="173">
        <v>860062808</v>
      </c>
      <c r="O68" s="175">
        <v>5453782</v>
      </c>
      <c r="P68" s="7"/>
      <c r="Q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8" s="9">
        <f>+IFERROR(VLOOKUP(Tabla3[[#This Row],[Cliente factura]],Tabla4[[NIT]:[TOTAL CREDITO]],6,FALSE),0)</f>
        <v>0</v>
      </c>
      <c r="S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" s="10" t="str">
        <f>VLOOKUP(Tabla3[[#This Row],[Razón social cliente factura]]&amp;Tabla3[[#This Row],[Desc. ciudad]],'Estandar de Rutas'!$C$1:$E$553,2,FALSE)</f>
        <v>7.2</v>
      </c>
      <c r="U68" s="130">
        <f>IFERROR(VLOOKUP(Tabla3[[#This Row],[Referencia]]&amp;Tabla3[[#This Row],[Desc detalle ext 1]],Tabla1[[Referencia-Color]:[Disponibilidad]],3,FALSE),0)</f>
        <v>0</v>
      </c>
      <c r="V68" s="13"/>
      <c r="W68" s="17">
        <f>+Tabla3[[#This Row],[Cant. Programada]]*Tabla3[[#This Row],[Precio unit]]</f>
        <v>0</v>
      </c>
      <c r="X68" s="130"/>
      <c r="Y68" s="8"/>
      <c r="Z68" s="8" t="str">
        <f>+Tabla3[[#This Row],[Referencia]]&amp;Tabla3[[#This Row],[Desc detalle ext 1]]</f>
        <v>CB 160F STD                                       NEGRO PER</v>
      </c>
      <c r="AA68" s="128" t="e">
        <f>+VLOOKUP(Tabla3[[#This Row],[CODIGO2]],ESTANDAR!$B$3:$C$9,2,FALSE)</f>
        <v>#N/A</v>
      </c>
      <c r="AB68" s="128" t="str">
        <f>+MID(Tabla3[[#This Row],['# Viaje]],10,1)</f>
        <v/>
      </c>
    </row>
    <row r="69" spans="1:28" ht="15" hidden="1" customHeight="1">
      <c r="A69" s="173" t="s">
        <v>1474</v>
      </c>
      <c r="B69" s="174">
        <v>42948</v>
      </c>
      <c r="C69" s="173" t="s">
        <v>1231</v>
      </c>
      <c r="D69" s="173" t="s">
        <v>1237</v>
      </c>
      <c r="E69" s="173" t="s">
        <v>1232</v>
      </c>
      <c r="F69" s="173">
        <v>1</v>
      </c>
      <c r="G69" s="173" t="s">
        <v>189</v>
      </c>
      <c r="H69" s="173">
        <v>1</v>
      </c>
      <c r="I69" s="173" t="s">
        <v>1475</v>
      </c>
      <c r="J69" s="173" t="s">
        <v>1234</v>
      </c>
      <c r="K69" s="173" t="s">
        <v>44</v>
      </c>
      <c r="L69" s="173"/>
      <c r="M69" s="173" t="s">
        <v>184</v>
      </c>
      <c r="N69" s="173">
        <v>860062808</v>
      </c>
      <c r="O69" s="175">
        <v>5453782</v>
      </c>
      <c r="P69" s="7"/>
      <c r="Q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9" s="9">
        <f>+IFERROR(VLOOKUP(Tabla3[[#This Row],[Cliente factura]],Tabla4[[NIT]:[TOTAL CREDITO]],6,FALSE),0)</f>
        <v>0</v>
      </c>
      <c r="S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" s="10" t="str">
        <f>VLOOKUP(Tabla3[[#This Row],[Razón social cliente factura]]&amp;Tabla3[[#This Row],[Desc. ciudad]],'Estandar de Rutas'!$C$1:$E$553,2,FALSE)</f>
        <v>7.2</v>
      </c>
      <c r="U69" s="130">
        <f>IFERROR(VLOOKUP(Tabla3[[#This Row],[Referencia]]&amp;Tabla3[[#This Row],[Desc detalle ext 1]],Tabla1[[Referencia-Color]:[Disponibilidad]],3,FALSE),0)</f>
        <v>1</v>
      </c>
      <c r="V69" s="13"/>
      <c r="W69" s="17">
        <f>+Tabla3[[#This Row],[Cant. Programada]]*Tabla3[[#This Row],[Precio unit]]</f>
        <v>0</v>
      </c>
      <c r="X69" s="8"/>
      <c r="Y69" s="8"/>
      <c r="Z69" s="8" t="str">
        <f>+Tabla3[[#This Row],[Referencia]]&amp;Tabla3[[#This Row],[Desc detalle ext 1]]</f>
        <v>CB 160F STD                                       BLANCO PE</v>
      </c>
      <c r="AA69" s="128" t="e">
        <f>+VLOOKUP(Tabla3[[#This Row],[CODIGO2]],ESTANDAR!$B$3:$C$9,2,FALSE)</f>
        <v>#N/A</v>
      </c>
      <c r="AB69" s="128" t="str">
        <f>+MID(Tabla3[[#This Row],['# Viaje]],10,1)</f>
        <v/>
      </c>
    </row>
    <row r="70" spans="1:28" ht="15" hidden="1" customHeight="1">
      <c r="A70" s="173" t="s">
        <v>1474</v>
      </c>
      <c r="B70" s="174">
        <v>42948</v>
      </c>
      <c r="C70" s="173" t="s">
        <v>1231</v>
      </c>
      <c r="D70" s="173" t="s">
        <v>1237</v>
      </c>
      <c r="E70" s="173" t="s">
        <v>1232</v>
      </c>
      <c r="F70" s="173">
        <v>2</v>
      </c>
      <c r="G70" s="173" t="s">
        <v>189</v>
      </c>
      <c r="H70" s="173">
        <v>2</v>
      </c>
      <c r="I70" s="173" t="s">
        <v>1475</v>
      </c>
      <c r="J70" s="173" t="s">
        <v>1451</v>
      </c>
      <c r="K70" s="173" t="s">
        <v>16</v>
      </c>
      <c r="L70" s="173"/>
      <c r="M70" s="173" t="s">
        <v>184</v>
      </c>
      <c r="N70" s="173">
        <v>860062808</v>
      </c>
      <c r="O70" s="175">
        <v>3696639</v>
      </c>
      <c r="P70" s="7"/>
      <c r="Q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0" s="9">
        <f>+IFERROR(VLOOKUP(Tabla3[[#This Row],[Cliente factura]],Tabla4[[NIT]:[TOTAL CREDITO]],6,FALSE),0)</f>
        <v>0</v>
      </c>
      <c r="S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" s="10" t="str">
        <f>VLOOKUP(Tabla3[[#This Row],[Razón social cliente factura]]&amp;Tabla3[[#This Row],[Desc. ciudad]],'Estandar de Rutas'!$C$1:$E$553,2,FALSE)</f>
        <v>7.2</v>
      </c>
      <c r="U70" s="130">
        <f>IFERROR(VLOOKUP(Tabla3[[#This Row],[Referencia]]&amp;Tabla3[[#This Row],[Desc detalle ext 1]],Tabla1[[Referencia-Color]:[Disponibilidad]],3,FALSE),0)</f>
        <v>3</v>
      </c>
      <c r="V70" s="13"/>
      <c r="W70" s="17">
        <f>+Tabla3[[#This Row],[Cant. Programada]]*Tabla3[[#This Row],[Precio unit]]</f>
        <v>0</v>
      </c>
      <c r="X70" s="130"/>
      <c r="Y70" s="129"/>
      <c r="Z70" s="8" t="str">
        <f>+Tabla3[[#This Row],[Referencia]]&amp;Tabla3[[#This Row],[Desc detalle ext 1]]</f>
        <v xml:space="preserve">CB 110 DLX                                        NEGRO    </v>
      </c>
      <c r="AA70" s="128" t="e">
        <f>+VLOOKUP(Tabla3[[#This Row],[CODIGO2]],ESTANDAR!$B$3:$C$9,2,FALSE)</f>
        <v>#N/A</v>
      </c>
      <c r="AB70" s="128" t="str">
        <f>+MID(Tabla3[[#This Row],['# Viaje]],10,1)</f>
        <v/>
      </c>
    </row>
    <row r="71" spans="1:28" ht="15" hidden="1" customHeight="1">
      <c r="A71" s="173" t="s">
        <v>1476</v>
      </c>
      <c r="B71" s="174">
        <v>42948</v>
      </c>
      <c r="C71" s="173" t="s">
        <v>1477</v>
      </c>
      <c r="D71" s="173" t="s">
        <v>1478</v>
      </c>
      <c r="E71" s="173" t="s">
        <v>1479</v>
      </c>
      <c r="F71" s="173">
        <v>1</v>
      </c>
      <c r="G71" s="173" t="s">
        <v>223</v>
      </c>
      <c r="H71" s="173">
        <v>1</v>
      </c>
      <c r="I71" s="173" t="s">
        <v>223</v>
      </c>
      <c r="J71" s="173" t="s">
        <v>14</v>
      </c>
      <c r="K71" s="173" t="s">
        <v>17</v>
      </c>
      <c r="L71" s="173"/>
      <c r="M71" s="173" t="s">
        <v>224</v>
      </c>
      <c r="N71" s="173">
        <v>94404403</v>
      </c>
      <c r="O71" s="175">
        <v>3360504</v>
      </c>
      <c r="P71" s="7"/>
      <c r="Q71" s="16">
        <f>+IF(IFERROR(VLOOKUP(Tabla3[[#This Row],[Cliente factura]],Tabla4[[NIT]:[TOTAL CREDITO]],3,FALSE),0)="",0,IFERROR(VLOOKUP(Tabla3[[#This Row],[Cliente factura]],Tabla4[[NIT]:[TOTAL CREDITO]],3,FALSE),0))</f>
        <v>3500000</v>
      </c>
      <c r="R71" s="9">
        <f>+IFERROR(VLOOKUP(Tabla3[[#This Row],[Cliente factura]],Tabla4[[NIT]:[TOTAL CREDITO]],6,FALSE),0)</f>
        <v>0</v>
      </c>
      <c r="S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" s="10" t="str">
        <f>VLOOKUP(Tabla3[[#This Row],[Razón social cliente factura]]&amp;Tabla3[[#This Row],[Desc. ciudad]],'Estandar de Rutas'!$C$1:$E$553,2,FALSE)</f>
        <v>1.3.B</v>
      </c>
      <c r="U71" s="130">
        <f>IFERROR(VLOOKUP(Tabla3[[#This Row],[Referencia]]&amp;Tabla3[[#This Row],[Desc detalle ext 1]],Tabla1[[Referencia-Color]:[Disponibilidad]],3,FALSE),0)</f>
        <v>38</v>
      </c>
      <c r="V71" s="13"/>
      <c r="W71" s="17">
        <f>+Tabla3[[#This Row],[Cant. Programada]]*Tabla3[[#This Row],[Precio unit]]</f>
        <v>0</v>
      </c>
      <c r="X71" s="130"/>
      <c r="Y71" s="129"/>
      <c r="Z71" s="8" t="str">
        <f>+Tabla3[[#This Row],[Referencia]]&amp;Tabla3[[#This Row],[Desc detalle ext 1]]</f>
        <v>*CB-110                                           ROJO SPOR</v>
      </c>
      <c r="AA71" s="128" t="e">
        <f>+VLOOKUP(Tabla3[[#This Row],[CODIGO2]],ESTANDAR!$B$3:$C$9,2,FALSE)</f>
        <v>#N/A</v>
      </c>
      <c r="AB71" s="128" t="str">
        <f>+MID(Tabla3[[#This Row],['# Viaje]],10,1)</f>
        <v/>
      </c>
    </row>
    <row r="72" spans="1:28" ht="15" hidden="1" customHeight="1">
      <c r="A72" s="173" t="s">
        <v>1476</v>
      </c>
      <c r="B72" s="174">
        <v>42948</v>
      </c>
      <c r="C72" s="173" t="s">
        <v>1477</v>
      </c>
      <c r="D72" s="173" t="s">
        <v>1478</v>
      </c>
      <c r="E72" s="173" t="s">
        <v>1479</v>
      </c>
      <c r="F72" s="173">
        <v>3</v>
      </c>
      <c r="G72" s="173" t="s">
        <v>223</v>
      </c>
      <c r="H72" s="173">
        <v>3</v>
      </c>
      <c r="I72" s="173" t="s">
        <v>223</v>
      </c>
      <c r="J72" s="173" t="s">
        <v>14</v>
      </c>
      <c r="K72" s="173" t="s">
        <v>16</v>
      </c>
      <c r="L72" s="173"/>
      <c r="M72" s="173" t="s">
        <v>224</v>
      </c>
      <c r="N72" s="173">
        <v>94404403</v>
      </c>
      <c r="O72" s="175">
        <v>3360504</v>
      </c>
      <c r="P72" s="7"/>
      <c r="Q72" s="16">
        <f>+IF(IFERROR(VLOOKUP(Tabla3[[#This Row],[Cliente factura]],Tabla4[[NIT]:[TOTAL CREDITO]],3,FALSE),0)="",0,IFERROR(VLOOKUP(Tabla3[[#This Row],[Cliente factura]],Tabla4[[NIT]:[TOTAL CREDITO]],3,FALSE),0))</f>
        <v>3500000</v>
      </c>
      <c r="R72" s="9">
        <f>+IFERROR(VLOOKUP(Tabla3[[#This Row],[Cliente factura]],Tabla4[[NIT]:[TOTAL CREDITO]],6,FALSE),0)</f>
        <v>0</v>
      </c>
      <c r="S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" s="10" t="str">
        <f>VLOOKUP(Tabla3[[#This Row],[Razón social cliente factura]]&amp;Tabla3[[#This Row],[Desc. ciudad]],'Estandar de Rutas'!$C$1:$E$553,2,FALSE)</f>
        <v>1.3.B</v>
      </c>
      <c r="U72" s="130">
        <f>IFERROR(VLOOKUP(Tabla3[[#This Row],[Referencia]]&amp;Tabla3[[#This Row],[Desc detalle ext 1]],Tabla1[[Referencia-Color]:[Disponibilidad]],3,FALSE),0)</f>
        <v>83</v>
      </c>
      <c r="V72" s="13"/>
      <c r="W72" s="17">
        <f>+Tabla3[[#This Row],[Cant. Programada]]*Tabla3[[#This Row],[Precio unit]]</f>
        <v>0</v>
      </c>
      <c r="X72" s="130"/>
      <c r="Y72" s="129"/>
      <c r="Z72" s="8" t="str">
        <f>+Tabla3[[#This Row],[Referencia]]&amp;Tabla3[[#This Row],[Desc detalle ext 1]]</f>
        <v xml:space="preserve">*CB-110                                           NEGRO    </v>
      </c>
      <c r="AA72" s="128" t="e">
        <f>+VLOOKUP(Tabla3[[#This Row],[CODIGO2]],ESTANDAR!$B$3:$C$9,2,FALSE)</f>
        <v>#N/A</v>
      </c>
      <c r="AB72" s="128" t="str">
        <f>+MID(Tabla3[[#This Row],['# Viaje]],10,1)</f>
        <v/>
      </c>
    </row>
    <row r="73" spans="1:28" ht="15" hidden="1" customHeight="1">
      <c r="A73" s="173" t="s">
        <v>1476</v>
      </c>
      <c r="B73" s="174">
        <v>42948</v>
      </c>
      <c r="C73" s="173" t="s">
        <v>1477</v>
      </c>
      <c r="D73" s="173" t="s">
        <v>1478</v>
      </c>
      <c r="E73" s="173" t="s">
        <v>1479</v>
      </c>
      <c r="F73" s="173">
        <v>2</v>
      </c>
      <c r="G73" s="173" t="s">
        <v>223</v>
      </c>
      <c r="H73" s="173">
        <v>2</v>
      </c>
      <c r="I73" s="173" t="s">
        <v>223</v>
      </c>
      <c r="J73" s="173" t="s">
        <v>14</v>
      </c>
      <c r="K73" s="173" t="s">
        <v>15</v>
      </c>
      <c r="L73" s="173"/>
      <c r="M73" s="173" t="s">
        <v>224</v>
      </c>
      <c r="N73" s="173">
        <v>94404403</v>
      </c>
      <c r="O73" s="175">
        <v>3360504</v>
      </c>
      <c r="P73" s="7"/>
      <c r="Q73" s="16">
        <f>+IF(IFERROR(VLOOKUP(Tabla3[[#This Row],[Cliente factura]],Tabla4[[NIT]:[TOTAL CREDITO]],3,FALSE),0)="",0,IFERROR(VLOOKUP(Tabla3[[#This Row],[Cliente factura]],Tabla4[[NIT]:[TOTAL CREDITO]],3,FALSE),0))</f>
        <v>3500000</v>
      </c>
      <c r="R73" s="9">
        <f>+IFERROR(VLOOKUP(Tabla3[[#This Row],[Cliente factura]],Tabla4[[NIT]:[TOTAL CREDITO]],6,FALSE),0)</f>
        <v>0</v>
      </c>
      <c r="S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" s="10" t="str">
        <f>VLOOKUP(Tabla3[[#This Row],[Razón social cliente factura]]&amp;Tabla3[[#This Row],[Desc. ciudad]],'Estandar de Rutas'!$C$1:$E$553,2,FALSE)</f>
        <v>1.3.B</v>
      </c>
      <c r="U73" s="130">
        <f>IFERROR(VLOOKUP(Tabla3[[#This Row],[Referencia]]&amp;Tabla3[[#This Row],[Desc detalle ext 1]],Tabla1[[Referencia-Color]:[Disponibilidad]],3,FALSE),0)</f>
        <v>99</v>
      </c>
      <c r="V73" s="13"/>
      <c r="W73" s="17">
        <f>+Tabla3[[#This Row],[Cant. Programada]]*Tabla3[[#This Row],[Precio unit]]</f>
        <v>0</v>
      </c>
      <c r="X73" s="8"/>
      <c r="Y73" s="8"/>
      <c r="Z73" s="8" t="str">
        <f>+Tabla3[[#This Row],[Referencia]]&amp;Tabla3[[#This Row],[Desc detalle ext 1]]</f>
        <v>*CB-110                                           AZUL FIJI</v>
      </c>
      <c r="AA73" s="128" t="e">
        <f>+VLOOKUP(Tabla3[[#This Row],[CODIGO2]],ESTANDAR!$B$3:$C$9,2,FALSE)</f>
        <v>#N/A</v>
      </c>
      <c r="AB73" s="128" t="str">
        <f>+MID(Tabla3[[#This Row],['# Viaje]],10,1)</f>
        <v/>
      </c>
    </row>
    <row r="74" spans="1:28" ht="15" hidden="1" customHeight="1">
      <c r="A74" s="173" t="s">
        <v>1476</v>
      </c>
      <c r="B74" s="174">
        <v>42948</v>
      </c>
      <c r="C74" s="173" t="s">
        <v>1477</v>
      </c>
      <c r="D74" s="173" t="s">
        <v>1478</v>
      </c>
      <c r="E74" s="173" t="s">
        <v>1479</v>
      </c>
      <c r="F74" s="173">
        <v>1</v>
      </c>
      <c r="G74" s="173" t="s">
        <v>223</v>
      </c>
      <c r="H74" s="173">
        <v>1</v>
      </c>
      <c r="I74" s="173" t="s">
        <v>223</v>
      </c>
      <c r="J74" s="173" t="s">
        <v>27</v>
      </c>
      <c r="K74" s="173" t="s">
        <v>32</v>
      </c>
      <c r="L74" s="173"/>
      <c r="M74" s="173" t="s">
        <v>224</v>
      </c>
      <c r="N74" s="173">
        <v>94404403</v>
      </c>
      <c r="O74" s="175">
        <v>5789916</v>
      </c>
      <c r="P74" s="7"/>
      <c r="Q74" s="16">
        <f>+IF(IFERROR(VLOOKUP(Tabla3[[#This Row],[Cliente factura]],Tabla4[[NIT]:[TOTAL CREDITO]],3,FALSE),0)="",0,IFERROR(VLOOKUP(Tabla3[[#This Row],[Cliente factura]],Tabla4[[NIT]:[TOTAL CREDITO]],3,FALSE),0))</f>
        <v>3500000</v>
      </c>
      <c r="R74" s="9">
        <f>+IFERROR(VLOOKUP(Tabla3[[#This Row],[Cliente factura]],Tabla4[[NIT]:[TOTAL CREDITO]],6,FALSE),0)</f>
        <v>0</v>
      </c>
      <c r="S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4" s="10" t="str">
        <f>VLOOKUP(Tabla3[[#This Row],[Razón social cliente factura]]&amp;Tabla3[[#This Row],[Desc. ciudad]],'Estandar de Rutas'!$C$1:$E$553,2,FALSE)</f>
        <v>1.3.B</v>
      </c>
      <c r="U74" s="130">
        <f>IFERROR(VLOOKUP(Tabla3[[#This Row],[Referencia]]&amp;Tabla3[[#This Row],[Desc detalle ext 1]],Tabla1[[Referencia-Color]:[Disponibilidad]],3,FALSE),0)</f>
        <v>7</v>
      </c>
      <c r="V74" s="13"/>
      <c r="W74" s="17">
        <f>+Tabla3[[#This Row],[Cant. Programada]]*Tabla3[[#This Row],[Precio unit]]</f>
        <v>0</v>
      </c>
      <c r="X74" s="130"/>
      <c r="Y74" s="129"/>
      <c r="Z74" s="8" t="str">
        <f>+Tabla3[[#This Row],[Referencia]]&amp;Tabla3[[#This Row],[Desc detalle ext 1]]</f>
        <v>*XR 150L                                          NEGRO ROJ</v>
      </c>
      <c r="AA74" s="128" t="e">
        <f>+VLOOKUP(Tabla3[[#This Row],[CODIGO2]],ESTANDAR!$B$3:$C$9,2,FALSE)</f>
        <v>#N/A</v>
      </c>
      <c r="AB74" s="128" t="str">
        <f>+MID(Tabla3[[#This Row],['# Viaje]],10,1)</f>
        <v/>
      </c>
    </row>
    <row r="75" spans="1:28" ht="15" hidden="1" customHeight="1">
      <c r="A75" s="173" t="s">
        <v>1476</v>
      </c>
      <c r="B75" s="174">
        <v>42948</v>
      </c>
      <c r="C75" s="173" t="s">
        <v>1477</v>
      </c>
      <c r="D75" s="173" t="s">
        <v>1478</v>
      </c>
      <c r="E75" s="173" t="s">
        <v>1479</v>
      </c>
      <c r="F75" s="173">
        <v>1</v>
      </c>
      <c r="G75" s="173" t="s">
        <v>223</v>
      </c>
      <c r="H75" s="173">
        <v>1</v>
      </c>
      <c r="I75" s="173" t="s">
        <v>223</v>
      </c>
      <c r="J75" s="173" t="s">
        <v>27</v>
      </c>
      <c r="K75" s="173" t="s">
        <v>16</v>
      </c>
      <c r="L75" s="173"/>
      <c r="M75" s="173" t="s">
        <v>224</v>
      </c>
      <c r="N75" s="173">
        <v>94404403</v>
      </c>
      <c r="O75" s="175">
        <v>5789916</v>
      </c>
      <c r="P75" s="7"/>
      <c r="Q75" s="16">
        <f>+IF(IFERROR(VLOOKUP(Tabla3[[#This Row],[Cliente factura]],Tabla4[[NIT]:[TOTAL CREDITO]],3,FALSE),0)="",0,IFERROR(VLOOKUP(Tabla3[[#This Row],[Cliente factura]],Tabla4[[NIT]:[TOTAL CREDITO]],3,FALSE),0))</f>
        <v>3500000</v>
      </c>
      <c r="R75" s="9">
        <f>+IFERROR(VLOOKUP(Tabla3[[#This Row],[Cliente factura]],Tabla4[[NIT]:[TOTAL CREDITO]],6,FALSE),0)</f>
        <v>0</v>
      </c>
      <c r="S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" s="10" t="str">
        <f>VLOOKUP(Tabla3[[#This Row],[Razón social cliente factura]]&amp;Tabla3[[#This Row],[Desc. ciudad]],'Estandar de Rutas'!$C$1:$E$553,2,FALSE)</f>
        <v>1.3.B</v>
      </c>
      <c r="U75" s="130">
        <f>IFERROR(VLOOKUP(Tabla3[[#This Row],[Referencia]]&amp;Tabla3[[#This Row],[Desc detalle ext 1]],Tabla1[[Referencia-Color]:[Disponibilidad]],3,FALSE),0)</f>
        <v>3</v>
      </c>
      <c r="V75" s="13"/>
      <c r="W75" s="17">
        <f>+Tabla3[[#This Row],[Cant. Programada]]*Tabla3[[#This Row],[Precio unit]]</f>
        <v>0</v>
      </c>
      <c r="X75" s="130"/>
      <c r="Y75" s="8"/>
      <c r="Z75" s="8" t="str">
        <f>+Tabla3[[#This Row],[Referencia]]&amp;Tabla3[[#This Row],[Desc detalle ext 1]]</f>
        <v xml:space="preserve">*XR 150L                                          NEGRO    </v>
      </c>
      <c r="AA75" s="128" t="e">
        <f>+VLOOKUP(Tabla3[[#This Row],[CODIGO2]],ESTANDAR!$B$3:$C$9,2,FALSE)</f>
        <v>#N/A</v>
      </c>
      <c r="AB75" s="128" t="str">
        <f>+MID(Tabla3[[#This Row],['# Viaje]],10,1)</f>
        <v/>
      </c>
    </row>
    <row r="76" spans="1:28" ht="15" hidden="1" customHeight="1">
      <c r="A76" s="173" t="s">
        <v>1476</v>
      </c>
      <c r="B76" s="174">
        <v>42948</v>
      </c>
      <c r="C76" s="173" t="s">
        <v>1477</v>
      </c>
      <c r="D76" s="173" t="s">
        <v>1478</v>
      </c>
      <c r="E76" s="173" t="s">
        <v>1479</v>
      </c>
      <c r="F76" s="173">
        <v>1</v>
      </c>
      <c r="G76" s="173" t="s">
        <v>223</v>
      </c>
      <c r="H76" s="173">
        <v>1</v>
      </c>
      <c r="I76" s="173" t="s">
        <v>223</v>
      </c>
      <c r="J76" s="173" t="s">
        <v>10</v>
      </c>
      <c r="K76" s="173" t="s">
        <v>11</v>
      </c>
      <c r="L76" s="173"/>
      <c r="M76" s="173" t="s">
        <v>224</v>
      </c>
      <c r="N76" s="173">
        <v>94404403</v>
      </c>
      <c r="O76" s="175">
        <v>7554622</v>
      </c>
      <c r="P76" s="7"/>
      <c r="Q76" s="16">
        <f>+IF(IFERROR(VLOOKUP(Tabla3[[#This Row],[Cliente factura]],Tabla4[[NIT]:[TOTAL CREDITO]],3,FALSE),0)="",0,IFERROR(VLOOKUP(Tabla3[[#This Row],[Cliente factura]],Tabla4[[NIT]:[TOTAL CREDITO]],3,FALSE),0))</f>
        <v>3500000</v>
      </c>
      <c r="R76" s="9">
        <f>+IFERROR(VLOOKUP(Tabla3[[#This Row],[Cliente factura]],Tabla4[[NIT]:[TOTAL CREDITO]],6,FALSE),0)</f>
        <v>0</v>
      </c>
      <c r="S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" s="10" t="str">
        <f>VLOOKUP(Tabla3[[#This Row],[Razón social cliente factura]]&amp;Tabla3[[#This Row],[Desc. ciudad]],'Estandar de Rutas'!$C$1:$E$553,2,FALSE)</f>
        <v>1.3.B</v>
      </c>
      <c r="U76" s="130">
        <f>IFERROR(VLOOKUP(Tabla3[[#This Row],[Referencia]]&amp;Tabla3[[#This Row],[Desc detalle ext 1]],Tabla1[[Referencia-Color]:[Disponibilidad]],3,FALSE),0)</f>
        <v>0</v>
      </c>
      <c r="V76" s="13"/>
      <c r="W76" s="17">
        <f>+Tabla3[[#This Row],[Cant. Programada]]*Tabla3[[#This Row],[Precio unit]]</f>
        <v>0</v>
      </c>
      <c r="X76" s="129"/>
      <c r="Y76" s="8"/>
      <c r="Z76" s="8" t="str">
        <f>+Tabla3[[#This Row],[Referencia]]&amp;Tabla3[[#This Row],[Desc detalle ext 1]]</f>
        <v>CB 190R                                           NEGRO ONI</v>
      </c>
      <c r="AA76" s="128" t="e">
        <f>+VLOOKUP(Tabla3[[#This Row],[CODIGO2]],ESTANDAR!$B$3:$C$9,2,FALSE)</f>
        <v>#N/A</v>
      </c>
      <c r="AB76" s="128" t="str">
        <f>+MID(Tabla3[[#This Row],['# Viaje]],10,1)</f>
        <v/>
      </c>
    </row>
    <row r="77" spans="1:28" ht="15" hidden="1" customHeight="1">
      <c r="A77" s="173" t="s">
        <v>1476</v>
      </c>
      <c r="B77" s="174">
        <v>42948</v>
      </c>
      <c r="C77" s="173" t="s">
        <v>1477</v>
      </c>
      <c r="D77" s="173" t="s">
        <v>1478</v>
      </c>
      <c r="E77" s="173" t="s">
        <v>1479</v>
      </c>
      <c r="F77" s="173">
        <v>1</v>
      </c>
      <c r="G77" s="173" t="s">
        <v>223</v>
      </c>
      <c r="H77" s="173">
        <v>1</v>
      </c>
      <c r="I77" s="173" t="s">
        <v>223</v>
      </c>
      <c r="J77" s="173" t="s">
        <v>25</v>
      </c>
      <c r="K77" s="173" t="s">
        <v>26</v>
      </c>
      <c r="L77" s="173"/>
      <c r="M77" s="173" t="s">
        <v>224</v>
      </c>
      <c r="N77" s="173">
        <v>94404403</v>
      </c>
      <c r="O77" s="175">
        <v>3521008</v>
      </c>
      <c r="P77" s="7"/>
      <c r="Q77" s="16">
        <f>+IF(IFERROR(VLOOKUP(Tabla3[[#This Row],[Cliente factura]],Tabla4[[NIT]:[TOTAL CREDITO]],3,FALSE),0)="",0,IFERROR(VLOOKUP(Tabla3[[#This Row],[Cliente factura]],Tabla4[[NIT]:[TOTAL CREDITO]],3,FALSE),0))</f>
        <v>3500000</v>
      </c>
      <c r="R77" s="9">
        <f>+IFERROR(VLOOKUP(Tabla3[[#This Row],[Cliente factura]],Tabla4[[NIT]:[TOTAL CREDITO]],6,FALSE),0)</f>
        <v>0</v>
      </c>
      <c r="S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" s="10" t="str">
        <f>VLOOKUP(Tabla3[[#This Row],[Razón social cliente factura]]&amp;Tabla3[[#This Row],[Desc. ciudad]],'Estandar de Rutas'!$C$1:$E$553,2,FALSE)</f>
        <v>1.3.B</v>
      </c>
      <c r="U77" s="130">
        <f>IFERROR(VLOOKUP(Tabla3[[#This Row],[Referencia]]&amp;Tabla3[[#This Row],[Desc detalle ext 1]],Tabla1[[Referencia-Color]:[Disponibilidad]],3,FALSE),0)</f>
        <v>15</v>
      </c>
      <c r="V77" s="13"/>
      <c r="W77" s="17">
        <f>+Tabla3[[#This Row],[Cant. Programada]]*Tabla3[[#This Row],[Precio unit]]</f>
        <v>0</v>
      </c>
      <c r="X77" s="8"/>
      <c r="Y77" s="8"/>
      <c r="Z77" s="8" t="str">
        <f>+Tabla3[[#This Row],[Referencia]]&amp;Tabla3[[#This Row],[Desc detalle ext 1]]</f>
        <v>DIO 110                                           NEGRO BLA</v>
      </c>
      <c r="AA77" s="128" t="e">
        <f>+VLOOKUP(Tabla3[[#This Row],[CODIGO2]],ESTANDAR!$B$3:$C$9,2,FALSE)</f>
        <v>#N/A</v>
      </c>
      <c r="AB77" s="128" t="str">
        <f>+MID(Tabla3[[#This Row],['# Viaje]],10,1)</f>
        <v/>
      </c>
    </row>
    <row r="78" spans="1:28" ht="15" hidden="1" customHeight="1">
      <c r="A78" s="173" t="s">
        <v>1476</v>
      </c>
      <c r="B78" s="174">
        <v>42948</v>
      </c>
      <c r="C78" s="173" t="s">
        <v>1477</v>
      </c>
      <c r="D78" s="173" t="s">
        <v>1478</v>
      </c>
      <c r="E78" s="173" t="s">
        <v>1479</v>
      </c>
      <c r="F78" s="173">
        <v>1</v>
      </c>
      <c r="G78" s="173" t="s">
        <v>223</v>
      </c>
      <c r="H78" s="173">
        <v>1</v>
      </c>
      <c r="I78" s="173" t="s">
        <v>223</v>
      </c>
      <c r="J78" s="173" t="s">
        <v>354</v>
      </c>
      <c r="K78" s="173" t="s">
        <v>355</v>
      </c>
      <c r="L78" s="173"/>
      <c r="M78" s="173" t="s">
        <v>224</v>
      </c>
      <c r="N78" s="173">
        <v>94404403</v>
      </c>
      <c r="O78" s="175">
        <v>6133613</v>
      </c>
      <c r="P78" s="7"/>
      <c r="Q78" s="16">
        <f>+IF(IFERROR(VLOOKUP(Tabla3[[#This Row],[Cliente factura]],Tabla4[[NIT]:[TOTAL CREDITO]],3,FALSE),0)="",0,IFERROR(VLOOKUP(Tabla3[[#This Row],[Cliente factura]],Tabla4[[NIT]:[TOTAL CREDITO]],3,FALSE),0))</f>
        <v>3500000</v>
      </c>
      <c r="R78" s="9">
        <f>+IFERROR(VLOOKUP(Tabla3[[#This Row],[Cliente factura]],Tabla4[[NIT]:[TOTAL CREDITO]],6,FALSE),0)</f>
        <v>0</v>
      </c>
      <c r="S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" s="10" t="str">
        <f>VLOOKUP(Tabla3[[#This Row],[Razón social cliente factura]]&amp;Tabla3[[#This Row],[Desc. ciudad]],'Estandar de Rutas'!$C$1:$E$553,2,FALSE)</f>
        <v>1.3.B</v>
      </c>
      <c r="U78" s="130">
        <f>IFERROR(VLOOKUP(Tabla3[[#This Row],[Referencia]]&amp;Tabla3[[#This Row],[Desc detalle ext 1]],Tabla1[[Referencia-Color]:[Disponibilidad]],3,FALSE),0)</f>
        <v>0</v>
      </c>
      <c r="V78" s="13"/>
      <c r="W78" s="17">
        <f>+Tabla3[[#This Row],[Cant. Programada]]*Tabla3[[#This Row],[Precio unit]]</f>
        <v>0</v>
      </c>
      <c r="X78" s="130"/>
      <c r="Y78" s="129"/>
      <c r="Z78" s="8" t="str">
        <f>+Tabla3[[#This Row],[Referencia]]&amp;Tabla3[[#This Row],[Desc detalle ext 1]]</f>
        <v>CB 160F DLX                                       NEGRO PER</v>
      </c>
      <c r="AA78" s="128" t="e">
        <f>+VLOOKUP(Tabla3[[#This Row],[CODIGO2]],ESTANDAR!$B$3:$C$9,2,FALSE)</f>
        <v>#N/A</v>
      </c>
      <c r="AB78" s="128" t="str">
        <f>+MID(Tabla3[[#This Row],['# Viaje]],10,1)</f>
        <v/>
      </c>
    </row>
    <row r="79" spans="1:28" ht="15" hidden="1" customHeight="1">
      <c r="A79" s="173" t="s">
        <v>1476</v>
      </c>
      <c r="B79" s="174">
        <v>42948</v>
      </c>
      <c r="C79" s="173" t="s">
        <v>1477</v>
      </c>
      <c r="D79" s="173" t="s">
        <v>1478</v>
      </c>
      <c r="E79" s="173" t="s">
        <v>1479</v>
      </c>
      <c r="F79" s="173">
        <v>1</v>
      </c>
      <c r="G79" s="173" t="s">
        <v>223</v>
      </c>
      <c r="H79" s="173">
        <v>1</v>
      </c>
      <c r="I79" s="173" t="s">
        <v>223</v>
      </c>
      <c r="J79" s="173" t="s">
        <v>354</v>
      </c>
      <c r="K79" s="173" t="s">
        <v>17</v>
      </c>
      <c r="L79" s="173"/>
      <c r="M79" s="173" t="s">
        <v>224</v>
      </c>
      <c r="N79" s="173">
        <v>94404403</v>
      </c>
      <c r="O79" s="175">
        <v>6133613</v>
      </c>
      <c r="P79" s="7"/>
      <c r="Q79" s="16">
        <f>+IF(IFERROR(VLOOKUP(Tabla3[[#This Row],[Cliente factura]],Tabla4[[NIT]:[TOTAL CREDITO]],3,FALSE),0)="",0,IFERROR(VLOOKUP(Tabla3[[#This Row],[Cliente factura]],Tabla4[[NIT]:[TOTAL CREDITO]],3,FALSE),0))</f>
        <v>3500000</v>
      </c>
      <c r="R79" s="9">
        <f>+IFERROR(VLOOKUP(Tabla3[[#This Row],[Cliente factura]],Tabla4[[NIT]:[TOTAL CREDITO]],6,FALSE),0)</f>
        <v>0</v>
      </c>
      <c r="S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" s="10" t="str">
        <f>VLOOKUP(Tabla3[[#This Row],[Razón social cliente factura]]&amp;Tabla3[[#This Row],[Desc. ciudad]],'Estandar de Rutas'!$C$1:$E$553,2,FALSE)</f>
        <v>1.3.B</v>
      </c>
      <c r="U79" s="130">
        <f>IFERROR(VLOOKUP(Tabla3[[#This Row],[Referencia]]&amp;Tabla3[[#This Row],[Desc detalle ext 1]],Tabla1[[Referencia-Color]:[Disponibilidad]],3,FALSE),0)</f>
        <v>48</v>
      </c>
      <c r="V79" s="13"/>
      <c r="W79" s="17">
        <f>+Tabla3[[#This Row],[Cant. Programada]]*Tabla3[[#This Row],[Precio unit]]</f>
        <v>0</v>
      </c>
      <c r="X79" s="8"/>
      <c r="Y79" s="8"/>
      <c r="Z79" s="8" t="str">
        <f>+Tabla3[[#This Row],[Referencia]]&amp;Tabla3[[#This Row],[Desc detalle ext 1]]</f>
        <v>CB 160F DLX                                       ROJO SPOR</v>
      </c>
      <c r="AA79" s="128" t="e">
        <f>+VLOOKUP(Tabla3[[#This Row],[CODIGO2]],ESTANDAR!$B$3:$C$9,2,FALSE)</f>
        <v>#N/A</v>
      </c>
      <c r="AB79" s="128" t="str">
        <f>+MID(Tabla3[[#This Row],['# Viaje]],10,1)</f>
        <v/>
      </c>
    </row>
    <row r="80" spans="1:28" ht="15" hidden="1" customHeight="1">
      <c r="A80" s="173" t="s">
        <v>1476</v>
      </c>
      <c r="B80" s="174">
        <v>42948</v>
      </c>
      <c r="C80" s="173" t="s">
        <v>1477</v>
      </c>
      <c r="D80" s="173" t="s">
        <v>1478</v>
      </c>
      <c r="E80" s="173" t="s">
        <v>1479</v>
      </c>
      <c r="F80" s="173">
        <v>1</v>
      </c>
      <c r="G80" s="173" t="s">
        <v>223</v>
      </c>
      <c r="H80" s="173">
        <v>1</v>
      </c>
      <c r="I80" s="173" t="s">
        <v>223</v>
      </c>
      <c r="J80" s="173" t="s">
        <v>1433</v>
      </c>
      <c r="K80" s="173" t="s">
        <v>1431</v>
      </c>
      <c r="L80" s="173"/>
      <c r="M80" s="173" t="s">
        <v>224</v>
      </c>
      <c r="N80" s="173">
        <v>94404403</v>
      </c>
      <c r="O80" s="175">
        <v>3521008</v>
      </c>
      <c r="P80" s="7"/>
      <c r="Q80" s="16">
        <f>+IF(IFERROR(VLOOKUP(Tabla3[[#This Row],[Cliente factura]],Tabla4[[NIT]:[TOTAL CREDITO]],3,FALSE),0)="",0,IFERROR(VLOOKUP(Tabla3[[#This Row],[Cliente factura]],Tabla4[[NIT]:[TOTAL CREDITO]],3,FALSE),0))</f>
        <v>3500000</v>
      </c>
      <c r="R80" s="9">
        <f>+IFERROR(VLOOKUP(Tabla3[[#This Row],[Cliente factura]],Tabla4[[NIT]:[TOTAL CREDITO]],6,FALSE),0)</f>
        <v>0</v>
      </c>
      <c r="S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" s="10" t="str">
        <f>VLOOKUP(Tabla3[[#This Row],[Razón social cliente factura]]&amp;Tabla3[[#This Row],[Desc. ciudad]],'Estandar de Rutas'!$C$1:$E$553,2,FALSE)</f>
        <v>1.3.B</v>
      </c>
      <c r="U80" s="130">
        <f>IFERROR(VLOOKUP(Tabla3[[#This Row],[Referencia]]&amp;Tabla3[[#This Row],[Desc detalle ext 1]],Tabla1[[Referencia-Color]:[Disponibilidad]],3,FALSE),0)</f>
        <v>0</v>
      </c>
      <c r="V80" s="13"/>
      <c r="W80" s="17">
        <f>+Tabla3[[#This Row],[Cant. Programada]]*Tabla3[[#This Row],[Precio unit]]</f>
        <v>0</v>
      </c>
      <c r="X80" s="8"/>
      <c r="Y80" s="8"/>
      <c r="Z80" s="8" t="str">
        <f>+Tabla3[[#This Row],[Referencia]]&amp;Tabla3[[#This Row],[Desc detalle ext 1]]</f>
        <v xml:space="preserve">DIO  110                                          ROJO     </v>
      </c>
      <c r="AA80" s="128" t="e">
        <f>+VLOOKUP(Tabla3[[#This Row],[CODIGO2]],ESTANDAR!$B$3:$C$9,2,FALSE)</f>
        <v>#N/A</v>
      </c>
      <c r="AB80" s="128" t="str">
        <f>+MID(Tabla3[[#This Row],['# Viaje]],10,1)</f>
        <v/>
      </c>
    </row>
    <row r="81" spans="1:28" ht="15" hidden="1" customHeight="1">
      <c r="A81" s="173" t="s">
        <v>1476</v>
      </c>
      <c r="B81" s="174">
        <v>42948</v>
      </c>
      <c r="C81" s="173" t="s">
        <v>1477</v>
      </c>
      <c r="D81" s="173" t="s">
        <v>1478</v>
      </c>
      <c r="E81" s="173" t="s">
        <v>1479</v>
      </c>
      <c r="F81" s="173">
        <v>1</v>
      </c>
      <c r="G81" s="173" t="s">
        <v>223</v>
      </c>
      <c r="H81" s="173">
        <v>1</v>
      </c>
      <c r="I81" s="173" t="s">
        <v>223</v>
      </c>
      <c r="J81" s="173" t="s">
        <v>1433</v>
      </c>
      <c r="K81" s="173" t="s">
        <v>1452</v>
      </c>
      <c r="L81" s="173"/>
      <c r="M81" s="173" t="s">
        <v>224</v>
      </c>
      <c r="N81" s="173">
        <v>94404403</v>
      </c>
      <c r="O81" s="175">
        <v>3521008</v>
      </c>
      <c r="P81" s="7"/>
      <c r="Q81" s="16">
        <f>+IF(IFERROR(VLOOKUP(Tabla3[[#This Row],[Cliente factura]],Tabla4[[NIT]:[TOTAL CREDITO]],3,FALSE),0)="",0,IFERROR(VLOOKUP(Tabla3[[#This Row],[Cliente factura]],Tabla4[[NIT]:[TOTAL CREDITO]],3,FALSE),0))</f>
        <v>3500000</v>
      </c>
      <c r="R81" s="9">
        <f>+IFERROR(VLOOKUP(Tabla3[[#This Row],[Cliente factura]],Tabla4[[NIT]:[TOTAL CREDITO]],6,FALSE),0)</f>
        <v>0</v>
      </c>
      <c r="S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" s="10" t="str">
        <f>VLOOKUP(Tabla3[[#This Row],[Razón social cliente factura]]&amp;Tabla3[[#This Row],[Desc. ciudad]],'Estandar de Rutas'!$C$1:$E$553,2,FALSE)</f>
        <v>1.3.B</v>
      </c>
      <c r="U81" s="130">
        <f>IFERROR(VLOOKUP(Tabla3[[#This Row],[Referencia]]&amp;Tabla3[[#This Row],[Desc detalle ext 1]],Tabla1[[Referencia-Color]:[Disponibilidad]],3,FALSE),0)</f>
        <v>0</v>
      </c>
      <c r="V81" s="13"/>
      <c r="W81" s="17">
        <f>+Tabla3[[#This Row],[Cant. Programada]]*Tabla3[[#This Row],[Precio unit]]</f>
        <v>0</v>
      </c>
      <c r="X81" s="8"/>
      <c r="Y81" s="8"/>
      <c r="Z81" s="8" t="str">
        <f>+Tabla3[[#This Row],[Referencia]]&amp;Tabla3[[#This Row],[Desc detalle ext 1]]</f>
        <v xml:space="preserve">DIO  110                                          AZUL     </v>
      </c>
      <c r="AA81" s="128" t="e">
        <f>+VLOOKUP(Tabla3[[#This Row],[CODIGO2]],ESTANDAR!$B$3:$C$9,2,FALSE)</f>
        <v>#N/A</v>
      </c>
      <c r="AB81" s="128" t="str">
        <f>+MID(Tabla3[[#This Row],['# Viaje]],10,1)</f>
        <v/>
      </c>
    </row>
    <row r="82" spans="1:28" ht="15" hidden="1" customHeight="1">
      <c r="A82" s="173" t="s">
        <v>1476</v>
      </c>
      <c r="B82" s="174">
        <v>42948</v>
      </c>
      <c r="C82" s="173" t="s">
        <v>1477</v>
      </c>
      <c r="D82" s="173" t="s">
        <v>1478</v>
      </c>
      <c r="E82" s="173" t="s">
        <v>1479</v>
      </c>
      <c r="F82" s="173">
        <v>1</v>
      </c>
      <c r="G82" s="173" t="s">
        <v>223</v>
      </c>
      <c r="H82" s="173">
        <v>1</v>
      </c>
      <c r="I82" s="173" t="s">
        <v>223</v>
      </c>
      <c r="J82" s="173" t="s">
        <v>1430</v>
      </c>
      <c r="K82" s="173" t="s">
        <v>1431</v>
      </c>
      <c r="L82" s="173"/>
      <c r="M82" s="173" t="s">
        <v>224</v>
      </c>
      <c r="N82" s="173">
        <v>94404403</v>
      </c>
      <c r="O82" s="175">
        <v>3941176</v>
      </c>
      <c r="P82" s="7"/>
      <c r="Q82" s="16">
        <f>+IF(IFERROR(VLOOKUP(Tabla3[[#This Row],[Cliente factura]],Tabla4[[NIT]:[TOTAL CREDITO]],3,FALSE),0)="",0,IFERROR(VLOOKUP(Tabla3[[#This Row],[Cliente factura]],Tabla4[[NIT]:[TOTAL CREDITO]],3,FALSE),0))</f>
        <v>3500000</v>
      </c>
      <c r="R82" s="9">
        <f>+IFERROR(VLOOKUP(Tabla3[[#This Row],[Cliente factura]],Tabla4[[NIT]:[TOTAL CREDITO]],6,FALSE),0)</f>
        <v>0</v>
      </c>
      <c r="S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" s="10" t="str">
        <f>VLOOKUP(Tabla3[[#This Row],[Razón social cliente factura]]&amp;Tabla3[[#This Row],[Desc. ciudad]],'Estandar de Rutas'!$C$1:$E$553,2,FALSE)</f>
        <v>1.3.B</v>
      </c>
      <c r="U82" s="130">
        <f>IFERROR(VLOOKUP(Tabla3[[#This Row],[Referencia]]&amp;Tabla3[[#This Row],[Desc detalle ext 1]],Tabla1[[Referencia-Color]:[Disponibilidad]],3,FALSE),0)</f>
        <v>0</v>
      </c>
      <c r="V82" s="13"/>
      <c r="W82" s="17">
        <f>+Tabla3[[#This Row],[Cant. Programada]]*Tabla3[[#This Row],[Precio unit]]</f>
        <v>0</v>
      </c>
      <c r="X82" s="129"/>
      <c r="Y82" s="129"/>
      <c r="Z82" s="8" t="str">
        <f>+Tabla3[[#This Row],[Referencia]]&amp;Tabla3[[#This Row],[Desc detalle ext 1]]</f>
        <v xml:space="preserve">WAVE 110S                                         ROJO     </v>
      </c>
      <c r="AA82" s="128" t="e">
        <f>+VLOOKUP(Tabla3[[#This Row],[CODIGO2]],ESTANDAR!$B$3:$C$9,2,FALSE)</f>
        <v>#N/A</v>
      </c>
      <c r="AB82" s="128" t="str">
        <f>+MID(Tabla3[[#This Row],['# Viaje]],10,1)</f>
        <v/>
      </c>
    </row>
    <row r="83" spans="1:28" ht="15" hidden="1" customHeight="1">
      <c r="A83" s="173" t="s">
        <v>1476</v>
      </c>
      <c r="B83" s="174">
        <v>42948</v>
      </c>
      <c r="C83" s="173" t="s">
        <v>1477</v>
      </c>
      <c r="D83" s="173" t="s">
        <v>1478</v>
      </c>
      <c r="E83" s="173" t="s">
        <v>1479</v>
      </c>
      <c r="F83" s="173">
        <v>1</v>
      </c>
      <c r="G83" s="173" t="s">
        <v>223</v>
      </c>
      <c r="H83" s="173">
        <v>1</v>
      </c>
      <c r="I83" s="173" t="s">
        <v>223</v>
      </c>
      <c r="J83" s="173" t="s">
        <v>1430</v>
      </c>
      <c r="K83" s="173" t="s">
        <v>16</v>
      </c>
      <c r="L83" s="173"/>
      <c r="M83" s="173" t="s">
        <v>224</v>
      </c>
      <c r="N83" s="173">
        <v>94404403</v>
      </c>
      <c r="O83" s="175">
        <v>3941176</v>
      </c>
      <c r="P83" s="7"/>
      <c r="Q83" s="16">
        <f>+IF(IFERROR(VLOOKUP(Tabla3[[#This Row],[Cliente factura]],Tabla4[[NIT]:[TOTAL CREDITO]],3,FALSE),0)="",0,IFERROR(VLOOKUP(Tabla3[[#This Row],[Cliente factura]],Tabla4[[NIT]:[TOTAL CREDITO]],3,FALSE),0))</f>
        <v>3500000</v>
      </c>
      <c r="R83" s="9">
        <f>+IFERROR(VLOOKUP(Tabla3[[#This Row],[Cliente factura]],Tabla4[[NIT]:[TOTAL CREDITO]],6,FALSE),0)</f>
        <v>0</v>
      </c>
      <c r="S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" s="10" t="str">
        <f>VLOOKUP(Tabla3[[#This Row],[Razón social cliente factura]]&amp;Tabla3[[#This Row],[Desc. ciudad]],'Estandar de Rutas'!$C$1:$E$553,2,FALSE)</f>
        <v>1.3.B</v>
      </c>
      <c r="U83" s="130">
        <f>IFERROR(VLOOKUP(Tabla3[[#This Row],[Referencia]]&amp;Tabla3[[#This Row],[Desc detalle ext 1]],Tabla1[[Referencia-Color]:[Disponibilidad]],3,FALSE),0)</f>
        <v>0</v>
      </c>
      <c r="V83" s="13"/>
      <c r="W83" s="17">
        <f>+Tabla3[[#This Row],[Cant. Programada]]*Tabla3[[#This Row],[Precio unit]]</f>
        <v>0</v>
      </c>
      <c r="X83" s="130"/>
      <c r="Y83" s="129"/>
      <c r="Z83" s="8" t="str">
        <f>+Tabla3[[#This Row],[Referencia]]&amp;Tabla3[[#This Row],[Desc detalle ext 1]]</f>
        <v xml:space="preserve">WAVE 110S                                         NEGRO    </v>
      </c>
      <c r="AA83" s="128" t="e">
        <f>+VLOOKUP(Tabla3[[#This Row],[CODIGO2]],ESTANDAR!$B$3:$C$9,2,FALSE)</f>
        <v>#N/A</v>
      </c>
      <c r="AB83" s="128" t="str">
        <f>+MID(Tabla3[[#This Row],['# Viaje]],10,1)</f>
        <v/>
      </c>
    </row>
    <row r="84" spans="1:28" ht="15" hidden="1" customHeight="1">
      <c r="A84" s="173" t="s">
        <v>1476</v>
      </c>
      <c r="B84" s="174">
        <v>42948</v>
      </c>
      <c r="C84" s="173" t="s">
        <v>1477</v>
      </c>
      <c r="D84" s="173" t="s">
        <v>1478</v>
      </c>
      <c r="E84" s="173" t="s">
        <v>1479</v>
      </c>
      <c r="F84" s="173">
        <v>1</v>
      </c>
      <c r="G84" s="173" t="s">
        <v>223</v>
      </c>
      <c r="H84" s="173">
        <v>1</v>
      </c>
      <c r="I84" s="173" t="s">
        <v>223</v>
      </c>
      <c r="J84" s="173" t="s">
        <v>1234</v>
      </c>
      <c r="K84" s="173" t="s">
        <v>17</v>
      </c>
      <c r="L84" s="173"/>
      <c r="M84" s="173" t="s">
        <v>224</v>
      </c>
      <c r="N84" s="173">
        <v>94404403</v>
      </c>
      <c r="O84" s="175">
        <v>5453782</v>
      </c>
      <c r="P84" s="7"/>
      <c r="Q84" s="16">
        <f>+IF(IFERROR(VLOOKUP(Tabla3[[#This Row],[Cliente factura]],Tabla4[[NIT]:[TOTAL CREDITO]],3,FALSE),0)="",0,IFERROR(VLOOKUP(Tabla3[[#This Row],[Cliente factura]],Tabla4[[NIT]:[TOTAL CREDITO]],3,FALSE),0))</f>
        <v>3500000</v>
      </c>
      <c r="R84" s="9">
        <f>+IFERROR(VLOOKUP(Tabla3[[#This Row],[Cliente factura]],Tabla4[[NIT]:[TOTAL CREDITO]],6,FALSE),0)</f>
        <v>0</v>
      </c>
      <c r="S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4" s="10" t="str">
        <f>VLOOKUP(Tabla3[[#This Row],[Razón social cliente factura]]&amp;Tabla3[[#This Row],[Desc. ciudad]],'Estandar de Rutas'!$C$1:$E$553,2,FALSE)</f>
        <v>1.3.B</v>
      </c>
      <c r="U84" s="130">
        <f>IFERROR(VLOOKUP(Tabla3[[#This Row],[Referencia]]&amp;Tabla3[[#This Row],[Desc detalle ext 1]],Tabla1[[Referencia-Color]:[Disponibilidad]],3,FALSE),0)</f>
        <v>0</v>
      </c>
      <c r="V84" s="13"/>
      <c r="W84" s="17">
        <f>+Tabla3[[#This Row],[Cant. Programada]]*Tabla3[[#This Row],[Precio unit]]</f>
        <v>0</v>
      </c>
      <c r="X84" s="129"/>
      <c r="Y84" s="129"/>
      <c r="Z84" s="8" t="str">
        <f>+Tabla3[[#This Row],[Referencia]]&amp;Tabla3[[#This Row],[Desc detalle ext 1]]</f>
        <v>CB 160F STD                                       ROJO SPOR</v>
      </c>
      <c r="AA84" s="128" t="e">
        <f>+VLOOKUP(Tabla3[[#This Row],[CODIGO2]],ESTANDAR!$B$3:$C$9,2,FALSE)</f>
        <v>#N/A</v>
      </c>
      <c r="AB84" s="128" t="str">
        <f>+MID(Tabla3[[#This Row],['# Viaje]],10,1)</f>
        <v/>
      </c>
    </row>
    <row r="85" spans="1:28" ht="15" hidden="1" customHeight="1">
      <c r="A85" s="173" t="s">
        <v>1476</v>
      </c>
      <c r="B85" s="174">
        <v>42948</v>
      </c>
      <c r="C85" s="173" t="s">
        <v>1477</v>
      </c>
      <c r="D85" s="173" t="s">
        <v>1478</v>
      </c>
      <c r="E85" s="173" t="s">
        <v>1479</v>
      </c>
      <c r="F85" s="173">
        <v>3</v>
      </c>
      <c r="G85" s="173" t="s">
        <v>223</v>
      </c>
      <c r="H85" s="173">
        <v>3</v>
      </c>
      <c r="I85" s="173" t="s">
        <v>223</v>
      </c>
      <c r="J85" s="173" t="s">
        <v>1234</v>
      </c>
      <c r="K85" s="173" t="s">
        <v>355</v>
      </c>
      <c r="L85" s="173"/>
      <c r="M85" s="173" t="s">
        <v>224</v>
      </c>
      <c r="N85" s="173">
        <v>94404403</v>
      </c>
      <c r="O85" s="175">
        <v>5453782</v>
      </c>
      <c r="P85" s="7"/>
      <c r="Q85" s="16">
        <f>+IF(IFERROR(VLOOKUP(Tabla3[[#This Row],[Cliente factura]],Tabla4[[NIT]:[TOTAL CREDITO]],3,FALSE),0)="",0,IFERROR(VLOOKUP(Tabla3[[#This Row],[Cliente factura]],Tabla4[[NIT]:[TOTAL CREDITO]],3,FALSE),0))</f>
        <v>3500000</v>
      </c>
      <c r="R85" s="9">
        <f>+IFERROR(VLOOKUP(Tabla3[[#This Row],[Cliente factura]],Tabla4[[NIT]:[TOTAL CREDITO]],6,FALSE),0)</f>
        <v>0</v>
      </c>
      <c r="S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" s="10" t="str">
        <f>VLOOKUP(Tabla3[[#This Row],[Razón social cliente factura]]&amp;Tabla3[[#This Row],[Desc. ciudad]],'Estandar de Rutas'!$C$1:$E$553,2,FALSE)</f>
        <v>1.3.B</v>
      </c>
      <c r="U85" s="130">
        <f>IFERROR(VLOOKUP(Tabla3[[#This Row],[Referencia]]&amp;Tabla3[[#This Row],[Desc detalle ext 1]],Tabla1[[Referencia-Color]:[Disponibilidad]],3,FALSE),0)</f>
        <v>0</v>
      </c>
      <c r="V85" s="13"/>
      <c r="W85" s="17">
        <f>+Tabla3[[#This Row],[Cant. Programada]]*Tabla3[[#This Row],[Precio unit]]</f>
        <v>0</v>
      </c>
      <c r="X85" s="130"/>
      <c r="Y85" s="129"/>
      <c r="Z85" s="8" t="str">
        <f>+Tabla3[[#This Row],[Referencia]]&amp;Tabla3[[#This Row],[Desc detalle ext 1]]</f>
        <v>CB 160F STD                                       NEGRO PER</v>
      </c>
      <c r="AA85" s="128" t="e">
        <f>+VLOOKUP(Tabla3[[#This Row],[CODIGO2]],ESTANDAR!$B$3:$C$9,2,FALSE)</f>
        <v>#N/A</v>
      </c>
      <c r="AB85" s="128" t="str">
        <f>+MID(Tabla3[[#This Row],['# Viaje]],10,1)</f>
        <v/>
      </c>
    </row>
    <row r="86" spans="1:28" ht="15" hidden="1" customHeight="1">
      <c r="A86" s="173" t="s">
        <v>1476</v>
      </c>
      <c r="B86" s="174">
        <v>42948</v>
      </c>
      <c r="C86" s="173" t="s">
        <v>1477</v>
      </c>
      <c r="D86" s="173" t="s">
        <v>1478</v>
      </c>
      <c r="E86" s="173" t="s">
        <v>1479</v>
      </c>
      <c r="F86" s="173">
        <v>2</v>
      </c>
      <c r="G86" s="173" t="s">
        <v>223</v>
      </c>
      <c r="H86" s="173">
        <v>2</v>
      </c>
      <c r="I86" s="173" t="s">
        <v>223</v>
      </c>
      <c r="J86" s="173" t="s">
        <v>1451</v>
      </c>
      <c r="K86" s="173" t="s">
        <v>1452</v>
      </c>
      <c r="L86" s="173"/>
      <c r="M86" s="173" t="s">
        <v>224</v>
      </c>
      <c r="N86" s="173">
        <v>94404403</v>
      </c>
      <c r="O86" s="175">
        <v>3696639</v>
      </c>
      <c r="P86" s="7"/>
      <c r="Q86" s="16">
        <f>+IF(IFERROR(VLOOKUP(Tabla3[[#This Row],[Cliente factura]],Tabla4[[NIT]:[TOTAL CREDITO]],3,FALSE),0)="",0,IFERROR(VLOOKUP(Tabla3[[#This Row],[Cliente factura]],Tabla4[[NIT]:[TOTAL CREDITO]],3,FALSE),0))</f>
        <v>3500000</v>
      </c>
      <c r="R86" s="9">
        <f>+IFERROR(VLOOKUP(Tabla3[[#This Row],[Cliente factura]],Tabla4[[NIT]:[TOTAL CREDITO]],6,FALSE),0)</f>
        <v>0</v>
      </c>
      <c r="S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" s="10" t="str">
        <f>VLOOKUP(Tabla3[[#This Row],[Razón social cliente factura]]&amp;Tabla3[[#This Row],[Desc. ciudad]],'Estandar de Rutas'!$C$1:$E$553,2,FALSE)</f>
        <v>1.3.B</v>
      </c>
      <c r="U86" s="130">
        <f>IFERROR(VLOOKUP(Tabla3[[#This Row],[Referencia]]&amp;Tabla3[[#This Row],[Desc detalle ext 1]],Tabla1[[Referencia-Color]:[Disponibilidad]],3,FALSE),0)</f>
        <v>21</v>
      </c>
      <c r="V86" s="13"/>
      <c r="W86" s="17">
        <f>+Tabla3[[#This Row],[Cant. Programada]]*Tabla3[[#This Row],[Precio unit]]</f>
        <v>0</v>
      </c>
      <c r="X86" s="129"/>
      <c r="Y86" s="129"/>
      <c r="Z86" s="8" t="str">
        <f>+Tabla3[[#This Row],[Referencia]]&amp;Tabla3[[#This Row],[Desc detalle ext 1]]</f>
        <v xml:space="preserve">CB 110 DLX                                        AZUL     </v>
      </c>
      <c r="AA86" s="128" t="e">
        <f>+VLOOKUP(Tabla3[[#This Row],[CODIGO2]],ESTANDAR!$B$3:$C$9,2,FALSE)</f>
        <v>#N/A</v>
      </c>
      <c r="AB86" s="128" t="str">
        <f>+MID(Tabla3[[#This Row],['# Viaje]],10,1)</f>
        <v/>
      </c>
    </row>
    <row r="87" spans="1:28" ht="15" hidden="1" customHeight="1">
      <c r="A87" s="173" t="s">
        <v>1476</v>
      </c>
      <c r="B87" s="174">
        <v>42948</v>
      </c>
      <c r="C87" s="173" t="s">
        <v>1477</v>
      </c>
      <c r="D87" s="173" t="s">
        <v>1478</v>
      </c>
      <c r="E87" s="173" t="s">
        <v>1479</v>
      </c>
      <c r="F87" s="173">
        <v>2</v>
      </c>
      <c r="G87" s="173" t="s">
        <v>223</v>
      </c>
      <c r="H87" s="173">
        <v>2</v>
      </c>
      <c r="I87" s="173" t="s">
        <v>223</v>
      </c>
      <c r="J87" s="173" t="s">
        <v>1451</v>
      </c>
      <c r="K87" s="173" t="s">
        <v>16</v>
      </c>
      <c r="L87" s="173"/>
      <c r="M87" s="173" t="s">
        <v>224</v>
      </c>
      <c r="N87" s="173">
        <v>94404403</v>
      </c>
      <c r="O87" s="175">
        <v>3696639</v>
      </c>
      <c r="P87" s="7"/>
      <c r="Q87" s="16">
        <f>+IF(IFERROR(VLOOKUP(Tabla3[[#This Row],[Cliente factura]],Tabla4[[NIT]:[TOTAL CREDITO]],3,FALSE),0)="",0,IFERROR(VLOOKUP(Tabla3[[#This Row],[Cliente factura]],Tabla4[[NIT]:[TOTAL CREDITO]],3,FALSE),0))</f>
        <v>3500000</v>
      </c>
      <c r="R87" s="9">
        <f>+IFERROR(VLOOKUP(Tabla3[[#This Row],[Cliente factura]],Tabla4[[NIT]:[TOTAL CREDITO]],6,FALSE),0)</f>
        <v>0</v>
      </c>
      <c r="S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" s="10" t="str">
        <f>VLOOKUP(Tabla3[[#This Row],[Razón social cliente factura]]&amp;Tabla3[[#This Row],[Desc. ciudad]],'Estandar de Rutas'!$C$1:$E$553,2,FALSE)</f>
        <v>1.3.B</v>
      </c>
      <c r="U87" s="130">
        <f>IFERROR(VLOOKUP(Tabla3[[#This Row],[Referencia]]&amp;Tabla3[[#This Row],[Desc detalle ext 1]],Tabla1[[Referencia-Color]:[Disponibilidad]],3,FALSE),0)</f>
        <v>3</v>
      </c>
      <c r="V87" s="13"/>
      <c r="W87" s="17">
        <f>+Tabla3[[#This Row],[Cant. Programada]]*Tabla3[[#This Row],[Precio unit]]</f>
        <v>0</v>
      </c>
      <c r="X87" s="129"/>
      <c r="Y87" s="129"/>
      <c r="Z87" s="8" t="str">
        <f>+Tabla3[[#This Row],[Referencia]]&amp;Tabla3[[#This Row],[Desc detalle ext 1]]</f>
        <v xml:space="preserve">CB 110 DLX                                        NEGRO    </v>
      </c>
      <c r="AA87" s="128" t="e">
        <f>+VLOOKUP(Tabla3[[#This Row],[CODIGO2]],ESTANDAR!$B$3:$C$9,2,FALSE)</f>
        <v>#N/A</v>
      </c>
      <c r="AB87" s="128" t="str">
        <f>+MID(Tabla3[[#This Row],['# Viaje]],10,1)</f>
        <v/>
      </c>
    </row>
    <row r="88" spans="1:28" ht="15" hidden="1" customHeight="1">
      <c r="A88" s="173" t="s">
        <v>1480</v>
      </c>
      <c r="B88" s="174">
        <v>42948</v>
      </c>
      <c r="C88" s="173" t="s">
        <v>1231</v>
      </c>
      <c r="D88" s="173" t="s">
        <v>1478</v>
      </c>
      <c r="E88" s="173" t="s">
        <v>1479</v>
      </c>
      <c r="F88" s="173">
        <v>2</v>
      </c>
      <c r="G88" s="173" t="s">
        <v>46</v>
      </c>
      <c r="H88" s="173">
        <v>2</v>
      </c>
      <c r="I88" s="173" t="s">
        <v>46</v>
      </c>
      <c r="J88" s="173" t="s">
        <v>354</v>
      </c>
      <c r="K88" s="173" t="s">
        <v>355</v>
      </c>
      <c r="L88" s="173"/>
      <c r="M88" s="173" t="s">
        <v>42</v>
      </c>
      <c r="N88" s="173">
        <v>900215165</v>
      </c>
      <c r="O88" s="175">
        <v>6133613</v>
      </c>
      <c r="P88" s="7"/>
      <c r="Q88" s="16">
        <f>+IF(IFERROR(VLOOKUP(Tabla3[[#This Row],[Cliente factura]],Tabla4[[NIT]:[TOTAL CREDITO]],3,FALSE),0)="",0,IFERROR(VLOOKUP(Tabla3[[#This Row],[Cliente factura]],Tabla4[[NIT]:[TOTAL CREDITO]],3,FALSE),0))</f>
        <v>0</v>
      </c>
      <c r="R88" s="9">
        <f>+IFERROR(VLOOKUP(Tabla3[[#This Row],[Cliente factura]],Tabla4[[NIT]:[TOTAL CREDITO]],6,FALSE),0)</f>
        <v>57197673</v>
      </c>
      <c r="S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" s="10" t="str">
        <f>VLOOKUP(Tabla3[[#This Row],[Razón social cliente factura]]&amp;Tabla3[[#This Row],[Desc. ciudad]],'Estandar de Rutas'!$C$1:$E$553,2,FALSE)</f>
        <v>1.3</v>
      </c>
      <c r="U88" s="130">
        <f>IFERROR(VLOOKUP(Tabla3[[#This Row],[Referencia]]&amp;Tabla3[[#This Row],[Desc detalle ext 1]],Tabla1[[Referencia-Color]:[Disponibilidad]],3,FALSE),0)</f>
        <v>0</v>
      </c>
      <c r="V88" s="13"/>
      <c r="W88" s="17">
        <f>+Tabla3[[#This Row],[Cant. Programada]]*Tabla3[[#This Row],[Precio unit]]</f>
        <v>0</v>
      </c>
      <c r="X88" s="8"/>
      <c r="Y88" s="8"/>
      <c r="Z88" s="8" t="str">
        <f>+Tabla3[[#This Row],[Referencia]]&amp;Tabla3[[#This Row],[Desc detalle ext 1]]</f>
        <v>CB 160F DLX                                       NEGRO PER</v>
      </c>
      <c r="AA88" s="128" t="e">
        <f>+VLOOKUP(Tabla3[[#This Row],[CODIGO2]],ESTANDAR!$B$3:$C$9,2,FALSE)</f>
        <v>#N/A</v>
      </c>
      <c r="AB88" s="128" t="str">
        <f>+MID(Tabla3[[#This Row],['# Viaje]],10,1)</f>
        <v/>
      </c>
    </row>
    <row r="89" spans="1:28" ht="15" hidden="1" customHeight="1">
      <c r="A89" s="173" t="s">
        <v>1480</v>
      </c>
      <c r="B89" s="174">
        <v>42948</v>
      </c>
      <c r="C89" s="173" t="s">
        <v>1231</v>
      </c>
      <c r="D89" s="173" t="s">
        <v>1478</v>
      </c>
      <c r="E89" s="173" t="s">
        <v>1479</v>
      </c>
      <c r="F89" s="173">
        <v>3</v>
      </c>
      <c r="G89" s="173" t="s">
        <v>46</v>
      </c>
      <c r="H89" s="173">
        <v>3</v>
      </c>
      <c r="I89" s="173" t="s">
        <v>46</v>
      </c>
      <c r="J89" s="173" t="s">
        <v>1430</v>
      </c>
      <c r="K89" s="173" t="s">
        <v>16</v>
      </c>
      <c r="L89" s="173"/>
      <c r="M89" s="173" t="s">
        <v>42</v>
      </c>
      <c r="N89" s="173">
        <v>900215165</v>
      </c>
      <c r="O89" s="175">
        <v>3941176</v>
      </c>
      <c r="P89" s="7"/>
      <c r="Q89" s="16">
        <f>+IF(IFERROR(VLOOKUP(Tabla3[[#This Row],[Cliente factura]],Tabla4[[NIT]:[TOTAL CREDITO]],3,FALSE),0)="",0,IFERROR(VLOOKUP(Tabla3[[#This Row],[Cliente factura]],Tabla4[[NIT]:[TOTAL CREDITO]],3,FALSE),0))</f>
        <v>0</v>
      </c>
      <c r="R89" s="9">
        <f>+IFERROR(VLOOKUP(Tabla3[[#This Row],[Cliente factura]],Tabla4[[NIT]:[TOTAL CREDITO]],6,FALSE),0)</f>
        <v>57197673</v>
      </c>
      <c r="S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" s="10" t="str">
        <f>VLOOKUP(Tabla3[[#This Row],[Razón social cliente factura]]&amp;Tabla3[[#This Row],[Desc. ciudad]],'Estandar de Rutas'!$C$1:$E$553,2,FALSE)</f>
        <v>1.3</v>
      </c>
      <c r="U89" s="130">
        <f>IFERROR(VLOOKUP(Tabla3[[#This Row],[Referencia]]&amp;Tabla3[[#This Row],[Desc detalle ext 1]],Tabla1[[Referencia-Color]:[Disponibilidad]],3,FALSE),0)</f>
        <v>0</v>
      </c>
      <c r="V89" s="13"/>
      <c r="W89" s="17">
        <f>+Tabla3[[#This Row],[Cant. Programada]]*Tabla3[[#This Row],[Precio unit]]</f>
        <v>0</v>
      </c>
      <c r="X89" s="8"/>
      <c r="Y89" s="8"/>
      <c r="Z89" s="8" t="str">
        <f>+Tabla3[[#This Row],[Referencia]]&amp;Tabla3[[#This Row],[Desc detalle ext 1]]</f>
        <v xml:space="preserve">WAVE 110S                                         NEGRO    </v>
      </c>
      <c r="AA89" s="128" t="e">
        <f>+VLOOKUP(Tabla3[[#This Row],[CODIGO2]],ESTANDAR!$B$3:$C$9,2,FALSE)</f>
        <v>#N/A</v>
      </c>
      <c r="AB89" s="128" t="str">
        <f>+MID(Tabla3[[#This Row],['# Viaje]],10,1)</f>
        <v/>
      </c>
    </row>
    <row r="90" spans="1:28" ht="15" hidden="1" customHeight="1">
      <c r="A90" s="173" t="s">
        <v>1480</v>
      </c>
      <c r="B90" s="174">
        <v>42948</v>
      </c>
      <c r="C90" s="173" t="s">
        <v>1231</v>
      </c>
      <c r="D90" s="173" t="s">
        <v>1478</v>
      </c>
      <c r="E90" s="173" t="s">
        <v>1479</v>
      </c>
      <c r="F90" s="173">
        <v>2</v>
      </c>
      <c r="G90" s="173" t="s">
        <v>46</v>
      </c>
      <c r="H90" s="173">
        <v>2</v>
      </c>
      <c r="I90" s="173" t="s">
        <v>46</v>
      </c>
      <c r="J90" s="173" t="s">
        <v>1430</v>
      </c>
      <c r="K90" s="173" t="s">
        <v>1432</v>
      </c>
      <c r="L90" s="173"/>
      <c r="M90" s="173" t="s">
        <v>42</v>
      </c>
      <c r="N90" s="173">
        <v>900215165</v>
      </c>
      <c r="O90" s="175">
        <v>3941176</v>
      </c>
      <c r="P90" s="7"/>
      <c r="Q90" s="16">
        <f>+IF(IFERROR(VLOOKUP(Tabla3[[#This Row],[Cliente factura]],Tabla4[[NIT]:[TOTAL CREDITO]],3,FALSE),0)="",0,IFERROR(VLOOKUP(Tabla3[[#This Row],[Cliente factura]],Tabla4[[NIT]:[TOTAL CREDITO]],3,FALSE),0))</f>
        <v>0</v>
      </c>
      <c r="R90" s="9">
        <f>+IFERROR(VLOOKUP(Tabla3[[#This Row],[Cliente factura]],Tabla4[[NIT]:[TOTAL CREDITO]],6,FALSE),0)</f>
        <v>57197673</v>
      </c>
      <c r="S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" s="10" t="str">
        <f>VLOOKUP(Tabla3[[#This Row],[Razón social cliente factura]]&amp;Tabla3[[#This Row],[Desc. ciudad]],'Estandar de Rutas'!$C$1:$E$553,2,FALSE)</f>
        <v>1.3</v>
      </c>
      <c r="U90" s="130">
        <f>IFERROR(VLOOKUP(Tabla3[[#This Row],[Referencia]]&amp;Tabla3[[#This Row],[Desc detalle ext 1]],Tabla1[[Referencia-Color]:[Disponibilidad]],3,FALSE),0)</f>
        <v>23</v>
      </c>
      <c r="V90" s="13"/>
      <c r="W90" s="17">
        <f>+Tabla3[[#This Row],[Cant. Programada]]*Tabla3[[#This Row],[Precio unit]]</f>
        <v>0</v>
      </c>
      <c r="X90" s="8"/>
      <c r="Y90" s="8"/>
      <c r="Z90" s="8" t="str">
        <f>+Tabla3[[#This Row],[Referencia]]&amp;Tabla3[[#This Row],[Desc detalle ext 1]]</f>
        <v xml:space="preserve">WAVE 110S                                         BLANCO   </v>
      </c>
      <c r="AA90" s="128" t="e">
        <f>+VLOOKUP(Tabla3[[#This Row],[CODIGO2]],ESTANDAR!$B$3:$C$9,2,FALSE)</f>
        <v>#N/A</v>
      </c>
      <c r="AB90" s="128" t="str">
        <f>+MID(Tabla3[[#This Row],['# Viaje]],10,1)</f>
        <v/>
      </c>
    </row>
    <row r="91" spans="1:28" ht="15" hidden="1" customHeight="1">
      <c r="A91" s="173" t="s">
        <v>1480</v>
      </c>
      <c r="B91" s="174">
        <v>42948</v>
      </c>
      <c r="C91" s="173" t="s">
        <v>1231</v>
      </c>
      <c r="D91" s="173" t="s">
        <v>1478</v>
      </c>
      <c r="E91" s="173" t="s">
        <v>1479</v>
      </c>
      <c r="F91" s="173">
        <v>1</v>
      </c>
      <c r="G91" s="173" t="s">
        <v>46</v>
      </c>
      <c r="H91" s="173">
        <v>1</v>
      </c>
      <c r="I91" s="173" t="s">
        <v>46</v>
      </c>
      <c r="J91" s="173" t="s">
        <v>1234</v>
      </c>
      <c r="K91" s="173" t="s">
        <v>355</v>
      </c>
      <c r="L91" s="173"/>
      <c r="M91" s="173" t="s">
        <v>42</v>
      </c>
      <c r="N91" s="173">
        <v>900215165</v>
      </c>
      <c r="O91" s="175">
        <v>5453782</v>
      </c>
      <c r="P91" s="7"/>
      <c r="Q91" s="16">
        <f>+IF(IFERROR(VLOOKUP(Tabla3[[#This Row],[Cliente factura]],Tabla4[[NIT]:[TOTAL CREDITO]],3,FALSE),0)="",0,IFERROR(VLOOKUP(Tabla3[[#This Row],[Cliente factura]],Tabla4[[NIT]:[TOTAL CREDITO]],3,FALSE),0))</f>
        <v>0</v>
      </c>
      <c r="R91" s="9">
        <f>+IFERROR(VLOOKUP(Tabla3[[#This Row],[Cliente factura]],Tabla4[[NIT]:[TOTAL CREDITO]],6,FALSE),0)</f>
        <v>57197673</v>
      </c>
      <c r="S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" s="10" t="str">
        <f>VLOOKUP(Tabla3[[#This Row],[Razón social cliente factura]]&amp;Tabla3[[#This Row],[Desc. ciudad]],'Estandar de Rutas'!$C$1:$E$553,2,FALSE)</f>
        <v>1.3</v>
      </c>
      <c r="U91" s="130">
        <f>IFERROR(VLOOKUP(Tabla3[[#This Row],[Referencia]]&amp;Tabla3[[#This Row],[Desc detalle ext 1]],Tabla1[[Referencia-Color]:[Disponibilidad]],3,FALSE),0)</f>
        <v>0</v>
      </c>
      <c r="V91" s="13"/>
      <c r="W91" s="17">
        <f>+Tabla3[[#This Row],[Cant. Programada]]*Tabla3[[#This Row],[Precio unit]]</f>
        <v>0</v>
      </c>
      <c r="X91" s="8"/>
      <c r="Y91" s="8"/>
      <c r="Z91" s="8" t="str">
        <f>+Tabla3[[#This Row],[Referencia]]&amp;Tabla3[[#This Row],[Desc detalle ext 1]]</f>
        <v>CB 160F STD                                       NEGRO PER</v>
      </c>
      <c r="AA91" s="128" t="e">
        <f>+VLOOKUP(Tabla3[[#This Row],[CODIGO2]],ESTANDAR!$B$3:$C$9,2,FALSE)</f>
        <v>#N/A</v>
      </c>
      <c r="AB91" s="128" t="str">
        <f>+MID(Tabla3[[#This Row],['# Viaje]],10,1)</f>
        <v/>
      </c>
    </row>
    <row r="92" spans="1:28" ht="15" hidden="1" customHeight="1">
      <c r="A92" s="173" t="s">
        <v>1480</v>
      </c>
      <c r="B92" s="174">
        <v>42948</v>
      </c>
      <c r="C92" s="173" t="s">
        <v>1231</v>
      </c>
      <c r="D92" s="173" t="s">
        <v>1478</v>
      </c>
      <c r="E92" s="173" t="s">
        <v>1479</v>
      </c>
      <c r="F92" s="173">
        <v>2</v>
      </c>
      <c r="G92" s="173" t="s">
        <v>46</v>
      </c>
      <c r="H92" s="173">
        <v>2</v>
      </c>
      <c r="I92" s="173" t="s">
        <v>46</v>
      </c>
      <c r="J92" s="173" t="s">
        <v>1451</v>
      </c>
      <c r="K92" s="173" t="s">
        <v>1452</v>
      </c>
      <c r="L92" s="173"/>
      <c r="M92" s="173" t="s">
        <v>42</v>
      </c>
      <c r="N92" s="173">
        <v>900215165</v>
      </c>
      <c r="O92" s="175">
        <v>3696639</v>
      </c>
      <c r="P92" s="7"/>
      <c r="Q92" s="16">
        <f>+IF(IFERROR(VLOOKUP(Tabla3[[#This Row],[Cliente factura]],Tabla4[[NIT]:[TOTAL CREDITO]],3,FALSE),0)="",0,IFERROR(VLOOKUP(Tabla3[[#This Row],[Cliente factura]],Tabla4[[NIT]:[TOTAL CREDITO]],3,FALSE),0))</f>
        <v>0</v>
      </c>
      <c r="R92" s="9">
        <f>+IFERROR(VLOOKUP(Tabla3[[#This Row],[Cliente factura]],Tabla4[[NIT]:[TOTAL CREDITO]],6,FALSE),0)</f>
        <v>57197673</v>
      </c>
      <c r="S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" s="10" t="str">
        <f>VLOOKUP(Tabla3[[#This Row],[Razón social cliente factura]]&amp;Tabla3[[#This Row],[Desc. ciudad]],'Estandar de Rutas'!$C$1:$E$553,2,FALSE)</f>
        <v>1.3</v>
      </c>
      <c r="U92" s="130">
        <f>IFERROR(VLOOKUP(Tabla3[[#This Row],[Referencia]]&amp;Tabla3[[#This Row],[Desc detalle ext 1]],Tabla1[[Referencia-Color]:[Disponibilidad]],3,FALSE),0)</f>
        <v>21</v>
      </c>
      <c r="V92" s="13"/>
      <c r="W92" s="17">
        <f>+Tabla3[[#This Row],[Cant. Programada]]*Tabla3[[#This Row],[Precio unit]]</f>
        <v>0</v>
      </c>
      <c r="X92" s="8"/>
      <c r="Y92" s="8"/>
      <c r="Z92" s="8" t="str">
        <f>+Tabla3[[#This Row],[Referencia]]&amp;Tabla3[[#This Row],[Desc detalle ext 1]]</f>
        <v xml:space="preserve">CB 110 DLX                                        AZUL     </v>
      </c>
      <c r="AA92" s="128" t="e">
        <f>+VLOOKUP(Tabla3[[#This Row],[CODIGO2]],ESTANDAR!$B$3:$C$9,2,FALSE)</f>
        <v>#N/A</v>
      </c>
      <c r="AB92" s="128" t="str">
        <f>+MID(Tabla3[[#This Row],['# Viaje]],10,1)</f>
        <v/>
      </c>
    </row>
    <row r="93" spans="1:28" ht="15" hidden="1" customHeight="1">
      <c r="A93" s="173" t="s">
        <v>1480</v>
      </c>
      <c r="B93" s="174">
        <v>42948</v>
      </c>
      <c r="C93" s="173" t="s">
        <v>1231</v>
      </c>
      <c r="D93" s="173" t="s">
        <v>1478</v>
      </c>
      <c r="E93" s="173" t="s">
        <v>1479</v>
      </c>
      <c r="F93" s="173">
        <v>2</v>
      </c>
      <c r="G93" s="173" t="s">
        <v>46</v>
      </c>
      <c r="H93" s="173">
        <v>2</v>
      </c>
      <c r="I93" s="173" t="s">
        <v>46</v>
      </c>
      <c r="J93" s="173" t="s">
        <v>1451</v>
      </c>
      <c r="K93" s="173" t="s">
        <v>1449</v>
      </c>
      <c r="L93" s="173"/>
      <c r="M93" s="173" t="s">
        <v>42</v>
      </c>
      <c r="N93" s="173">
        <v>900215165</v>
      </c>
      <c r="O93" s="175">
        <v>3696639</v>
      </c>
      <c r="P93" s="7"/>
      <c r="Q93" s="16">
        <f>+IF(IFERROR(VLOOKUP(Tabla3[[#This Row],[Cliente factura]],Tabla4[[NIT]:[TOTAL CREDITO]],3,FALSE),0)="",0,IFERROR(VLOOKUP(Tabla3[[#This Row],[Cliente factura]],Tabla4[[NIT]:[TOTAL CREDITO]],3,FALSE),0))</f>
        <v>0</v>
      </c>
      <c r="R93" s="9">
        <f>+IFERROR(VLOOKUP(Tabla3[[#This Row],[Cliente factura]],Tabla4[[NIT]:[TOTAL CREDITO]],6,FALSE),0)</f>
        <v>57197673</v>
      </c>
      <c r="S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" s="10" t="str">
        <f>VLOOKUP(Tabla3[[#This Row],[Razón social cliente factura]]&amp;Tabla3[[#This Row],[Desc. ciudad]],'Estandar de Rutas'!$C$1:$E$553,2,FALSE)</f>
        <v>1.3</v>
      </c>
      <c r="U93" s="130">
        <f>IFERROR(VLOOKUP(Tabla3[[#This Row],[Referencia]]&amp;Tabla3[[#This Row],[Desc detalle ext 1]],Tabla1[[Referencia-Color]:[Disponibilidad]],3,FALSE),0)</f>
        <v>24</v>
      </c>
      <c r="V93" s="13"/>
      <c r="W93" s="17">
        <f>+Tabla3[[#This Row],[Cant. Programada]]*Tabla3[[#This Row],[Precio unit]]</f>
        <v>0</v>
      </c>
      <c r="X93" s="129"/>
      <c r="Y93" s="129"/>
      <c r="Z93" s="8" t="str">
        <f>+Tabla3[[#This Row],[Referencia]]&amp;Tabla3[[#This Row],[Desc detalle ext 1]]</f>
        <v xml:space="preserve">CB 110 DLX                                        GRIS     </v>
      </c>
      <c r="AA93" s="128" t="e">
        <f>+VLOOKUP(Tabla3[[#This Row],[CODIGO2]],ESTANDAR!$B$3:$C$9,2,FALSE)</f>
        <v>#N/A</v>
      </c>
      <c r="AB93" s="128" t="str">
        <f>+MID(Tabla3[[#This Row],['# Viaje]],10,1)</f>
        <v/>
      </c>
    </row>
    <row r="94" spans="1:28" ht="15" hidden="1" customHeight="1">
      <c r="A94" s="173" t="s">
        <v>1480</v>
      </c>
      <c r="B94" s="174">
        <v>42948</v>
      </c>
      <c r="C94" s="173" t="s">
        <v>1231</v>
      </c>
      <c r="D94" s="173" t="s">
        <v>1478</v>
      </c>
      <c r="E94" s="173" t="s">
        <v>1479</v>
      </c>
      <c r="F94" s="173">
        <v>2</v>
      </c>
      <c r="G94" s="173" t="s">
        <v>46</v>
      </c>
      <c r="H94" s="173">
        <v>2</v>
      </c>
      <c r="I94" s="173" t="s">
        <v>46</v>
      </c>
      <c r="J94" s="173" t="s">
        <v>1451</v>
      </c>
      <c r="K94" s="173" t="s">
        <v>16</v>
      </c>
      <c r="L94" s="173"/>
      <c r="M94" s="173" t="s">
        <v>42</v>
      </c>
      <c r="N94" s="173">
        <v>900215165</v>
      </c>
      <c r="O94" s="175">
        <v>3696639</v>
      </c>
      <c r="P94" s="7"/>
      <c r="Q94" s="16">
        <f>+IF(IFERROR(VLOOKUP(Tabla3[[#This Row],[Cliente factura]],Tabla4[[NIT]:[TOTAL CREDITO]],3,FALSE),0)="",0,IFERROR(VLOOKUP(Tabla3[[#This Row],[Cliente factura]],Tabla4[[NIT]:[TOTAL CREDITO]],3,FALSE),0))</f>
        <v>0</v>
      </c>
      <c r="R94" s="9">
        <f>+IFERROR(VLOOKUP(Tabla3[[#This Row],[Cliente factura]],Tabla4[[NIT]:[TOTAL CREDITO]],6,FALSE),0)</f>
        <v>57197673</v>
      </c>
      <c r="S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" s="10" t="str">
        <f>VLOOKUP(Tabla3[[#This Row],[Razón social cliente factura]]&amp;Tabla3[[#This Row],[Desc. ciudad]],'Estandar de Rutas'!$C$1:$E$553,2,FALSE)</f>
        <v>1.3</v>
      </c>
      <c r="U94" s="130">
        <f>IFERROR(VLOOKUP(Tabla3[[#This Row],[Referencia]]&amp;Tabla3[[#This Row],[Desc detalle ext 1]],Tabla1[[Referencia-Color]:[Disponibilidad]],3,FALSE),0)</f>
        <v>3</v>
      </c>
      <c r="V94" s="13"/>
      <c r="W94" s="17">
        <f>+Tabla3[[#This Row],[Cant. Programada]]*Tabla3[[#This Row],[Precio unit]]</f>
        <v>0</v>
      </c>
      <c r="X94" s="129"/>
      <c r="Y94" s="129"/>
      <c r="Z94" s="8" t="str">
        <f>+Tabla3[[#This Row],[Referencia]]&amp;Tabla3[[#This Row],[Desc detalle ext 1]]</f>
        <v xml:space="preserve">CB 110 DLX                                        NEGRO    </v>
      </c>
      <c r="AA94" s="128" t="e">
        <f>+VLOOKUP(Tabla3[[#This Row],[CODIGO2]],ESTANDAR!$B$3:$C$9,2,FALSE)</f>
        <v>#N/A</v>
      </c>
      <c r="AB94" s="128" t="str">
        <f>+MID(Tabla3[[#This Row],['# Viaje]],10,1)</f>
        <v/>
      </c>
    </row>
    <row r="95" spans="1:28" ht="15" hidden="1" customHeight="1">
      <c r="A95" s="173" t="s">
        <v>1481</v>
      </c>
      <c r="B95" s="174">
        <v>42948</v>
      </c>
      <c r="C95" s="173" t="s">
        <v>1231</v>
      </c>
      <c r="D95" s="173" t="s">
        <v>1478</v>
      </c>
      <c r="E95" s="173" t="s">
        <v>1479</v>
      </c>
      <c r="F95" s="173">
        <v>3</v>
      </c>
      <c r="G95" s="173" t="s">
        <v>217</v>
      </c>
      <c r="H95" s="173">
        <v>3</v>
      </c>
      <c r="I95" s="173" t="s">
        <v>1482</v>
      </c>
      <c r="J95" s="173" t="s">
        <v>14</v>
      </c>
      <c r="K95" s="173" t="s">
        <v>1417</v>
      </c>
      <c r="L95" s="173"/>
      <c r="M95" s="173" t="s">
        <v>218</v>
      </c>
      <c r="N95" s="173">
        <v>36284552</v>
      </c>
      <c r="O95" s="175">
        <v>3360504</v>
      </c>
      <c r="P95" s="7"/>
      <c r="Q95" s="16">
        <f>+IF(IFERROR(VLOOKUP(Tabla3[[#This Row],[Cliente factura]],Tabla4[[NIT]:[TOTAL CREDITO]],3,FALSE),0)="",0,IFERROR(VLOOKUP(Tabla3[[#This Row],[Cliente factura]],Tabla4[[NIT]:[TOTAL CREDITO]],3,FALSE),0))</f>
        <v>2165091</v>
      </c>
      <c r="R95" s="9">
        <f>+IFERROR(VLOOKUP(Tabla3[[#This Row],[Cliente factura]],Tabla4[[NIT]:[TOTAL CREDITO]],6,FALSE),0)</f>
        <v>0</v>
      </c>
      <c r="S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" s="10" t="str">
        <f>VLOOKUP(Tabla3[[#This Row],[Razón social cliente factura]]&amp;Tabla3[[#This Row],[Desc. ciudad]],'Estandar de Rutas'!$C$1:$E$553,2,FALSE)</f>
        <v>2.1</v>
      </c>
      <c r="U95" s="130">
        <f>IFERROR(VLOOKUP(Tabla3[[#This Row],[Referencia]]&amp;Tabla3[[#This Row],[Desc detalle ext 1]],Tabla1[[Referencia-Color]:[Disponibilidad]],3,FALSE),0)</f>
        <v>24</v>
      </c>
      <c r="V95" s="13"/>
      <c r="W95" s="17">
        <f>+Tabla3[[#This Row],[Cant. Programada]]*Tabla3[[#This Row],[Precio unit]]</f>
        <v>0</v>
      </c>
      <c r="X95" s="8"/>
      <c r="Y95" s="8"/>
      <c r="Z95" s="8" t="str">
        <f>+Tabla3[[#This Row],[Referencia]]&amp;Tabla3[[#This Row],[Desc detalle ext 1]]</f>
        <v xml:space="preserve">*CB-110                                           GRIS MET </v>
      </c>
      <c r="AA95" s="128" t="e">
        <f>+VLOOKUP(Tabla3[[#This Row],[CODIGO2]],ESTANDAR!$B$3:$C$9,2,FALSE)</f>
        <v>#N/A</v>
      </c>
      <c r="AB95" s="128" t="str">
        <f>+MID(Tabla3[[#This Row],['# Viaje]],10,1)</f>
        <v/>
      </c>
    </row>
    <row r="96" spans="1:28" ht="15" hidden="1" customHeight="1">
      <c r="A96" s="173" t="s">
        <v>1481</v>
      </c>
      <c r="B96" s="174">
        <v>42948</v>
      </c>
      <c r="C96" s="173" t="s">
        <v>1231</v>
      </c>
      <c r="D96" s="173" t="s">
        <v>1478</v>
      </c>
      <c r="E96" s="173" t="s">
        <v>1479</v>
      </c>
      <c r="F96" s="173">
        <v>3</v>
      </c>
      <c r="G96" s="173" t="s">
        <v>217</v>
      </c>
      <c r="H96" s="173">
        <v>3</v>
      </c>
      <c r="I96" s="173" t="s">
        <v>1482</v>
      </c>
      <c r="J96" s="173" t="s">
        <v>1451</v>
      </c>
      <c r="K96" s="173" t="s">
        <v>1452</v>
      </c>
      <c r="L96" s="173"/>
      <c r="M96" s="173" t="s">
        <v>218</v>
      </c>
      <c r="N96" s="173">
        <v>36284552</v>
      </c>
      <c r="O96" s="175">
        <v>3696639</v>
      </c>
      <c r="P96" s="7"/>
      <c r="Q96" s="16">
        <f>+IF(IFERROR(VLOOKUP(Tabla3[[#This Row],[Cliente factura]],Tabla4[[NIT]:[TOTAL CREDITO]],3,FALSE),0)="",0,IFERROR(VLOOKUP(Tabla3[[#This Row],[Cliente factura]],Tabla4[[NIT]:[TOTAL CREDITO]],3,FALSE),0))</f>
        <v>2165091</v>
      </c>
      <c r="R96" s="9">
        <f>+IFERROR(VLOOKUP(Tabla3[[#This Row],[Cliente factura]],Tabla4[[NIT]:[TOTAL CREDITO]],6,FALSE),0)</f>
        <v>0</v>
      </c>
      <c r="S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" s="10" t="str">
        <f>VLOOKUP(Tabla3[[#This Row],[Razón social cliente factura]]&amp;Tabla3[[#This Row],[Desc. ciudad]],'Estandar de Rutas'!$C$1:$E$553,2,FALSE)</f>
        <v>2.1</v>
      </c>
      <c r="U96" s="130">
        <f>IFERROR(VLOOKUP(Tabla3[[#This Row],[Referencia]]&amp;Tabla3[[#This Row],[Desc detalle ext 1]],Tabla1[[Referencia-Color]:[Disponibilidad]],3,FALSE),0)</f>
        <v>21</v>
      </c>
      <c r="V96" s="13"/>
      <c r="W96" s="17">
        <f>+Tabla3[[#This Row],[Cant. Programada]]*Tabla3[[#This Row],[Precio unit]]</f>
        <v>0</v>
      </c>
      <c r="X96" s="8"/>
      <c r="Y96" s="8"/>
      <c r="Z96" s="8" t="str">
        <f>+Tabla3[[#This Row],[Referencia]]&amp;Tabla3[[#This Row],[Desc detalle ext 1]]</f>
        <v xml:space="preserve">CB 110 DLX                                        AZUL     </v>
      </c>
      <c r="AA96" s="128" t="e">
        <f>+VLOOKUP(Tabla3[[#This Row],[CODIGO2]],ESTANDAR!$B$3:$C$9,2,FALSE)</f>
        <v>#N/A</v>
      </c>
      <c r="AB96" s="128" t="str">
        <f>+MID(Tabla3[[#This Row],['# Viaje]],10,1)</f>
        <v/>
      </c>
    </row>
    <row r="97" spans="1:28" ht="15" hidden="1" customHeight="1">
      <c r="A97" s="173" t="s">
        <v>1481</v>
      </c>
      <c r="B97" s="174">
        <v>42948</v>
      </c>
      <c r="C97" s="173" t="s">
        <v>1231</v>
      </c>
      <c r="D97" s="173" t="s">
        <v>1478</v>
      </c>
      <c r="E97" s="173" t="s">
        <v>1479</v>
      </c>
      <c r="F97" s="173">
        <v>4</v>
      </c>
      <c r="G97" s="173" t="s">
        <v>217</v>
      </c>
      <c r="H97" s="173">
        <v>4</v>
      </c>
      <c r="I97" s="173" t="s">
        <v>1482</v>
      </c>
      <c r="J97" s="173" t="s">
        <v>1451</v>
      </c>
      <c r="K97" s="173" t="s">
        <v>1449</v>
      </c>
      <c r="L97" s="173"/>
      <c r="M97" s="173" t="s">
        <v>218</v>
      </c>
      <c r="N97" s="173">
        <v>36284552</v>
      </c>
      <c r="O97" s="175">
        <v>3696639</v>
      </c>
      <c r="P97" s="7"/>
      <c r="Q97" s="16">
        <f>+IF(IFERROR(VLOOKUP(Tabla3[[#This Row],[Cliente factura]],Tabla4[[NIT]:[TOTAL CREDITO]],3,FALSE),0)="",0,IFERROR(VLOOKUP(Tabla3[[#This Row],[Cliente factura]],Tabla4[[NIT]:[TOTAL CREDITO]],3,FALSE),0))</f>
        <v>2165091</v>
      </c>
      <c r="R97" s="9">
        <f>+IFERROR(VLOOKUP(Tabla3[[#This Row],[Cliente factura]],Tabla4[[NIT]:[TOTAL CREDITO]],6,FALSE),0)</f>
        <v>0</v>
      </c>
      <c r="S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" s="10" t="str">
        <f>VLOOKUP(Tabla3[[#This Row],[Razón social cliente factura]]&amp;Tabla3[[#This Row],[Desc. ciudad]],'Estandar de Rutas'!$C$1:$E$553,2,FALSE)</f>
        <v>2.1</v>
      </c>
      <c r="U97" s="130">
        <f>IFERROR(VLOOKUP(Tabla3[[#This Row],[Referencia]]&amp;Tabla3[[#This Row],[Desc detalle ext 1]],Tabla1[[Referencia-Color]:[Disponibilidad]],3,FALSE),0)</f>
        <v>24</v>
      </c>
      <c r="V97" s="13"/>
      <c r="W97" s="17">
        <f>+Tabla3[[#This Row],[Cant. Programada]]*Tabla3[[#This Row],[Precio unit]]</f>
        <v>0</v>
      </c>
      <c r="X97" s="8"/>
      <c r="Y97" s="8"/>
      <c r="Z97" s="8" t="str">
        <f>+Tabla3[[#This Row],[Referencia]]&amp;Tabla3[[#This Row],[Desc detalle ext 1]]</f>
        <v xml:space="preserve">CB 110 DLX                                        GRIS     </v>
      </c>
      <c r="AA97" s="128" t="e">
        <f>+VLOOKUP(Tabla3[[#This Row],[CODIGO2]],ESTANDAR!$B$3:$C$9,2,FALSE)</f>
        <v>#N/A</v>
      </c>
      <c r="AB97" s="128" t="str">
        <f>+MID(Tabla3[[#This Row],['# Viaje]],10,1)</f>
        <v/>
      </c>
    </row>
    <row r="98" spans="1:28" ht="15" hidden="1" customHeight="1">
      <c r="A98" s="173" t="s">
        <v>1481</v>
      </c>
      <c r="B98" s="174">
        <v>42948</v>
      </c>
      <c r="C98" s="173" t="s">
        <v>1231</v>
      </c>
      <c r="D98" s="173" t="s">
        <v>1478</v>
      </c>
      <c r="E98" s="173" t="s">
        <v>1479</v>
      </c>
      <c r="F98" s="173">
        <v>5</v>
      </c>
      <c r="G98" s="173" t="s">
        <v>217</v>
      </c>
      <c r="H98" s="173">
        <v>5</v>
      </c>
      <c r="I98" s="173" t="s">
        <v>1482</v>
      </c>
      <c r="J98" s="173" t="s">
        <v>1451</v>
      </c>
      <c r="K98" s="173" t="s">
        <v>16</v>
      </c>
      <c r="L98" s="173"/>
      <c r="M98" s="173" t="s">
        <v>218</v>
      </c>
      <c r="N98" s="173">
        <v>36284552</v>
      </c>
      <c r="O98" s="175">
        <v>3696639</v>
      </c>
      <c r="P98" s="7"/>
      <c r="Q98" s="16">
        <f>+IF(IFERROR(VLOOKUP(Tabla3[[#This Row],[Cliente factura]],Tabla4[[NIT]:[TOTAL CREDITO]],3,FALSE),0)="",0,IFERROR(VLOOKUP(Tabla3[[#This Row],[Cliente factura]],Tabla4[[NIT]:[TOTAL CREDITO]],3,FALSE),0))</f>
        <v>2165091</v>
      </c>
      <c r="R98" s="9">
        <f>+IFERROR(VLOOKUP(Tabla3[[#This Row],[Cliente factura]],Tabla4[[NIT]:[TOTAL CREDITO]],6,FALSE),0)</f>
        <v>0</v>
      </c>
      <c r="S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" s="10" t="str">
        <f>VLOOKUP(Tabla3[[#This Row],[Razón social cliente factura]]&amp;Tabla3[[#This Row],[Desc. ciudad]],'Estandar de Rutas'!$C$1:$E$553,2,FALSE)</f>
        <v>2.1</v>
      </c>
      <c r="U98" s="130">
        <f>IFERROR(VLOOKUP(Tabla3[[#This Row],[Referencia]]&amp;Tabla3[[#This Row],[Desc detalle ext 1]],Tabla1[[Referencia-Color]:[Disponibilidad]],3,FALSE),0)</f>
        <v>3</v>
      </c>
      <c r="V98" s="13"/>
      <c r="W98" s="17">
        <f>+Tabla3[[#This Row],[Cant. Programada]]*Tabla3[[#This Row],[Precio unit]]</f>
        <v>0</v>
      </c>
      <c r="X98" s="8"/>
      <c r="Y98" s="8"/>
      <c r="Z98" s="8" t="str">
        <f>+Tabla3[[#This Row],[Referencia]]&amp;Tabla3[[#This Row],[Desc detalle ext 1]]</f>
        <v xml:space="preserve">CB 110 DLX                                        NEGRO    </v>
      </c>
      <c r="AA98" s="128" t="e">
        <f>+VLOOKUP(Tabla3[[#This Row],[CODIGO2]],ESTANDAR!$B$3:$C$9,2,FALSE)</f>
        <v>#N/A</v>
      </c>
      <c r="AB98" s="128" t="str">
        <f>+MID(Tabla3[[#This Row],['# Viaje]],10,1)</f>
        <v/>
      </c>
    </row>
    <row r="99" spans="1:28" ht="15" hidden="1" customHeight="1">
      <c r="A99" s="173" t="s">
        <v>1483</v>
      </c>
      <c r="B99" s="174">
        <v>42948</v>
      </c>
      <c r="C99" s="173" t="s">
        <v>1231</v>
      </c>
      <c r="D99" s="173" t="s">
        <v>1478</v>
      </c>
      <c r="E99" s="173" t="s">
        <v>1479</v>
      </c>
      <c r="F99" s="173">
        <v>1</v>
      </c>
      <c r="G99" s="173" t="s">
        <v>107</v>
      </c>
      <c r="H99" s="173">
        <v>1</v>
      </c>
      <c r="I99" s="173" t="s">
        <v>1484</v>
      </c>
      <c r="J99" s="173" t="s">
        <v>14</v>
      </c>
      <c r="K99" s="173" t="s">
        <v>1417</v>
      </c>
      <c r="L99" s="173"/>
      <c r="M99" s="173" t="s">
        <v>106</v>
      </c>
      <c r="N99" s="173">
        <v>830145805</v>
      </c>
      <c r="O99" s="175">
        <v>3360504</v>
      </c>
      <c r="P99" s="7"/>
      <c r="Q99" s="16">
        <f>+IF(IFERROR(VLOOKUP(Tabla3[[#This Row],[Cliente factura]],Tabla4[[NIT]:[TOTAL CREDITO]],3,FALSE),0)="",0,IFERROR(VLOOKUP(Tabla3[[#This Row],[Cliente factura]],Tabla4[[NIT]:[TOTAL CREDITO]],3,FALSE),0))</f>
        <v>3321835</v>
      </c>
      <c r="R99" s="9">
        <f>+IFERROR(VLOOKUP(Tabla3[[#This Row],[Cliente factura]],Tabla4[[NIT]:[TOTAL CREDITO]],6,FALSE),0)</f>
        <v>300000000</v>
      </c>
      <c r="S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9" s="10" t="str">
        <f>VLOOKUP(Tabla3[[#This Row],[Razón social cliente factura]]&amp;Tabla3[[#This Row],[Desc. ciudad]],'Estandar de Rutas'!$C$1:$E$553,2,FALSE)</f>
        <v>2.2</v>
      </c>
      <c r="U99" s="130">
        <f>IFERROR(VLOOKUP(Tabla3[[#This Row],[Referencia]]&amp;Tabla3[[#This Row],[Desc detalle ext 1]],Tabla1[[Referencia-Color]:[Disponibilidad]],3,FALSE),0)</f>
        <v>24</v>
      </c>
      <c r="V99" s="13"/>
      <c r="W99" s="17">
        <f>+Tabla3[[#This Row],[Cant. Programada]]*Tabla3[[#This Row],[Precio unit]]</f>
        <v>0</v>
      </c>
      <c r="X99" s="8"/>
      <c r="Y99" s="8"/>
      <c r="Z99" s="8" t="str">
        <f>+Tabla3[[#This Row],[Referencia]]&amp;Tabla3[[#This Row],[Desc detalle ext 1]]</f>
        <v xml:space="preserve">*CB-110                                           GRIS MET </v>
      </c>
      <c r="AA99" s="128" t="e">
        <f>+VLOOKUP(Tabla3[[#This Row],[CODIGO2]],ESTANDAR!$B$3:$C$9,2,FALSE)</f>
        <v>#N/A</v>
      </c>
      <c r="AB99" s="128" t="str">
        <f>+MID(Tabla3[[#This Row],['# Viaje]],10,1)</f>
        <v/>
      </c>
    </row>
    <row r="100" spans="1:28" ht="15" hidden="1" customHeight="1">
      <c r="A100" s="173" t="s">
        <v>1483</v>
      </c>
      <c r="B100" s="174">
        <v>42948</v>
      </c>
      <c r="C100" s="173" t="s">
        <v>1231</v>
      </c>
      <c r="D100" s="173" t="s">
        <v>1478</v>
      </c>
      <c r="E100" s="173" t="s">
        <v>1479</v>
      </c>
      <c r="F100" s="173">
        <v>1</v>
      </c>
      <c r="G100" s="173" t="s">
        <v>107</v>
      </c>
      <c r="H100" s="173">
        <v>1</v>
      </c>
      <c r="I100" s="173" t="s">
        <v>1484</v>
      </c>
      <c r="J100" s="173" t="s">
        <v>14</v>
      </c>
      <c r="K100" s="173" t="s">
        <v>17</v>
      </c>
      <c r="L100" s="173"/>
      <c r="M100" s="173" t="s">
        <v>106</v>
      </c>
      <c r="N100" s="173">
        <v>830145805</v>
      </c>
      <c r="O100" s="175">
        <v>3360504</v>
      </c>
      <c r="P100" s="7"/>
      <c r="Q100" s="16">
        <f>+IF(IFERROR(VLOOKUP(Tabla3[[#This Row],[Cliente factura]],Tabla4[[NIT]:[TOTAL CREDITO]],3,FALSE),0)="",0,IFERROR(VLOOKUP(Tabla3[[#This Row],[Cliente factura]],Tabla4[[NIT]:[TOTAL CREDITO]],3,FALSE),0))</f>
        <v>3321835</v>
      </c>
      <c r="R100" s="9">
        <f>+IFERROR(VLOOKUP(Tabla3[[#This Row],[Cliente factura]],Tabla4[[NIT]:[TOTAL CREDITO]],6,FALSE),0)</f>
        <v>300000000</v>
      </c>
      <c r="S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" s="10" t="str">
        <f>VLOOKUP(Tabla3[[#This Row],[Razón social cliente factura]]&amp;Tabla3[[#This Row],[Desc. ciudad]],'Estandar de Rutas'!$C$1:$E$553,2,FALSE)</f>
        <v>2.2</v>
      </c>
      <c r="U100" s="130">
        <f>IFERROR(VLOOKUP(Tabla3[[#This Row],[Referencia]]&amp;Tabla3[[#This Row],[Desc detalle ext 1]],Tabla1[[Referencia-Color]:[Disponibilidad]],3,FALSE),0)</f>
        <v>38</v>
      </c>
      <c r="V100" s="13"/>
      <c r="W100" s="17">
        <f>+Tabla3[[#This Row],[Cant. Programada]]*Tabla3[[#This Row],[Precio unit]]</f>
        <v>0</v>
      </c>
      <c r="X100" s="8"/>
      <c r="Y100" s="8"/>
      <c r="Z100" s="8" t="str">
        <f>+Tabla3[[#This Row],[Referencia]]&amp;Tabla3[[#This Row],[Desc detalle ext 1]]</f>
        <v>*CB-110                                           ROJO SPOR</v>
      </c>
      <c r="AA100" s="128" t="e">
        <f>+VLOOKUP(Tabla3[[#This Row],[CODIGO2]],ESTANDAR!$B$3:$C$9,2,FALSE)</f>
        <v>#N/A</v>
      </c>
      <c r="AB100" s="128" t="str">
        <f>+MID(Tabla3[[#This Row],['# Viaje]],10,1)</f>
        <v/>
      </c>
    </row>
    <row r="101" spans="1:28" ht="15" hidden="1" customHeight="1">
      <c r="A101" s="173" t="s">
        <v>1483</v>
      </c>
      <c r="B101" s="174">
        <v>42948</v>
      </c>
      <c r="C101" s="173" t="s">
        <v>1231</v>
      </c>
      <c r="D101" s="173" t="s">
        <v>1478</v>
      </c>
      <c r="E101" s="173" t="s">
        <v>1479</v>
      </c>
      <c r="F101" s="173">
        <v>1</v>
      </c>
      <c r="G101" s="173" t="s">
        <v>107</v>
      </c>
      <c r="H101" s="173">
        <v>1</v>
      </c>
      <c r="I101" s="173" t="s">
        <v>1484</v>
      </c>
      <c r="J101" s="173" t="s">
        <v>14</v>
      </c>
      <c r="K101" s="173" t="s">
        <v>16</v>
      </c>
      <c r="L101" s="173"/>
      <c r="M101" s="173" t="s">
        <v>106</v>
      </c>
      <c r="N101" s="173">
        <v>830145805</v>
      </c>
      <c r="O101" s="175">
        <v>3360504</v>
      </c>
      <c r="P101" s="7"/>
      <c r="Q101" s="16">
        <f>+IF(IFERROR(VLOOKUP(Tabla3[[#This Row],[Cliente factura]],Tabla4[[NIT]:[TOTAL CREDITO]],3,FALSE),0)="",0,IFERROR(VLOOKUP(Tabla3[[#This Row],[Cliente factura]],Tabla4[[NIT]:[TOTAL CREDITO]],3,FALSE),0))</f>
        <v>3321835</v>
      </c>
      <c r="R101" s="9">
        <f>+IFERROR(VLOOKUP(Tabla3[[#This Row],[Cliente factura]],Tabla4[[NIT]:[TOTAL CREDITO]],6,FALSE),0)</f>
        <v>300000000</v>
      </c>
      <c r="S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" s="10" t="str">
        <f>VLOOKUP(Tabla3[[#This Row],[Razón social cliente factura]]&amp;Tabla3[[#This Row],[Desc. ciudad]],'Estandar de Rutas'!$C$1:$E$553,2,FALSE)</f>
        <v>2.2</v>
      </c>
      <c r="U101" s="130">
        <f>IFERROR(VLOOKUP(Tabla3[[#This Row],[Referencia]]&amp;Tabla3[[#This Row],[Desc detalle ext 1]],Tabla1[[Referencia-Color]:[Disponibilidad]],3,FALSE),0)</f>
        <v>83</v>
      </c>
      <c r="V101" s="13"/>
      <c r="W101" s="17">
        <f>+Tabla3[[#This Row],[Cant. Programada]]*Tabla3[[#This Row],[Precio unit]]</f>
        <v>0</v>
      </c>
      <c r="X101" s="8"/>
      <c r="Y101" s="8"/>
      <c r="Z101" s="8" t="str">
        <f>+Tabla3[[#This Row],[Referencia]]&amp;Tabla3[[#This Row],[Desc detalle ext 1]]</f>
        <v xml:space="preserve">*CB-110                                           NEGRO    </v>
      </c>
      <c r="AA101" s="128" t="e">
        <f>+VLOOKUP(Tabla3[[#This Row],[CODIGO2]],ESTANDAR!$B$3:$C$9,2,FALSE)</f>
        <v>#N/A</v>
      </c>
      <c r="AB101" s="128" t="str">
        <f>+MID(Tabla3[[#This Row],['# Viaje]],10,1)</f>
        <v/>
      </c>
    </row>
    <row r="102" spans="1:28" ht="15" hidden="1" customHeight="1">
      <c r="A102" s="173" t="s">
        <v>1483</v>
      </c>
      <c r="B102" s="174">
        <v>42948</v>
      </c>
      <c r="C102" s="173" t="s">
        <v>1231</v>
      </c>
      <c r="D102" s="173" t="s">
        <v>1478</v>
      </c>
      <c r="E102" s="173" t="s">
        <v>1479</v>
      </c>
      <c r="F102" s="173">
        <v>1</v>
      </c>
      <c r="G102" s="173" t="s">
        <v>107</v>
      </c>
      <c r="H102" s="173">
        <v>1</v>
      </c>
      <c r="I102" s="173" t="s">
        <v>1484</v>
      </c>
      <c r="J102" s="173" t="s">
        <v>14</v>
      </c>
      <c r="K102" s="173" t="s">
        <v>15</v>
      </c>
      <c r="L102" s="173"/>
      <c r="M102" s="173" t="s">
        <v>106</v>
      </c>
      <c r="N102" s="173">
        <v>830145805</v>
      </c>
      <c r="O102" s="175">
        <v>3360504</v>
      </c>
      <c r="P102" s="7"/>
      <c r="Q102" s="16">
        <f>+IF(IFERROR(VLOOKUP(Tabla3[[#This Row],[Cliente factura]],Tabla4[[NIT]:[TOTAL CREDITO]],3,FALSE),0)="",0,IFERROR(VLOOKUP(Tabla3[[#This Row],[Cliente factura]],Tabla4[[NIT]:[TOTAL CREDITO]],3,FALSE),0))</f>
        <v>3321835</v>
      </c>
      <c r="R102" s="9">
        <f>+IFERROR(VLOOKUP(Tabla3[[#This Row],[Cliente factura]],Tabla4[[NIT]:[TOTAL CREDITO]],6,FALSE),0)</f>
        <v>300000000</v>
      </c>
      <c r="S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" s="10" t="str">
        <f>VLOOKUP(Tabla3[[#This Row],[Razón social cliente factura]]&amp;Tabla3[[#This Row],[Desc. ciudad]],'Estandar de Rutas'!$C$1:$E$553,2,FALSE)</f>
        <v>2.2</v>
      </c>
      <c r="U102" s="130">
        <f>IFERROR(VLOOKUP(Tabla3[[#This Row],[Referencia]]&amp;Tabla3[[#This Row],[Desc detalle ext 1]],Tabla1[[Referencia-Color]:[Disponibilidad]],3,FALSE),0)</f>
        <v>99</v>
      </c>
      <c r="V102" s="13"/>
      <c r="W102" s="17">
        <f>+Tabla3[[#This Row],[Cant. Programada]]*Tabla3[[#This Row],[Precio unit]]</f>
        <v>0</v>
      </c>
      <c r="X102" s="8"/>
      <c r="Y102" s="8"/>
      <c r="Z102" s="8" t="str">
        <f>+Tabla3[[#This Row],[Referencia]]&amp;Tabla3[[#This Row],[Desc detalle ext 1]]</f>
        <v>*CB-110                                           AZUL FIJI</v>
      </c>
      <c r="AA102" s="128" t="e">
        <f>+VLOOKUP(Tabla3[[#This Row],[CODIGO2]],ESTANDAR!$B$3:$C$9,2,FALSE)</f>
        <v>#N/A</v>
      </c>
      <c r="AB102" s="128" t="str">
        <f>+MID(Tabla3[[#This Row],['# Viaje]],10,1)</f>
        <v/>
      </c>
    </row>
    <row r="103" spans="1:28" ht="15" hidden="1" customHeight="1">
      <c r="A103" s="173" t="s">
        <v>1483</v>
      </c>
      <c r="B103" s="174">
        <v>42948</v>
      </c>
      <c r="C103" s="173" t="s">
        <v>1231</v>
      </c>
      <c r="D103" s="173" t="s">
        <v>1478</v>
      </c>
      <c r="E103" s="173" t="s">
        <v>1479</v>
      </c>
      <c r="F103" s="173">
        <v>1</v>
      </c>
      <c r="G103" s="173" t="s">
        <v>107</v>
      </c>
      <c r="H103" s="173">
        <v>1</v>
      </c>
      <c r="I103" s="173" t="s">
        <v>1484</v>
      </c>
      <c r="J103" s="173" t="s">
        <v>1414</v>
      </c>
      <c r="K103" s="173" t="s">
        <v>1415</v>
      </c>
      <c r="L103" s="173"/>
      <c r="M103" s="173" t="s">
        <v>106</v>
      </c>
      <c r="N103" s="173">
        <v>830145805</v>
      </c>
      <c r="O103" s="175">
        <v>3588235</v>
      </c>
      <c r="P103" s="7"/>
      <c r="Q103" s="16">
        <f>+IF(IFERROR(VLOOKUP(Tabla3[[#This Row],[Cliente factura]],Tabla4[[NIT]:[TOTAL CREDITO]],3,FALSE),0)="",0,IFERROR(VLOOKUP(Tabla3[[#This Row],[Cliente factura]],Tabla4[[NIT]:[TOTAL CREDITO]],3,FALSE),0))</f>
        <v>3321835</v>
      </c>
      <c r="R103" s="9">
        <f>+IFERROR(VLOOKUP(Tabla3[[#This Row],[Cliente factura]],Tabla4[[NIT]:[TOTAL CREDITO]],6,FALSE),0)</f>
        <v>300000000</v>
      </c>
      <c r="S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" s="10" t="str">
        <f>VLOOKUP(Tabla3[[#This Row],[Razón social cliente factura]]&amp;Tabla3[[#This Row],[Desc. ciudad]],'Estandar de Rutas'!$C$1:$E$553,2,FALSE)</f>
        <v>2.2</v>
      </c>
      <c r="U103" s="130">
        <f>IFERROR(VLOOKUP(Tabla3[[#This Row],[Referencia]]&amp;Tabla3[[#This Row],[Desc detalle ext 1]],Tabla1[[Referencia-Color]:[Disponibilidad]],3,FALSE),0)</f>
        <v>14</v>
      </c>
      <c r="V103" s="13"/>
      <c r="W103" s="17">
        <f>+Tabla3[[#This Row],[Cant. Programada]]*Tabla3[[#This Row],[Precio unit]]</f>
        <v>0</v>
      </c>
      <c r="X103" s="8"/>
      <c r="Y103" s="8"/>
      <c r="Z103" s="8" t="str">
        <f>+Tabla3[[#This Row],[Referencia]]&amp;Tabla3[[#This Row],[Desc detalle ext 1]]</f>
        <v>*CB1 PRO                                          PEARL PRO</v>
      </c>
      <c r="AA103" s="128" t="e">
        <f>+VLOOKUP(Tabla3[[#This Row],[CODIGO2]],ESTANDAR!$B$3:$C$9,2,FALSE)</f>
        <v>#N/A</v>
      </c>
      <c r="AB103" s="128" t="str">
        <f>+MID(Tabla3[[#This Row],['# Viaje]],10,1)</f>
        <v/>
      </c>
    </row>
    <row r="104" spans="1:28" ht="15" hidden="1" customHeight="1">
      <c r="A104" s="173" t="s">
        <v>1483</v>
      </c>
      <c r="B104" s="174">
        <v>42948</v>
      </c>
      <c r="C104" s="173" t="s">
        <v>1231</v>
      </c>
      <c r="D104" s="173" t="s">
        <v>1478</v>
      </c>
      <c r="E104" s="173" t="s">
        <v>1479</v>
      </c>
      <c r="F104" s="173">
        <v>3</v>
      </c>
      <c r="G104" s="173" t="s">
        <v>107</v>
      </c>
      <c r="H104" s="173">
        <v>3</v>
      </c>
      <c r="I104" s="173" t="s">
        <v>1484</v>
      </c>
      <c r="J104" s="173" t="s">
        <v>27</v>
      </c>
      <c r="K104" s="173" t="s">
        <v>26</v>
      </c>
      <c r="L104" s="173"/>
      <c r="M104" s="173" t="s">
        <v>106</v>
      </c>
      <c r="N104" s="173">
        <v>830145805</v>
      </c>
      <c r="O104" s="175">
        <v>5789916</v>
      </c>
      <c r="P104" s="7"/>
      <c r="Q104" s="16">
        <f>+IF(IFERROR(VLOOKUP(Tabla3[[#This Row],[Cliente factura]],Tabla4[[NIT]:[TOTAL CREDITO]],3,FALSE),0)="",0,IFERROR(VLOOKUP(Tabla3[[#This Row],[Cliente factura]],Tabla4[[NIT]:[TOTAL CREDITO]],3,FALSE),0))</f>
        <v>3321835</v>
      </c>
      <c r="R104" s="9">
        <f>+IFERROR(VLOOKUP(Tabla3[[#This Row],[Cliente factura]],Tabla4[[NIT]:[TOTAL CREDITO]],6,FALSE),0)</f>
        <v>300000000</v>
      </c>
      <c r="S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" s="10" t="str">
        <f>VLOOKUP(Tabla3[[#This Row],[Razón social cliente factura]]&amp;Tabla3[[#This Row],[Desc. ciudad]],'Estandar de Rutas'!$C$1:$E$553,2,FALSE)</f>
        <v>2.2</v>
      </c>
      <c r="U104" s="130">
        <f>IFERROR(VLOOKUP(Tabla3[[#This Row],[Referencia]]&amp;Tabla3[[#This Row],[Desc detalle ext 1]],Tabla1[[Referencia-Color]:[Disponibilidad]],3,FALSE),0)</f>
        <v>59</v>
      </c>
      <c r="V104" s="13"/>
      <c r="W104" s="17">
        <f>+Tabla3[[#This Row],[Cant. Programada]]*Tabla3[[#This Row],[Precio unit]]</f>
        <v>0</v>
      </c>
      <c r="X104" s="8"/>
      <c r="Y104" s="8"/>
      <c r="Z104" s="8" t="str">
        <f>+Tabla3[[#This Row],[Referencia]]&amp;Tabla3[[#This Row],[Desc detalle ext 1]]</f>
        <v>*XR 150L                                          NEGRO BLA</v>
      </c>
      <c r="AA104" s="128" t="e">
        <f>+VLOOKUP(Tabla3[[#This Row],[CODIGO2]],ESTANDAR!$B$3:$C$9,2,FALSE)</f>
        <v>#N/A</v>
      </c>
      <c r="AB104" s="128" t="str">
        <f>+MID(Tabla3[[#This Row],['# Viaje]],10,1)</f>
        <v/>
      </c>
    </row>
    <row r="105" spans="1:28" ht="15" hidden="1" customHeight="1">
      <c r="A105" s="173" t="s">
        <v>1483</v>
      </c>
      <c r="B105" s="174">
        <v>42948</v>
      </c>
      <c r="C105" s="173" t="s">
        <v>1231</v>
      </c>
      <c r="D105" s="173" t="s">
        <v>1478</v>
      </c>
      <c r="E105" s="173" t="s">
        <v>1479</v>
      </c>
      <c r="F105" s="173">
        <v>2</v>
      </c>
      <c r="G105" s="173" t="s">
        <v>107</v>
      </c>
      <c r="H105" s="173">
        <v>2</v>
      </c>
      <c r="I105" s="173" t="s">
        <v>1484</v>
      </c>
      <c r="J105" s="173" t="s">
        <v>27</v>
      </c>
      <c r="K105" s="173" t="s">
        <v>16</v>
      </c>
      <c r="L105" s="173"/>
      <c r="M105" s="173" t="s">
        <v>106</v>
      </c>
      <c r="N105" s="173">
        <v>830145805</v>
      </c>
      <c r="O105" s="175">
        <v>5789916</v>
      </c>
      <c r="P105" s="7"/>
      <c r="Q105" s="16">
        <f>+IF(IFERROR(VLOOKUP(Tabla3[[#This Row],[Cliente factura]],Tabla4[[NIT]:[TOTAL CREDITO]],3,FALSE),0)="",0,IFERROR(VLOOKUP(Tabla3[[#This Row],[Cliente factura]],Tabla4[[NIT]:[TOTAL CREDITO]],3,FALSE),0))</f>
        <v>3321835</v>
      </c>
      <c r="R105" s="9">
        <f>+IFERROR(VLOOKUP(Tabla3[[#This Row],[Cliente factura]],Tabla4[[NIT]:[TOTAL CREDITO]],6,FALSE),0)</f>
        <v>300000000</v>
      </c>
      <c r="S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" s="10" t="str">
        <f>VLOOKUP(Tabla3[[#This Row],[Razón social cliente factura]]&amp;Tabla3[[#This Row],[Desc. ciudad]],'Estandar de Rutas'!$C$1:$E$553,2,FALSE)</f>
        <v>2.2</v>
      </c>
      <c r="U105" s="130">
        <f>IFERROR(VLOOKUP(Tabla3[[#This Row],[Referencia]]&amp;Tabla3[[#This Row],[Desc detalle ext 1]],Tabla1[[Referencia-Color]:[Disponibilidad]],3,FALSE),0)</f>
        <v>3</v>
      </c>
      <c r="V105" s="13"/>
      <c r="W105" s="17">
        <f>+Tabla3[[#This Row],[Cant. Programada]]*Tabla3[[#This Row],[Precio unit]]</f>
        <v>0</v>
      </c>
      <c r="X105" s="8"/>
      <c r="Y105" s="8"/>
      <c r="Z105" s="8" t="str">
        <f>+Tabla3[[#This Row],[Referencia]]&amp;Tabla3[[#This Row],[Desc detalle ext 1]]</f>
        <v xml:space="preserve">*XR 150L                                          NEGRO    </v>
      </c>
      <c r="AA105" s="128" t="e">
        <f>+VLOOKUP(Tabla3[[#This Row],[CODIGO2]],ESTANDAR!$B$3:$C$9,2,FALSE)</f>
        <v>#N/A</v>
      </c>
      <c r="AB105" s="128" t="str">
        <f>+MID(Tabla3[[#This Row],['# Viaje]],10,1)</f>
        <v/>
      </c>
    </row>
    <row r="106" spans="1:28" ht="15" hidden="1" customHeight="1">
      <c r="A106" s="173" t="s">
        <v>1483</v>
      </c>
      <c r="B106" s="174">
        <v>42948</v>
      </c>
      <c r="C106" s="173" t="s">
        <v>1231</v>
      </c>
      <c r="D106" s="173" t="s">
        <v>1478</v>
      </c>
      <c r="E106" s="173" t="s">
        <v>1479</v>
      </c>
      <c r="F106" s="173">
        <v>1</v>
      </c>
      <c r="G106" s="173" t="s">
        <v>107</v>
      </c>
      <c r="H106" s="173">
        <v>1</v>
      </c>
      <c r="I106" s="173" t="s">
        <v>1484</v>
      </c>
      <c r="J106" s="173" t="s">
        <v>10</v>
      </c>
      <c r="K106" s="173" t="s">
        <v>11</v>
      </c>
      <c r="L106" s="173"/>
      <c r="M106" s="173" t="s">
        <v>106</v>
      </c>
      <c r="N106" s="173">
        <v>830145805</v>
      </c>
      <c r="O106" s="175">
        <v>7554622</v>
      </c>
      <c r="P106" s="7"/>
      <c r="Q106" s="16">
        <f>+IF(IFERROR(VLOOKUP(Tabla3[[#This Row],[Cliente factura]],Tabla4[[NIT]:[TOTAL CREDITO]],3,FALSE),0)="",0,IFERROR(VLOOKUP(Tabla3[[#This Row],[Cliente factura]],Tabla4[[NIT]:[TOTAL CREDITO]],3,FALSE),0))</f>
        <v>3321835</v>
      </c>
      <c r="R106" s="9">
        <f>+IFERROR(VLOOKUP(Tabla3[[#This Row],[Cliente factura]],Tabla4[[NIT]:[TOTAL CREDITO]],6,FALSE),0)</f>
        <v>300000000</v>
      </c>
      <c r="S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" s="10" t="str">
        <f>VLOOKUP(Tabla3[[#This Row],[Razón social cliente factura]]&amp;Tabla3[[#This Row],[Desc. ciudad]],'Estandar de Rutas'!$C$1:$E$553,2,FALSE)</f>
        <v>2.2</v>
      </c>
      <c r="U106" s="130">
        <f>IFERROR(VLOOKUP(Tabla3[[#This Row],[Referencia]]&amp;Tabla3[[#This Row],[Desc detalle ext 1]],Tabla1[[Referencia-Color]:[Disponibilidad]],3,FALSE),0)</f>
        <v>0</v>
      </c>
      <c r="V106" s="13"/>
      <c r="W106" s="17">
        <f>+Tabla3[[#This Row],[Cant. Programada]]*Tabla3[[#This Row],[Precio unit]]</f>
        <v>0</v>
      </c>
      <c r="X106" s="129"/>
      <c r="Y106" s="8"/>
      <c r="Z106" s="8" t="str">
        <f>+Tabla3[[#This Row],[Referencia]]&amp;Tabla3[[#This Row],[Desc detalle ext 1]]</f>
        <v>CB 190R                                           NEGRO ONI</v>
      </c>
      <c r="AA106" s="128" t="e">
        <f>+VLOOKUP(Tabla3[[#This Row],[CODIGO2]],ESTANDAR!$B$3:$C$9,2,FALSE)</f>
        <v>#N/A</v>
      </c>
      <c r="AB106" s="128" t="str">
        <f>+MID(Tabla3[[#This Row],['# Viaje]],10,1)</f>
        <v/>
      </c>
    </row>
    <row r="107" spans="1:28" ht="15" hidden="1" customHeight="1">
      <c r="A107" s="173" t="s">
        <v>1483</v>
      </c>
      <c r="B107" s="174">
        <v>42948</v>
      </c>
      <c r="C107" s="173" t="s">
        <v>1231</v>
      </c>
      <c r="D107" s="173" t="s">
        <v>1478</v>
      </c>
      <c r="E107" s="173" t="s">
        <v>1479</v>
      </c>
      <c r="F107" s="173">
        <v>2</v>
      </c>
      <c r="G107" s="173" t="s">
        <v>107</v>
      </c>
      <c r="H107" s="173">
        <v>2</v>
      </c>
      <c r="I107" s="173" t="s">
        <v>1484</v>
      </c>
      <c r="J107" s="173" t="s">
        <v>1428</v>
      </c>
      <c r="K107" s="173" t="s">
        <v>32</v>
      </c>
      <c r="L107" s="173"/>
      <c r="M107" s="173" t="s">
        <v>106</v>
      </c>
      <c r="N107" s="173">
        <v>830145805</v>
      </c>
      <c r="O107" s="175">
        <v>3067227</v>
      </c>
      <c r="P107" s="7"/>
      <c r="Q107" s="16">
        <f>+IF(IFERROR(VLOOKUP(Tabla3[[#This Row],[Cliente factura]],Tabla4[[NIT]:[TOTAL CREDITO]],3,FALSE),0)="",0,IFERROR(VLOOKUP(Tabla3[[#This Row],[Cliente factura]],Tabla4[[NIT]:[TOTAL CREDITO]],3,FALSE),0))</f>
        <v>3321835</v>
      </c>
      <c r="R107" s="9">
        <f>+IFERROR(VLOOKUP(Tabla3[[#This Row],[Cliente factura]],Tabla4[[NIT]:[TOTAL CREDITO]],6,FALSE),0)</f>
        <v>300000000</v>
      </c>
      <c r="S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" s="10" t="str">
        <f>VLOOKUP(Tabla3[[#This Row],[Razón social cliente factura]]&amp;Tabla3[[#This Row],[Desc. ciudad]],'Estandar de Rutas'!$C$1:$E$553,2,FALSE)</f>
        <v>2.2</v>
      </c>
      <c r="U107" s="130">
        <f>IFERROR(VLOOKUP(Tabla3[[#This Row],[Referencia]]&amp;Tabla3[[#This Row],[Desc detalle ext 1]],Tabla1[[Referencia-Color]:[Disponibilidad]],3,FALSE),0)</f>
        <v>0</v>
      </c>
      <c r="V107" s="13"/>
      <c r="W107" s="17">
        <f>+Tabla3[[#This Row],[Cant. Programada]]*Tabla3[[#This Row],[Precio unit]]</f>
        <v>0</v>
      </c>
      <c r="X107" s="8"/>
      <c r="Y107" s="8"/>
      <c r="Z107" s="8" t="str">
        <f>+Tabla3[[#This Row],[Referencia]]&amp;Tabla3[[#This Row],[Desc detalle ext 1]]</f>
        <v>DREAM  NEO                                        NEGRO ROJ</v>
      </c>
      <c r="AA107" s="128" t="e">
        <f>+VLOOKUP(Tabla3[[#This Row],[CODIGO2]],ESTANDAR!$B$3:$C$9,2,FALSE)</f>
        <v>#N/A</v>
      </c>
      <c r="AB107" s="128" t="str">
        <f>+MID(Tabla3[[#This Row],['# Viaje]],10,1)</f>
        <v/>
      </c>
    </row>
    <row r="108" spans="1:28" ht="15" hidden="1" customHeight="1">
      <c r="A108" s="173" t="s">
        <v>1483</v>
      </c>
      <c r="B108" s="174">
        <v>42948</v>
      </c>
      <c r="C108" s="173" t="s">
        <v>1231</v>
      </c>
      <c r="D108" s="173" t="s">
        <v>1478</v>
      </c>
      <c r="E108" s="173" t="s">
        <v>1479</v>
      </c>
      <c r="F108" s="173">
        <v>1</v>
      </c>
      <c r="G108" s="173" t="s">
        <v>107</v>
      </c>
      <c r="H108" s="173">
        <v>1</v>
      </c>
      <c r="I108" s="173" t="s">
        <v>1484</v>
      </c>
      <c r="J108" s="173" t="s">
        <v>1428</v>
      </c>
      <c r="K108" s="173" t="s">
        <v>1429</v>
      </c>
      <c r="L108" s="173"/>
      <c r="M108" s="173" t="s">
        <v>106</v>
      </c>
      <c r="N108" s="173">
        <v>830145805</v>
      </c>
      <c r="O108" s="175">
        <v>3067227</v>
      </c>
      <c r="P108" s="7"/>
      <c r="Q108" s="16">
        <f>+IF(IFERROR(VLOOKUP(Tabla3[[#This Row],[Cliente factura]],Tabla4[[NIT]:[TOTAL CREDITO]],3,FALSE),0)="",0,IFERROR(VLOOKUP(Tabla3[[#This Row],[Cliente factura]],Tabla4[[NIT]:[TOTAL CREDITO]],3,FALSE),0))</f>
        <v>3321835</v>
      </c>
      <c r="R108" s="9">
        <f>+IFERROR(VLOOKUP(Tabla3[[#This Row],[Cliente factura]],Tabla4[[NIT]:[TOTAL CREDITO]],6,FALSE),0)</f>
        <v>300000000</v>
      </c>
      <c r="S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" s="10" t="str">
        <f>VLOOKUP(Tabla3[[#This Row],[Razón social cliente factura]]&amp;Tabla3[[#This Row],[Desc. ciudad]],'Estandar de Rutas'!$C$1:$E$553,2,FALSE)</f>
        <v>2.2</v>
      </c>
      <c r="U108" s="130">
        <f>IFERROR(VLOOKUP(Tabla3[[#This Row],[Referencia]]&amp;Tabla3[[#This Row],[Desc detalle ext 1]],Tabla1[[Referencia-Color]:[Disponibilidad]],3,FALSE),0)</f>
        <v>0</v>
      </c>
      <c r="V108" s="13"/>
      <c r="W108" s="17">
        <f>+Tabla3[[#This Row],[Cant. Programada]]*Tabla3[[#This Row],[Precio unit]]</f>
        <v>0</v>
      </c>
      <c r="X108" s="8"/>
      <c r="Y108" s="8"/>
      <c r="Z108" s="8" t="str">
        <f>+Tabla3[[#This Row],[Referencia]]&amp;Tabla3[[#This Row],[Desc detalle ext 1]]</f>
        <v>DREAM  NEO                                        NEGRO AZU</v>
      </c>
      <c r="AA108" s="128" t="e">
        <f>+VLOOKUP(Tabla3[[#This Row],[CODIGO2]],ESTANDAR!$B$3:$C$9,2,FALSE)</f>
        <v>#N/A</v>
      </c>
      <c r="AB108" s="128" t="str">
        <f>+MID(Tabla3[[#This Row],['# Viaje]],10,1)</f>
        <v/>
      </c>
    </row>
    <row r="109" spans="1:28" ht="15" hidden="1" customHeight="1">
      <c r="A109" s="173" t="s">
        <v>1483</v>
      </c>
      <c r="B109" s="174">
        <v>42948</v>
      </c>
      <c r="C109" s="173" t="s">
        <v>1231</v>
      </c>
      <c r="D109" s="173" t="s">
        <v>1478</v>
      </c>
      <c r="E109" s="173" t="s">
        <v>1479</v>
      </c>
      <c r="F109" s="173">
        <v>1</v>
      </c>
      <c r="G109" s="173" t="s">
        <v>107</v>
      </c>
      <c r="H109" s="173">
        <v>1</v>
      </c>
      <c r="I109" s="173" t="s">
        <v>1484</v>
      </c>
      <c r="J109" s="173" t="s">
        <v>1428</v>
      </c>
      <c r="K109" s="173" t="s">
        <v>1461</v>
      </c>
      <c r="L109" s="173"/>
      <c r="M109" s="173" t="s">
        <v>106</v>
      </c>
      <c r="N109" s="173">
        <v>830145805</v>
      </c>
      <c r="O109" s="175">
        <v>3067227</v>
      </c>
      <c r="P109" s="7"/>
      <c r="Q109" s="16">
        <f>+IF(IFERROR(VLOOKUP(Tabla3[[#This Row],[Cliente factura]],Tabla4[[NIT]:[TOTAL CREDITO]],3,FALSE),0)="",0,IFERROR(VLOOKUP(Tabla3[[#This Row],[Cliente factura]],Tabla4[[NIT]:[TOTAL CREDITO]],3,FALSE),0))</f>
        <v>3321835</v>
      </c>
      <c r="R109" s="9">
        <f>+IFERROR(VLOOKUP(Tabla3[[#This Row],[Cliente factura]],Tabla4[[NIT]:[TOTAL CREDITO]],6,FALSE),0)</f>
        <v>300000000</v>
      </c>
      <c r="S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" s="10" t="str">
        <f>VLOOKUP(Tabla3[[#This Row],[Razón social cliente factura]]&amp;Tabla3[[#This Row],[Desc. ciudad]],'Estandar de Rutas'!$C$1:$E$553,2,FALSE)</f>
        <v>2.2</v>
      </c>
      <c r="U109" s="130">
        <f>IFERROR(VLOOKUP(Tabla3[[#This Row],[Referencia]]&amp;Tabla3[[#This Row],[Desc detalle ext 1]],Tabla1[[Referencia-Color]:[Disponibilidad]],3,FALSE),0)</f>
        <v>0</v>
      </c>
      <c r="V109" s="13"/>
      <c r="W109" s="17">
        <f>+Tabla3[[#This Row],[Cant. Programada]]*Tabla3[[#This Row],[Precio unit]]</f>
        <v>0</v>
      </c>
      <c r="X109" s="8"/>
      <c r="Y109" s="8"/>
      <c r="Z109" s="8" t="str">
        <f>+Tabla3[[#This Row],[Referencia]]&amp;Tabla3[[#This Row],[Desc detalle ext 1]]</f>
        <v>DREAM  NEO                                        ROJO ALFA</v>
      </c>
      <c r="AA109" s="128" t="e">
        <f>+VLOOKUP(Tabla3[[#This Row],[CODIGO2]],ESTANDAR!$B$3:$C$9,2,FALSE)</f>
        <v>#N/A</v>
      </c>
      <c r="AB109" s="128" t="str">
        <f>+MID(Tabla3[[#This Row],['# Viaje]],10,1)</f>
        <v/>
      </c>
    </row>
    <row r="110" spans="1:28" ht="15" hidden="1" customHeight="1">
      <c r="A110" s="173" t="s">
        <v>1483</v>
      </c>
      <c r="B110" s="174">
        <v>42948</v>
      </c>
      <c r="C110" s="173" t="s">
        <v>1231</v>
      </c>
      <c r="D110" s="173" t="s">
        <v>1478</v>
      </c>
      <c r="E110" s="173" t="s">
        <v>1479</v>
      </c>
      <c r="F110" s="173">
        <v>1</v>
      </c>
      <c r="G110" s="173" t="s">
        <v>107</v>
      </c>
      <c r="H110" s="173">
        <v>1</v>
      </c>
      <c r="I110" s="173" t="s">
        <v>1484</v>
      </c>
      <c r="J110" s="173" t="s">
        <v>1234</v>
      </c>
      <c r="K110" s="173" t="s">
        <v>17</v>
      </c>
      <c r="L110" s="173"/>
      <c r="M110" s="173" t="s">
        <v>106</v>
      </c>
      <c r="N110" s="173">
        <v>830145805</v>
      </c>
      <c r="O110" s="175">
        <v>5453782</v>
      </c>
      <c r="P110" s="7"/>
      <c r="Q110" s="16">
        <f>+IF(IFERROR(VLOOKUP(Tabla3[[#This Row],[Cliente factura]],Tabla4[[NIT]:[TOTAL CREDITO]],3,FALSE),0)="",0,IFERROR(VLOOKUP(Tabla3[[#This Row],[Cliente factura]],Tabla4[[NIT]:[TOTAL CREDITO]],3,FALSE),0))</f>
        <v>3321835</v>
      </c>
      <c r="R110" s="9">
        <f>+IFERROR(VLOOKUP(Tabla3[[#This Row],[Cliente factura]],Tabla4[[NIT]:[TOTAL CREDITO]],6,FALSE),0)</f>
        <v>300000000</v>
      </c>
      <c r="S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" s="10" t="str">
        <f>VLOOKUP(Tabla3[[#This Row],[Razón social cliente factura]]&amp;Tabla3[[#This Row],[Desc. ciudad]],'Estandar de Rutas'!$C$1:$E$553,2,FALSE)</f>
        <v>2.2</v>
      </c>
      <c r="U110" s="130">
        <f>IFERROR(VLOOKUP(Tabla3[[#This Row],[Referencia]]&amp;Tabla3[[#This Row],[Desc detalle ext 1]],Tabla1[[Referencia-Color]:[Disponibilidad]],3,FALSE),0)</f>
        <v>0</v>
      </c>
      <c r="V110" s="13"/>
      <c r="W110" s="17">
        <f>+Tabla3[[#This Row],[Cant. Programada]]*Tabla3[[#This Row],[Precio unit]]</f>
        <v>0</v>
      </c>
      <c r="X110" s="8"/>
      <c r="Y110" s="8"/>
      <c r="Z110" s="8" t="str">
        <f>+Tabla3[[#This Row],[Referencia]]&amp;Tabla3[[#This Row],[Desc detalle ext 1]]</f>
        <v>CB 160F STD                                       ROJO SPOR</v>
      </c>
      <c r="AA110" s="128" t="e">
        <f>+VLOOKUP(Tabla3[[#This Row],[CODIGO2]],ESTANDAR!$B$3:$C$9,2,FALSE)</f>
        <v>#N/A</v>
      </c>
      <c r="AB110" s="128" t="str">
        <f>+MID(Tabla3[[#This Row],['# Viaje]],10,1)</f>
        <v/>
      </c>
    </row>
    <row r="111" spans="1:28" ht="15" hidden="1" customHeight="1">
      <c r="A111" s="173" t="s">
        <v>1483</v>
      </c>
      <c r="B111" s="174">
        <v>42948</v>
      </c>
      <c r="C111" s="173" t="s">
        <v>1231</v>
      </c>
      <c r="D111" s="173" t="s">
        <v>1478</v>
      </c>
      <c r="E111" s="173" t="s">
        <v>1479</v>
      </c>
      <c r="F111" s="173">
        <v>4</v>
      </c>
      <c r="G111" s="173" t="s">
        <v>107</v>
      </c>
      <c r="H111" s="173">
        <v>4</v>
      </c>
      <c r="I111" s="173" t="s">
        <v>1484</v>
      </c>
      <c r="J111" s="173" t="s">
        <v>1451</v>
      </c>
      <c r="K111" s="173" t="s">
        <v>1452</v>
      </c>
      <c r="L111" s="173"/>
      <c r="M111" s="173" t="s">
        <v>106</v>
      </c>
      <c r="N111" s="173">
        <v>830145805</v>
      </c>
      <c r="O111" s="175">
        <v>3696639</v>
      </c>
      <c r="P111" s="7"/>
      <c r="Q111" s="16">
        <f>+IF(IFERROR(VLOOKUP(Tabla3[[#This Row],[Cliente factura]],Tabla4[[NIT]:[TOTAL CREDITO]],3,FALSE),0)="",0,IFERROR(VLOOKUP(Tabla3[[#This Row],[Cliente factura]],Tabla4[[NIT]:[TOTAL CREDITO]],3,FALSE),0))</f>
        <v>3321835</v>
      </c>
      <c r="R111" s="9">
        <f>+IFERROR(VLOOKUP(Tabla3[[#This Row],[Cliente factura]],Tabla4[[NIT]:[TOTAL CREDITO]],6,FALSE),0)</f>
        <v>300000000</v>
      </c>
      <c r="S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" s="10" t="str">
        <f>VLOOKUP(Tabla3[[#This Row],[Razón social cliente factura]]&amp;Tabla3[[#This Row],[Desc. ciudad]],'Estandar de Rutas'!$C$1:$E$553,2,FALSE)</f>
        <v>2.2</v>
      </c>
      <c r="U111" s="130">
        <f>IFERROR(VLOOKUP(Tabla3[[#This Row],[Referencia]]&amp;Tabla3[[#This Row],[Desc detalle ext 1]],Tabla1[[Referencia-Color]:[Disponibilidad]],3,FALSE),0)</f>
        <v>21</v>
      </c>
      <c r="V111" s="13">
        <v>4</v>
      </c>
      <c r="W111" s="17">
        <f>+Tabla3[[#This Row],[Cant. Programada]]*Tabla3[[#This Row],[Precio unit]]</f>
        <v>14786556</v>
      </c>
      <c r="X111" s="8"/>
      <c r="Y111" s="8"/>
      <c r="Z111" s="8" t="str">
        <f>+Tabla3[[#This Row],[Referencia]]&amp;Tabla3[[#This Row],[Desc detalle ext 1]]</f>
        <v xml:space="preserve">CB 110 DLX                                        AZUL     </v>
      </c>
      <c r="AA111" s="128" t="e">
        <f>+VLOOKUP(Tabla3[[#This Row],[CODIGO2]],ESTANDAR!$B$3:$C$9,2,FALSE)</f>
        <v>#N/A</v>
      </c>
      <c r="AB111" s="128" t="str">
        <f>+MID(Tabla3[[#This Row],['# Viaje]],10,1)</f>
        <v/>
      </c>
    </row>
    <row r="112" spans="1:28" ht="15" hidden="1" customHeight="1">
      <c r="A112" s="173" t="s">
        <v>1483</v>
      </c>
      <c r="B112" s="174">
        <v>42948</v>
      </c>
      <c r="C112" s="173" t="s">
        <v>1231</v>
      </c>
      <c r="D112" s="173" t="s">
        <v>1478</v>
      </c>
      <c r="E112" s="173" t="s">
        <v>1479</v>
      </c>
      <c r="F112" s="173">
        <v>14</v>
      </c>
      <c r="G112" s="173" t="s">
        <v>107</v>
      </c>
      <c r="H112" s="173">
        <v>14</v>
      </c>
      <c r="I112" s="173" t="s">
        <v>1484</v>
      </c>
      <c r="J112" s="173" t="s">
        <v>1451</v>
      </c>
      <c r="K112" s="173" t="s">
        <v>1449</v>
      </c>
      <c r="L112" s="173"/>
      <c r="M112" s="173" t="s">
        <v>106</v>
      </c>
      <c r="N112" s="173">
        <v>830145805</v>
      </c>
      <c r="O112" s="175">
        <v>3696639</v>
      </c>
      <c r="P112" s="7"/>
      <c r="Q112" s="16">
        <f>+IF(IFERROR(VLOOKUP(Tabla3[[#This Row],[Cliente factura]],Tabla4[[NIT]:[TOTAL CREDITO]],3,FALSE),0)="",0,IFERROR(VLOOKUP(Tabla3[[#This Row],[Cliente factura]],Tabla4[[NIT]:[TOTAL CREDITO]],3,FALSE),0))</f>
        <v>3321835</v>
      </c>
      <c r="R112" s="9">
        <f>+IFERROR(VLOOKUP(Tabla3[[#This Row],[Cliente factura]],Tabla4[[NIT]:[TOTAL CREDITO]],6,FALSE),0)</f>
        <v>300000000</v>
      </c>
      <c r="S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" s="10" t="str">
        <f>VLOOKUP(Tabla3[[#This Row],[Razón social cliente factura]]&amp;Tabla3[[#This Row],[Desc. ciudad]],'Estandar de Rutas'!$C$1:$E$553,2,FALSE)</f>
        <v>2.2</v>
      </c>
      <c r="U112" s="130">
        <f>IFERROR(VLOOKUP(Tabla3[[#This Row],[Referencia]]&amp;Tabla3[[#This Row],[Desc detalle ext 1]],Tabla1[[Referencia-Color]:[Disponibilidad]],3,FALSE),0)</f>
        <v>24</v>
      </c>
      <c r="V112" s="13">
        <v>6</v>
      </c>
      <c r="W112" s="17">
        <f>+Tabla3[[#This Row],[Cant. Programada]]*Tabla3[[#This Row],[Precio unit]]</f>
        <v>22179834</v>
      </c>
      <c r="X112" s="8"/>
      <c r="Y112" s="8"/>
      <c r="Z112" s="8" t="str">
        <f>+Tabla3[[#This Row],[Referencia]]&amp;Tabla3[[#This Row],[Desc detalle ext 1]]</f>
        <v xml:space="preserve">CB 110 DLX                                        GRIS     </v>
      </c>
      <c r="AA112" s="128" t="e">
        <f>+VLOOKUP(Tabla3[[#This Row],[CODIGO2]],ESTANDAR!$B$3:$C$9,2,FALSE)</f>
        <v>#N/A</v>
      </c>
      <c r="AB112" s="128" t="str">
        <f>+MID(Tabla3[[#This Row],['# Viaje]],10,1)</f>
        <v/>
      </c>
    </row>
    <row r="113" spans="1:46" ht="15" hidden="1" customHeight="1">
      <c r="A113" s="173" t="s">
        <v>1483</v>
      </c>
      <c r="B113" s="174">
        <v>42948</v>
      </c>
      <c r="C113" s="173" t="s">
        <v>1231</v>
      </c>
      <c r="D113" s="173" t="s">
        <v>1478</v>
      </c>
      <c r="E113" s="173" t="s">
        <v>1479</v>
      </c>
      <c r="F113" s="173">
        <v>14</v>
      </c>
      <c r="G113" s="173" t="s">
        <v>107</v>
      </c>
      <c r="H113" s="173">
        <v>14</v>
      </c>
      <c r="I113" s="173" t="s">
        <v>1484</v>
      </c>
      <c r="J113" s="173" t="s">
        <v>1451</v>
      </c>
      <c r="K113" s="173" t="s">
        <v>1431</v>
      </c>
      <c r="L113" s="173"/>
      <c r="M113" s="173" t="s">
        <v>106</v>
      </c>
      <c r="N113" s="173">
        <v>830145805</v>
      </c>
      <c r="O113" s="175">
        <v>3696639</v>
      </c>
      <c r="P113" s="7"/>
      <c r="Q113" s="16">
        <f>+IF(IFERROR(VLOOKUP(Tabla3[[#This Row],[Cliente factura]],Tabla4[[NIT]:[TOTAL CREDITO]],3,FALSE),0)="",0,IFERROR(VLOOKUP(Tabla3[[#This Row],[Cliente factura]],Tabla4[[NIT]:[TOTAL CREDITO]],3,FALSE),0))</f>
        <v>3321835</v>
      </c>
      <c r="R113" s="9">
        <f>+IFERROR(VLOOKUP(Tabla3[[#This Row],[Cliente factura]],Tabla4[[NIT]:[TOTAL CREDITO]],6,FALSE),0)</f>
        <v>300000000</v>
      </c>
      <c r="S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" s="10" t="str">
        <f>VLOOKUP(Tabla3[[#This Row],[Razón social cliente factura]]&amp;Tabla3[[#This Row],[Desc. ciudad]],'Estandar de Rutas'!$C$1:$E$553,2,FALSE)</f>
        <v>2.2</v>
      </c>
      <c r="U113" s="130">
        <f>IFERROR(VLOOKUP(Tabla3[[#This Row],[Referencia]]&amp;Tabla3[[#This Row],[Desc detalle ext 1]],Tabla1[[Referencia-Color]:[Disponibilidad]],3,FALSE),0)</f>
        <v>21</v>
      </c>
      <c r="V113" s="13">
        <v>1</v>
      </c>
      <c r="W113" s="17">
        <f>+Tabla3[[#This Row],[Cant. Programada]]*Tabla3[[#This Row],[Precio unit]]</f>
        <v>3696639</v>
      </c>
      <c r="X113" s="8"/>
      <c r="Y113" s="8"/>
      <c r="Z113" s="8" t="str">
        <f>+Tabla3[[#This Row],[Referencia]]&amp;Tabla3[[#This Row],[Desc detalle ext 1]]</f>
        <v xml:space="preserve">CB 110 DLX                                        ROJO     </v>
      </c>
      <c r="AA113" s="128" t="e">
        <f>+VLOOKUP(Tabla3[[#This Row],[CODIGO2]],ESTANDAR!$B$3:$C$9,2,FALSE)</f>
        <v>#N/A</v>
      </c>
      <c r="AB113" s="128" t="str">
        <f>+MID(Tabla3[[#This Row],['# Viaje]],10,1)</f>
        <v/>
      </c>
    </row>
    <row r="114" spans="1:46" ht="15" hidden="1" customHeight="1">
      <c r="A114" s="173" t="s">
        <v>1483</v>
      </c>
      <c r="B114" s="174">
        <v>42948</v>
      </c>
      <c r="C114" s="173" t="s">
        <v>1231</v>
      </c>
      <c r="D114" s="173" t="s">
        <v>1478</v>
      </c>
      <c r="E114" s="173" t="s">
        <v>1479</v>
      </c>
      <c r="F114" s="173">
        <v>16</v>
      </c>
      <c r="G114" s="173" t="s">
        <v>107</v>
      </c>
      <c r="H114" s="173">
        <v>16</v>
      </c>
      <c r="I114" s="173" t="s">
        <v>1484</v>
      </c>
      <c r="J114" s="173" t="s">
        <v>1451</v>
      </c>
      <c r="K114" s="173" t="s">
        <v>16</v>
      </c>
      <c r="L114" s="173"/>
      <c r="M114" s="173" t="s">
        <v>106</v>
      </c>
      <c r="N114" s="173">
        <v>830145805</v>
      </c>
      <c r="O114" s="175">
        <v>3696639</v>
      </c>
      <c r="P114" s="7"/>
      <c r="Q114" s="16">
        <f>+IF(IFERROR(VLOOKUP(Tabla3[[#This Row],[Cliente factura]],Tabla4[[NIT]:[TOTAL CREDITO]],3,FALSE),0)="",0,IFERROR(VLOOKUP(Tabla3[[#This Row],[Cliente factura]],Tabla4[[NIT]:[TOTAL CREDITO]],3,FALSE),0))</f>
        <v>3321835</v>
      </c>
      <c r="R114" s="9">
        <f>+IFERROR(VLOOKUP(Tabla3[[#This Row],[Cliente factura]],Tabla4[[NIT]:[TOTAL CREDITO]],6,FALSE),0)</f>
        <v>300000000</v>
      </c>
      <c r="S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" s="10" t="str">
        <f>VLOOKUP(Tabla3[[#This Row],[Razón social cliente factura]]&amp;Tabla3[[#This Row],[Desc. ciudad]],'Estandar de Rutas'!$C$1:$E$553,2,FALSE)</f>
        <v>2.2</v>
      </c>
      <c r="U114" s="130">
        <f>IFERROR(VLOOKUP(Tabla3[[#This Row],[Referencia]]&amp;Tabla3[[#This Row],[Desc detalle ext 1]],Tabla1[[Referencia-Color]:[Disponibilidad]],3,FALSE),0)</f>
        <v>3</v>
      </c>
      <c r="V114" s="13">
        <v>8</v>
      </c>
      <c r="W114" s="17">
        <f>+Tabla3[[#This Row],[Cant. Programada]]*Tabla3[[#This Row],[Precio unit]]</f>
        <v>29573112</v>
      </c>
      <c r="X114" s="8"/>
      <c r="Y114" s="8"/>
      <c r="Z114" s="8" t="str">
        <f>+Tabla3[[#This Row],[Referencia]]&amp;Tabla3[[#This Row],[Desc detalle ext 1]]</f>
        <v xml:space="preserve">CB 110 DLX                                        NEGRO    </v>
      </c>
      <c r="AA114" s="128" t="e">
        <f>+VLOOKUP(Tabla3[[#This Row],[CODIGO2]],ESTANDAR!$B$3:$C$9,2,FALSE)</f>
        <v>#N/A</v>
      </c>
      <c r="AB114" s="128" t="str">
        <f>+MID(Tabla3[[#This Row],['# Viaje]],10,1)</f>
        <v/>
      </c>
    </row>
    <row r="115" spans="1:46" ht="15" hidden="1" customHeight="1">
      <c r="A115" s="173" t="s">
        <v>1485</v>
      </c>
      <c r="B115" s="174">
        <v>42948</v>
      </c>
      <c r="C115" s="173" t="s">
        <v>1231</v>
      </c>
      <c r="D115" s="173" t="s">
        <v>1478</v>
      </c>
      <c r="E115" s="173" t="s">
        <v>1479</v>
      </c>
      <c r="F115" s="173">
        <v>1</v>
      </c>
      <c r="G115" s="173" t="s">
        <v>221</v>
      </c>
      <c r="H115" s="173">
        <v>1</v>
      </c>
      <c r="I115" s="173" t="s">
        <v>221</v>
      </c>
      <c r="J115" s="173" t="s">
        <v>14</v>
      </c>
      <c r="K115" s="173" t="s">
        <v>16</v>
      </c>
      <c r="L115" s="173"/>
      <c r="M115" s="173" t="s">
        <v>222</v>
      </c>
      <c r="N115" s="173">
        <v>10305214</v>
      </c>
      <c r="O115" s="175">
        <v>3360504</v>
      </c>
      <c r="P115" s="7"/>
      <c r="Q115" s="16">
        <f>+IF(IFERROR(VLOOKUP(Tabla3[[#This Row],[Cliente factura]],Tabla4[[NIT]:[TOTAL CREDITO]],3,FALSE),0)="",0,IFERROR(VLOOKUP(Tabla3[[#This Row],[Cliente factura]],Tabla4[[NIT]:[TOTAL CREDITO]],3,FALSE),0))</f>
        <v>0</v>
      </c>
      <c r="R115" s="9">
        <f>+IFERROR(VLOOKUP(Tabla3[[#This Row],[Cliente factura]],Tabla4[[NIT]:[TOTAL CREDITO]],6,FALSE),0)</f>
        <v>0</v>
      </c>
      <c r="S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" s="10" t="str">
        <f>VLOOKUP(Tabla3[[#This Row],[Razón social cliente factura]]&amp;Tabla3[[#This Row],[Desc. ciudad]],'Estandar de Rutas'!$C$1:$E$553,2,FALSE)</f>
        <v>2.1</v>
      </c>
      <c r="U115" s="130">
        <f>IFERROR(VLOOKUP(Tabla3[[#This Row],[Referencia]]&amp;Tabla3[[#This Row],[Desc detalle ext 1]],Tabla1[[Referencia-Color]:[Disponibilidad]],3,FALSE),0)</f>
        <v>83</v>
      </c>
      <c r="V115" s="13"/>
      <c r="W115" s="17">
        <f>+Tabla3[[#This Row],[Cant. Programada]]*Tabla3[[#This Row],[Precio unit]]</f>
        <v>0</v>
      </c>
      <c r="X115" s="8"/>
      <c r="Y115" s="8"/>
      <c r="Z115" s="8" t="str">
        <f>+Tabla3[[#This Row],[Referencia]]&amp;Tabla3[[#This Row],[Desc detalle ext 1]]</f>
        <v xml:space="preserve">*CB-110                                           NEGRO    </v>
      </c>
      <c r="AA115" s="128" t="e">
        <f>+VLOOKUP(Tabla3[[#This Row],[CODIGO2]],ESTANDAR!$B$3:$C$9,2,FALSE)</f>
        <v>#N/A</v>
      </c>
      <c r="AB115" s="128" t="str">
        <f>+MID(Tabla3[[#This Row],['# Viaje]],10,1)</f>
        <v/>
      </c>
    </row>
    <row r="116" spans="1:46" ht="15" hidden="1" customHeight="1">
      <c r="A116" s="173" t="s">
        <v>1485</v>
      </c>
      <c r="B116" s="174">
        <v>42948</v>
      </c>
      <c r="C116" s="173" t="s">
        <v>1231</v>
      </c>
      <c r="D116" s="173" t="s">
        <v>1478</v>
      </c>
      <c r="E116" s="173" t="s">
        <v>1479</v>
      </c>
      <c r="F116" s="173">
        <v>2</v>
      </c>
      <c r="G116" s="173" t="s">
        <v>221</v>
      </c>
      <c r="H116" s="173">
        <v>2</v>
      </c>
      <c r="I116" s="173" t="s">
        <v>221</v>
      </c>
      <c r="J116" s="173" t="s">
        <v>14</v>
      </c>
      <c r="K116" s="173" t="s">
        <v>15</v>
      </c>
      <c r="L116" s="173"/>
      <c r="M116" s="173" t="s">
        <v>222</v>
      </c>
      <c r="N116" s="173">
        <v>10305214</v>
      </c>
      <c r="O116" s="175">
        <v>3360504</v>
      </c>
      <c r="P116" s="7"/>
      <c r="Q116" s="16">
        <f>+IF(IFERROR(VLOOKUP(Tabla3[[#This Row],[Cliente factura]],Tabla4[[NIT]:[TOTAL CREDITO]],3,FALSE),0)="",0,IFERROR(VLOOKUP(Tabla3[[#This Row],[Cliente factura]],Tabla4[[NIT]:[TOTAL CREDITO]],3,FALSE),0))</f>
        <v>0</v>
      </c>
      <c r="R116" s="9">
        <f>+IFERROR(VLOOKUP(Tabla3[[#This Row],[Cliente factura]],Tabla4[[NIT]:[TOTAL CREDITO]],6,FALSE),0)</f>
        <v>0</v>
      </c>
      <c r="S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" s="10" t="str">
        <f>VLOOKUP(Tabla3[[#This Row],[Razón social cliente factura]]&amp;Tabla3[[#This Row],[Desc. ciudad]],'Estandar de Rutas'!$C$1:$E$553,2,FALSE)</f>
        <v>2.1</v>
      </c>
      <c r="U116" s="130">
        <f>IFERROR(VLOOKUP(Tabla3[[#This Row],[Referencia]]&amp;Tabla3[[#This Row],[Desc detalle ext 1]],Tabla1[[Referencia-Color]:[Disponibilidad]],3,FALSE),0)</f>
        <v>99</v>
      </c>
      <c r="V116" s="13"/>
      <c r="W116" s="17">
        <f>+Tabla3[[#This Row],[Cant. Programada]]*Tabla3[[#This Row],[Precio unit]]</f>
        <v>0</v>
      </c>
      <c r="X116" s="8"/>
      <c r="Y116" s="8"/>
      <c r="Z116" s="8" t="str">
        <f>+Tabla3[[#This Row],[Referencia]]&amp;Tabla3[[#This Row],[Desc detalle ext 1]]</f>
        <v>*CB-110                                           AZUL FIJI</v>
      </c>
      <c r="AA116" s="128" t="e">
        <f>+VLOOKUP(Tabla3[[#This Row],[CODIGO2]],ESTANDAR!$B$3:$C$9,2,FALSE)</f>
        <v>#N/A</v>
      </c>
      <c r="AB116" s="128" t="str">
        <f>+MID(Tabla3[[#This Row],['# Viaje]],10,1)</f>
        <v/>
      </c>
    </row>
    <row r="117" spans="1:46" ht="15" hidden="1" customHeight="1">
      <c r="A117" s="173" t="s">
        <v>1485</v>
      </c>
      <c r="B117" s="174">
        <v>42948</v>
      </c>
      <c r="C117" s="173" t="s">
        <v>1231</v>
      </c>
      <c r="D117" s="173" t="s">
        <v>1478</v>
      </c>
      <c r="E117" s="173" t="s">
        <v>1479</v>
      </c>
      <c r="F117" s="173">
        <v>1</v>
      </c>
      <c r="G117" s="173" t="s">
        <v>221</v>
      </c>
      <c r="H117" s="173">
        <v>1</v>
      </c>
      <c r="I117" s="173" t="s">
        <v>221</v>
      </c>
      <c r="J117" s="173" t="s">
        <v>18</v>
      </c>
      <c r="K117" s="173" t="s">
        <v>1419</v>
      </c>
      <c r="L117" s="173"/>
      <c r="M117" s="173" t="s">
        <v>222</v>
      </c>
      <c r="N117" s="173">
        <v>10305214</v>
      </c>
      <c r="O117" s="175">
        <v>5168067</v>
      </c>
      <c r="P117" s="7"/>
      <c r="Q117" s="16">
        <f>+IF(IFERROR(VLOOKUP(Tabla3[[#This Row],[Cliente factura]],Tabla4[[NIT]:[TOTAL CREDITO]],3,FALSE),0)="",0,IFERROR(VLOOKUP(Tabla3[[#This Row],[Cliente factura]],Tabla4[[NIT]:[TOTAL CREDITO]],3,FALSE),0))</f>
        <v>0</v>
      </c>
      <c r="R117" s="9">
        <f>+IFERROR(VLOOKUP(Tabla3[[#This Row],[Cliente factura]],Tabla4[[NIT]:[TOTAL CREDITO]],6,FALSE),0)</f>
        <v>0</v>
      </c>
      <c r="S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" s="10" t="str">
        <f>VLOOKUP(Tabla3[[#This Row],[Razón social cliente factura]]&amp;Tabla3[[#This Row],[Desc. ciudad]],'Estandar de Rutas'!$C$1:$E$553,2,FALSE)</f>
        <v>2.1</v>
      </c>
      <c r="U117" s="130">
        <f>IFERROR(VLOOKUP(Tabla3[[#This Row],[Referencia]]&amp;Tabla3[[#This Row],[Desc detalle ext 1]],Tabla1[[Referencia-Color]:[Disponibilidad]],3,FALSE),0)</f>
        <v>18</v>
      </c>
      <c r="V117" s="13"/>
      <c r="W117" s="17">
        <f>+Tabla3[[#This Row],[Cant. Programada]]*Tabla3[[#This Row],[Precio unit]]</f>
        <v>0</v>
      </c>
      <c r="X117" s="8"/>
      <c r="Y117" s="8"/>
      <c r="Z117" s="8" t="str">
        <f>+Tabla3[[#This Row],[Referencia]]&amp;Tabla3[[#This Row],[Desc detalle ext 1]]</f>
        <v>*INVICTA                                          AZUL NEON</v>
      </c>
      <c r="AA117" s="128" t="e">
        <f>+VLOOKUP(Tabla3[[#This Row],[CODIGO2]],ESTANDAR!$B$3:$C$9,2,FALSE)</f>
        <v>#N/A</v>
      </c>
      <c r="AB117" s="128" t="str">
        <f>+MID(Tabla3[[#This Row],['# Viaje]],10,1)</f>
        <v/>
      </c>
    </row>
    <row r="118" spans="1:46" ht="15" hidden="1" customHeight="1">
      <c r="A118" s="173" t="s">
        <v>1485</v>
      </c>
      <c r="B118" s="174">
        <v>42948</v>
      </c>
      <c r="C118" s="173" t="s">
        <v>1231</v>
      </c>
      <c r="D118" s="173" t="s">
        <v>1478</v>
      </c>
      <c r="E118" s="173" t="s">
        <v>1479</v>
      </c>
      <c r="F118" s="173">
        <v>2</v>
      </c>
      <c r="G118" s="173" t="s">
        <v>221</v>
      </c>
      <c r="H118" s="173">
        <v>2</v>
      </c>
      <c r="I118" s="173" t="s">
        <v>221</v>
      </c>
      <c r="J118" s="173" t="s">
        <v>27</v>
      </c>
      <c r="K118" s="173" t="s">
        <v>26</v>
      </c>
      <c r="L118" s="173"/>
      <c r="M118" s="173" t="s">
        <v>222</v>
      </c>
      <c r="N118" s="173">
        <v>10305214</v>
      </c>
      <c r="O118" s="175">
        <v>5789916</v>
      </c>
      <c r="P118" s="7"/>
      <c r="Q118" s="16">
        <f>+IF(IFERROR(VLOOKUP(Tabla3[[#This Row],[Cliente factura]],Tabla4[[NIT]:[TOTAL CREDITO]],3,FALSE),0)="",0,IFERROR(VLOOKUP(Tabla3[[#This Row],[Cliente factura]],Tabla4[[NIT]:[TOTAL CREDITO]],3,FALSE),0))</f>
        <v>0</v>
      </c>
      <c r="R118" s="9">
        <f>+IFERROR(VLOOKUP(Tabla3[[#This Row],[Cliente factura]],Tabla4[[NIT]:[TOTAL CREDITO]],6,FALSE),0)</f>
        <v>0</v>
      </c>
      <c r="S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" s="10" t="str">
        <f>VLOOKUP(Tabla3[[#This Row],[Razón social cliente factura]]&amp;Tabla3[[#This Row],[Desc. ciudad]],'Estandar de Rutas'!$C$1:$E$553,2,FALSE)</f>
        <v>2.1</v>
      </c>
      <c r="U118" s="130">
        <f>IFERROR(VLOOKUP(Tabla3[[#This Row],[Referencia]]&amp;Tabla3[[#This Row],[Desc detalle ext 1]],Tabla1[[Referencia-Color]:[Disponibilidad]],3,FALSE),0)</f>
        <v>59</v>
      </c>
      <c r="V118" s="13"/>
      <c r="W118" s="17">
        <f>+Tabla3[[#This Row],[Cant. Programada]]*Tabla3[[#This Row],[Precio unit]]</f>
        <v>0</v>
      </c>
      <c r="X118" s="8"/>
      <c r="Y118" s="8"/>
      <c r="Z118" s="8" t="str">
        <f>+Tabla3[[#This Row],[Referencia]]&amp;Tabla3[[#This Row],[Desc detalle ext 1]]</f>
        <v>*XR 150L                                          NEGRO BLA</v>
      </c>
      <c r="AA118" s="128" t="e">
        <f>+VLOOKUP(Tabla3[[#This Row],[CODIGO2]],ESTANDAR!$B$3:$C$9,2,FALSE)</f>
        <v>#N/A</v>
      </c>
      <c r="AB118" s="128" t="str">
        <f>+MID(Tabla3[[#This Row],['# Viaje]],10,1)</f>
        <v/>
      </c>
    </row>
    <row r="119" spans="1:46" ht="15" hidden="1" customHeight="1">
      <c r="A119" s="173" t="s">
        <v>1485</v>
      </c>
      <c r="B119" s="174">
        <v>42948</v>
      </c>
      <c r="C119" s="173" t="s">
        <v>1231</v>
      </c>
      <c r="D119" s="173" t="s">
        <v>1478</v>
      </c>
      <c r="E119" s="173" t="s">
        <v>1479</v>
      </c>
      <c r="F119" s="173">
        <v>2</v>
      </c>
      <c r="G119" s="173" t="s">
        <v>221</v>
      </c>
      <c r="H119" s="173">
        <v>2</v>
      </c>
      <c r="I119" s="173" t="s">
        <v>221</v>
      </c>
      <c r="J119" s="173" t="s">
        <v>354</v>
      </c>
      <c r="K119" s="173" t="s">
        <v>44</v>
      </c>
      <c r="L119" s="173"/>
      <c r="M119" s="173" t="s">
        <v>222</v>
      </c>
      <c r="N119" s="173">
        <v>10305214</v>
      </c>
      <c r="O119" s="175">
        <v>6133613</v>
      </c>
      <c r="P119" s="7"/>
      <c r="Q119" s="16">
        <f>+IF(IFERROR(VLOOKUP(Tabla3[[#This Row],[Cliente factura]],Tabla4[[NIT]:[TOTAL CREDITO]],3,FALSE),0)="",0,IFERROR(VLOOKUP(Tabla3[[#This Row],[Cliente factura]],Tabla4[[NIT]:[TOTAL CREDITO]],3,FALSE),0))</f>
        <v>0</v>
      </c>
      <c r="R119" s="9">
        <f>+IFERROR(VLOOKUP(Tabla3[[#This Row],[Cliente factura]],Tabla4[[NIT]:[TOTAL CREDITO]],6,FALSE),0)</f>
        <v>0</v>
      </c>
      <c r="S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" s="10" t="str">
        <f>VLOOKUP(Tabla3[[#This Row],[Razón social cliente factura]]&amp;Tabla3[[#This Row],[Desc. ciudad]],'Estandar de Rutas'!$C$1:$E$553,2,FALSE)</f>
        <v>2.1</v>
      </c>
      <c r="U119" s="130">
        <f>IFERROR(VLOOKUP(Tabla3[[#This Row],[Referencia]]&amp;Tabla3[[#This Row],[Desc detalle ext 1]],Tabla1[[Referencia-Color]:[Disponibilidad]],3,FALSE),0)</f>
        <v>6</v>
      </c>
      <c r="V119" s="13"/>
      <c r="W119" s="17">
        <f>+Tabla3[[#This Row],[Cant. Programada]]*Tabla3[[#This Row],[Precio unit]]</f>
        <v>0</v>
      </c>
      <c r="X119" s="8"/>
      <c r="Y119" s="8"/>
      <c r="Z119" s="8" t="str">
        <f>+Tabla3[[#This Row],[Referencia]]&amp;Tabla3[[#This Row],[Desc detalle ext 1]]</f>
        <v>CB 160F DLX                                       BLANCO PE</v>
      </c>
      <c r="AA119" s="128" t="e">
        <f>+VLOOKUP(Tabla3[[#This Row],[CODIGO2]],ESTANDAR!$B$3:$C$9,2,FALSE)</f>
        <v>#N/A</v>
      </c>
      <c r="AB119" s="128" t="str">
        <f>+MID(Tabla3[[#This Row],['# Viaje]],10,1)</f>
        <v/>
      </c>
    </row>
    <row r="120" spans="1:46" s="84" customFormat="1" ht="15" hidden="1" customHeight="1">
      <c r="A120" s="173" t="s">
        <v>1485</v>
      </c>
      <c r="B120" s="174">
        <v>42948</v>
      </c>
      <c r="C120" s="173" t="s">
        <v>1231</v>
      </c>
      <c r="D120" s="173" t="s">
        <v>1478</v>
      </c>
      <c r="E120" s="173" t="s">
        <v>1479</v>
      </c>
      <c r="F120" s="173">
        <v>4</v>
      </c>
      <c r="G120" s="173" t="s">
        <v>221</v>
      </c>
      <c r="H120" s="173">
        <v>4</v>
      </c>
      <c r="I120" s="173" t="s">
        <v>221</v>
      </c>
      <c r="J120" s="173" t="s">
        <v>354</v>
      </c>
      <c r="K120" s="173" t="s">
        <v>355</v>
      </c>
      <c r="L120" s="173"/>
      <c r="M120" s="173" t="s">
        <v>222</v>
      </c>
      <c r="N120" s="173">
        <v>10305214</v>
      </c>
      <c r="O120" s="175">
        <v>6133613</v>
      </c>
      <c r="P120" s="7"/>
      <c r="Q120" s="16">
        <f>+IF(IFERROR(VLOOKUP(Tabla3[[#This Row],[Cliente factura]],Tabla4[[NIT]:[TOTAL CREDITO]],3,FALSE),0)="",0,IFERROR(VLOOKUP(Tabla3[[#This Row],[Cliente factura]],Tabla4[[NIT]:[TOTAL CREDITO]],3,FALSE),0))</f>
        <v>0</v>
      </c>
      <c r="R120" s="9">
        <f>+IFERROR(VLOOKUP(Tabla3[[#This Row],[Cliente factura]],Tabla4[[NIT]:[TOTAL CREDITO]],6,FALSE),0)</f>
        <v>0</v>
      </c>
      <c r="S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" s="10" t="str">
        <f>VLOOKUP(Tabla3[[#This Row],[Razón social cliente factura]]&amp;Tabla3[[#This Row],[Desc. ciudad]],'Estandar de Rutas'!$C$1:$E$553,2,FALSE)</f>
        <v>2.1</v>
      </c>
      <c r="U120" s="130">
        <f>IFERROR(VLOOKUP(Tabla3[[#This Row],[Referencia]]&amp;Tabla3[[#This Row],[Desc detalle ext 1]],Tabla1[[Referencia-Color]:[Disponibilidad]],3,FALSE),0)</f>
        <v>0</v>
      </c>
      <c r="V120" s="13"/>
      <c r="W120" s="17">
        <f>+Tabla3[[#This Row],[Cant. Programada]]*Tabla3[[#This Row],[Precio unit]]</f>
        <v>0</v>
      </c>
      <c r="X120" s="8"/>
      <c r="Y120" s="8"/>
      <c r="Z120" s="8" t="str">
        <f>+Tabla3[[#This Row],[Referencia]]&amp;Tabla3[[#This Row],[Desc detalle ext 1]]</f>
        <v>CB 160F DLX                                       NEGRO PER</v>
      </c>
      <c r="AA120" s="128" t="e">
        <f>+VLOOKUP(Tabla3[[#This Row],[CODIGO2]],ESTANDAR!$B$3:$C$9,2,FALSE)</f>
        <v>#N/A</v>
      </c>
      <c r="AB120" s="128" t="str">
        <f>+MID(Tabla3[[#This Row],['# Viaje]],10,1)</f>
        <v/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ht="15" hidden="1" customHeight="1">
      <c r="A121" s="173" t="s">
        <v>1485</v>
      </c>
      <c r="B121" s="174">
        <v>42948</v>
      </c>
      <c r="C121" s="173" t="s">
        <v>1231</v>
      </c>
      <c r="D121" s="173" t="s">
        <v>1478</v>
      </c>
      <c r="E121" s="173" t="s">
        <v>1479</v>
      </c>
      <c r="F121" s="173">
        <v>2</v>
      </c>
      <c r="G121" s="173" t="s">
        <v>221</v>
      </c>
      <c r="H121" s="173">
        <v>2</v>
      </c>
      <c r="I121" s="173" t="s">
        <v>221</v>
      </c>
      <c r="J121" s="173" t="s">
        <v>1428</v>
      </c>
      <c r="K121" s="173" t="s">
        <v>1461</v>
      </c>
      <c r="L121" s="173"/>
      <c r="M121" s="173" t="s">
        <v>222</v>
      </c>
      <c r="N121" s="173">
        <v>10305214</v>
      </c>
      <c r="O121" s="175">
        <v>3067227</v>
      </c>
      <c r="P121" s="7"/>
      <c r="Q121" s="16">
        <f>+IF(IFERROR(VLOOKUP(Tabla3[[#This Row],[Cliente factura]],Tabla4[[NIT]:[TOTAL CREDITO]],3,FALSE),0)="",0,IFERROR(VLOOKUP(Tabla3[[#This Row],[Cliente factura]],Tabla4[[NIT]:[TOTAL CREDITO]],3,FALSE),0))</f>
        <v>0</v>
      </c>
      <c r="R121" s="9">
        <f>+IFERROR(VLOOKUP(Tabla3[[#This Row],[Cliente factura]],Tabla4[[NIT]:[TOTAL CREDITO]],6,FALSE),0)</f>
        <v>0</v>
      </c>
      <c r="S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" s="10" t="str">
        <f>VLOOKUP(Tabla3[[#This Row],[Razón social cliente factura]]&amp;Tabla3[[#This Row],[Desc. ciudad]],'Estandar de Rutas'!$C$1:$E$553,2,FALSE)</f>
        <v>2.1</v>
      </c>
      <c r="U121" s="130">
        <f>IFERROR(VLOOKUP(Tabla3[[#This Row],[Referencia]]&amp;Tabla3[[#This Row],[Desc detalle ext 1]],Tabla1[[Referencia-Color]:[Disponibilidad]],3,FALSE),0)</f>
        <v>0</v>
      </c>
      <c r="V121" s="13"/>
      <c r="W121" s="17">
        <f>+Tabla3[[#This Row],[Cant. Programada]]*Tabla3[[#This Row],[Precio unit]]</f>
        <v>0</v>
      </c>
      <c r="X121" s="8"/>
      <c r="Y121" s="8"/>
      <c r="Z121" s="8" t="str">
        <f>+Tabla3[[#This Row],[Referencia]]&amp;Tabla3[[#This Row],[Desc detalle ext 1]]</f>
        <v>DREAM  NEO                                        ROJO ALFA</v>
      </c>
      <c r="AA121" s="128" t="e">
        <f>+VLOOKUP(Tabla3[[#This Row],[CODIGO2]],ESTANDAR!$B$3:$C$9,2,FALSE)</f>
        <v>#N/A</v>
      </c>
      <c r="AB121" s="128" t="str">
        <f>+MID(Tabla3[[#This Row],['# Viaje]],10,1)</f>
        <v/>
      </c>
    </row>
    <row r="122" spans="1:46" ht="15" hidden="1" customHeight="1">
      <c r="A122" s="173" t="s">
        <v>1485</v>
      </c>
      <c r="B122" s="174">
        <v>42948</v>
      </c>
      <c r="C122" s="173" t="s">
        <v>1231</v>
      </c>
      <c r="D122" s="173" t="s">
        <v>1478</v>
      </c>
      <c r="E122" s="173" t="s">
        <v>1479</v>
      </c>
      <c r="F122" s="173">
        <v>2</v>
      </c>
      <c r="G122" s="173" t="s">
        <v>221</v>
      </c>
      <c r="H122" s="173">
        <v>2</v>
      </c>
      <c r="I122" s="173" t="s">
        <v>221</v>
      </c>
      <c r="J122" s="173" t="s">
        <v>1428</v>
      </c>
      <c r="K122" s="173" t="s">
        <v>32</v>
      </c>
      <c r="L122" s="173"/>
      <c r="M122" s="173" t="s">
        <v>222</v>
      </c>
      <c r="N122" s="173">
        <v>10305214</v>
      </c>
      <c r="O122" s="175">
        <v>3067227</v>
      </c>
      <c r="P122" s="7"/>
      <c r="Q122" s="16">
        <f>+IF(IFERROR(VLOOKUP(Tabla3[[#This Row],[Cliente factura]],Tabla4[[NIT]:[TOTAL CREDITO]],3,FALSE),0)="",0,IFERROR(VLOOKUP(Tabla3[[#This Row],[Cliente factura]],Tabla4[[NIT]:[TOTAL CREDITO]],3,FALSE),0))</f>
        <v>0</v>
      </c>
      <c r="R122" s="9">
        <f>+IFERROR(VLOOKUP(Tabla3[[#This Row],[Cliente factura]],Tabla4[[NIT]:[TOTAL CREDITO]],6,FALSE),0)</f>
        <v>0</v>
      </c>
      <c r="S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" s="10" t="str">
        <f>VLOOKUP(Tabla3[[#This Row],[Razón social cliente factura]]&amp;Tabla3[[#This Row],[Desc. ciudad]],'Estandar de Rutas'!$C$1:$E$553,2,FALSE)</f>
        <v>2.1</v>
      </c>
      <c r="U122" s="130">
        <f>IFERROR(VLOOKUP(Tabla3[[#This Row],[Referencia]]&amp;Tabla3[[#This Row],[Desc detalle ext 1]],Tabla1[[Referencia-Color]:[Disponibilidad]],3,FALSE),0)</f>
        <v>0</v>
      </c>
      <c r="V122" s="13"/>
      <c r="W122" s="17">
        <f>+Tabla3[[#This Row],[Cant. Programada]]*Tabla3[[#This Row],[Precio unit]]</f>
        <v>0</v>
      </c>
      <c r="X122" s="8"/>
      <c r="Y122" s="8"/>
      <c r="Z122" s="8" t="str">
        <f>+Tabla3[[#This Row],[Referencia]]&amp;Tabla3[[#This Row],[Desc detalle ext 1]]</f>
        <v>DREAM  NEO                                        NEGRO ROJ</v>
      </c>
      <c r="AA122" s="128" t="e">
        <f>+VLOOKUP(Tabla3[[#This Row],[CODIGO2]],ESTANDAR!$B$3:$C$9,2,FALSE)</f>
        <v>#N/A</v>
      </c>
      <c r="AB122" s="128" t="str">
        <f>+MID(Tabla3[[#This Row],['# Viaje]],10,1)</f>
        <v/>
      </c>
    </row>
    <row r="123" spans="1:46" ht="15" hidden="1" customHeight="1">
      <c r="A123" s="173" t="s">
        <v>1485</v>
      </c>
      <c r="B123" s="174">
        <v>42948</v>
      </c>
      <c r="C123" s="173" t="s">
        <v>1231</v>
      </c>
      <c r="D123" s="173" t="s">
        <v>1478</v>
      </c>
      <c r="E123" s="173" t="s">
        <v>1479</v>
      </c>
      <c r="F123" s="173">
        <v>2</v>
      </c>
      <c r="G123" s="173" t="s">
        <v>221</v>
      </c>
      <c r="H123" s="173">
        <v>2</v>
      </c>
      <c r="I123" s="173" t="s">
        <v>221</v>
      </c>
      <c r="J123" s="173" t="s">
        <v>1428</v>
      </c>
      <c r="K123" s="173" t="s">
        <v>1429</v>
      </c>
      <c r="L123" s="173"/>
      <c r="M123" s="173" t="s">
        <v>222</v>
      </c>
      <c r="N123" s="173">
        <v>10305214</v>
      </c>
      <c r="O123" s="175">
        <v>3067227</v>
      </c>
      <c r="P123" s="7"/>
      <c r="Q123" s="16">
        <f>+IF(IFERROR(VLOOKUP(Tabla3[[#This Row],[Cliente factura]],Tabla4[[NIT]:[TOTAL CREDITO]],3,FALSE),0)="",0,IFERROR(VLOOKUP(Tabla3[[#This Row],[Cliente factura]],Tabla4[[NIT]:[TOTAL CREDITO]],3,FALSE),0))</f>
        <v>0</v>
      </c>
      <c r="R123" s="9">
        <f>+IFERROR(VLOOKUP(Tabla3[[#This Row],[Cliente factura]],Tabla4[[NIT]:[TOTAL CREDITO]],6,FALSE),0)</f>
        <v>0</v>
      </c>
      <c r="S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" s="10" t="str">
        <f>VLOOKUP(Tabla3[[#This Row],[Razón social cliente factura]]&amp;Tabla3[[#This Row],[Desc. ciudad]],'Estandar de Rutas'!$C$1:$E$553,2,FALSE)</f>
        <v>2.1</v>
      </c>
      <c r="U123" s="130">
        <f>IFERROR(VLOOKUP(Tabla3[[#This Row],[Referencia]]&amp;Tabla3[[#This Row],[Desc detalle ext 1]],Tabla1[[Referencia-Color]:[Disponibilidad]],3,FALSE),0)</f>
        <v>0</v>
      </c>
      <c r="V123" s="13"/>
      <c r="W123" s="17">
        <f>+Tabla3[[#This Row],[Cant. Programada]]*Tabla3[[#This Row],[Precio unit]]</f>
        <v>0</v>
      </c>
      <c r="X123" s="8"/>
      <c r="Y123" s="8"/>
      <c r="Z123" s="8" t="str">
        <f>+Tabla3[[#This Row],[Referencia]]&amp;Tabla3[[#This Row],[Desc detalle ext 1]]</f>
        <v>DREAM  NEO                                        NEGRO AZU</v>
      </c>
      <c r="AA123" s="128" t="e">
        <f>+VLOOKUP(Tabla3[[#This Row],[CODIGO2]],ESTANDAR!$B$3:$C$9,2,FALSE)</f>
        <v>#N/A</v>
      </c>
      <c r="AB123" s="128" t="str">
        <f>+MID(Tabla3[[#This Row],['# Viaje]],10,1)</f>
        <v/>
      </c>
    </row>
    <row r="124" spans="1:46" ht="15" hidden="1" customHeight="1">
      <c r="A124" s="173" t="s">
        <v>1485</v>
      </c>
      <c r="B124" s="174">
        <v>42948</v>
      </c>
      <c r="C124" s="173" t="s">
        <v>1231</v>
      </c>
      <c r="D124" s="173" t="s">
        <v>1478</v>
      </c>
      <c r="E124" s="173" t="s">
        <v>1479</v>
      </c>
      <c r="F124" s="173">
        <v>4</v>
      </c>
      <c r="G124" s="173" t="s">
        <v>221</v>
      </c>
      <c r="H124" s="173">
        <v>4</v>
      </c>
      <c r="I124" s="173" t="s">
        <v>221</v>
      </c>
      <c r="J124" s="173" t="s">
        <v>1234</v>
      </c>
      <c r="K124" s="173" t="s">
        <v>355</v>
      </c>
      <c r="L124" s="173"/>
      <c r="M124" s="173" t="s">
        <v>222</v>
      </c>
      <c r="N124" s="173">
        <v>10305214</v>
      </c>
      <c r="O124" s="175">
        <v>5453782</v>
      </c>
      <c r="P124" s="7"/>
      <c r="Q124" s="16">
        <f>+IF(IFERROR(VLOOKUP(Tabla3[[#This Row],[Cliente factura]],Tabla4[[NIT]:[TOTAL CREDITO]],3,FALSE),0)="",0,IFERROR(VLOOKUP(Tabla3[[#This Row],[Cliente factura]],Tabla4[[NIT]:[TOTAL CREDITO]],3,FALSE),0))</f>
        <v>0</v>
      </c>
      <c r="R124" s="9">
        <f>+IFERROR(VLOOKUP(Tabla3[[#This Row],[Cliente factura]],Tabla4[[NIT]:[TOTAL CREDITO]],6,FALSE),0)</f>
        <v>0</v>
      </c>
      <c r="S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" s="10" t="str">
        <f>VLOOKUP(Tabla3[[#This Row],[Razón social cliente factura]]&amp;Tabla3[[#This Row],[Desc. ciudad]],'Estandar de Rutas'!$C$1:$E$553,2,FALSE)</f>
        <v>2.1</v>
      </c>
      <c r="U124" s="130">
        <f>IFERROR(VLOOKUP(Tabla3[[#This Row],[Referencia]]&amp;Tabla3[[#This Row],[Desc detalle ext 1]],Tabla1[[Referencia-Color]:[Disponibilidad]],3,FALSE),0)</f>
        <v>0</v>
      </c>
      <c r="V124" s="13"/>
      <c r="W124" s="17">
        <f>+Tabla3[[#This Row],[Cant. Programada]]*Tabla3[[#This Row],[Precio unit]]</f>
        <v>0</v>
      </c>
      <c r="X124" s="129"/>
      <c r="Y124" s="129"/>
      <c r="Z124" s="8" t="str">
        <f>+Tabla3[[#This Row],[Referencia]]&amp;Tabla3[[#This Row],[Desc detalle ext 1]]</f>
        <v>CB 160F STD                                       NEGRO PER</v>
      </c>
      <c r="AA124" s="128" t="e">
        <f>+VLOOKUP(Tabla3[[#This Row],[CODIGO2]],ESTANDAR!$B$3:$C$9,2,FALSE)</f>
        <v>#N/A</v>
      </c>
      <c r="AB124" s="128" t="str">
        <f>+MID(Tabla3[[#This Row],['# Viaje]],10,1)</f>
        <v/>
      </c>
    </row>
    <row r="125" spans="1:46" ht="15" hidden="1" customHeight="1">
      <c r="A125" s="173" t="s">
        <v>1485</v>
      </c>
      <c r="B125" s="174">
        <v>42948</v>
      </c>
      <c r="C125" s="173" t="s">
        <v>1231</v>
      </c>
      <c r="D125" s="173" t="s">
        <v>1478</v>
      </c>
      <c r="E125" s="173" t="s">
        <v>1479</v>
      </c>
      <c r="F125" s="173">
        <v>5</v>
      </c>
      <c r="G125" s="173" t="s">
        <v>221</v>
      </c>
      <c r="H125" s="173">
        <v>5</v>
      </c>
      <c r="I125" s="173" t="s">
        <v>221</v>
      </c>
      <c r="J125" s="173" t="s">
        <v>1451</v>
      </c>
      <c r="K125" s="173" t="s">
        <v>1452</v>
      </c>
      <c r="L125" s="173"/>
      <c r="M125" s="173" t="s">
        <v>222</v>
      </c>
      <c r="N125" s="173">
        <v>10305214</v>
      </c>
      <c r="O125" s="175">
        <v>3696639</v>
      </c>
      <c r="P125" s="7"/>
      <c r="Q125" s="16">
        <f>+IF(IFERROR(VLOOKUP(Tabla3[[#This Row],[Cliente factura]],Tabla4[[NIT]:[TOTAL CREDITO]],3,FALSE),0)="",0,IFERROR(VLOOKUP(Tabla3[[#This Row],[Cliente factura]],Tabla4[[NIT]:[TOTAL CREDITO]],3,FALSE),0))</f>
        <v>0</v>
      </c>
      <c r="R125" s="9">
        <f>+IFERROR(VLOOKUP(Tabla3[[#This Row],[Cliente factura]],Tabla4[[NIT]:[TOTAL CREDITO]],6,FALSE),0)</f>
        <v>0</v>
      </c>
      <c r="S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" s="10" t="str">
        <f>VLOOKUP(Tabla3[[#This Row],[Razón social cliente factura]]&amp;Tabla3[[#This Row],[Desc. ciudad]],'Estandar de Rutas'!$C$1:$E$553,2,FALSE)</f>
        <v>2.1</v>
      </c>
      <c r="U125" s="130">
        <f>IFERROR(VLOOKUP(Tabla3[[#This Row],[Referencia]]&amp;Tabla3[[#This Row],[Desc detalle ext 1]],Tabla1[[Referencia-Color]:[Disponibilidad]],3,FALSE),0)</f>
        <v>21</v>
      </c>
      <c r="V125" s="13"/>
      <c r="W125" s="17">
        <f>+Tabla3[[#This Row],[Cant. Programada]]*Tabla3[[#This Row],[Precio unit]]</f>
        <v>0</v>
      </c>
      <c r="X125" s="129"/>
      <c r="Y125" s="129"/>
      <c r="Z125" s="8" t="str">
        <f>+Tabla3[[#This Row],[Referencia]]&amp;Tabla3[[#This Row],[Desc detalle ext 1]]</f>
        <v xml:space="preserve">CB 110 DLX                                        AZUL     </v>
      </c>
      <c r="AA125" s="128" t="e">
        <f>+VLOOKUP(Tabla3[[#This Row],[CODIGO2]],ESTANDAR!$B$3:$C$9,2,FALSE)</f>
        <v>#N/A</v>
      </c>
      <c r="AB125" s="128" t="str">
        <f>+MID(Tabla3[[#This Row],['# Viaje]],10,1)</f>
        <v/>
      </c>
    </row>
    <row r="126" spans="1:46" ht="15" hidden="1" customHeight="1">
      <c r="A126" s="173" t="s">
        <v>1485</v>
      </c>
      <c r="B126" s="174">
        <v>42948</v>
      </c>
      <c r="C126" s="173" t="s">
        <v>1231</v>
      </c>
      <c r="D126" s="173" t="s">
        <v>1478</v>
      </c>
      <c r="E126" s="173" t="s">
        <v>1479</v>
      </c>
      <c r="F126" s="173">
        <v>2</v>
      </c>
      <c r="G126" s="173" t="s">
        <v>221</v>
      </c>
      <c r="H126" s="173">
        <v>2</v>
      </c>
      <c r="I126" s="173" t="s">
        <v>221</v>
      </c>
      <c r="J126" s="173" t="s">
        <v>1451</v>
      </c>
      <c r="K126" s="173" t="s">
        <v>1449</v>
      </c>
      <c r="L126" s="173"/>
      <c r="M126" s="173" t="s">
        <v>222</v>
      </c>
      <c r="N126" s="173">
        <v>10305214</v>
      </c>
      <c r="O126" s="175">
        <v>3696639</v>
      </c>
      <c r="P126" s="7"/>
      <c r="Q126" s="16">
        <f>+IF(IFERROR(VLOOKUP(Tabla3[[#This Row],[Cliente factura]],Tabla4[[NIT]:[TOTAL CREDITO]],3,FALSE),0)="",0,IFERROR(VLOOKUP(Tabla3[[#This Row],[Cliente factura]],Tabla4[[NIT]:[TOTAL CREDITO]],3,FALSE),0))</f>
        <v>0</v>
      </c>
      <c r="R126" s="9">
        <f>+IFERROR(VLOOKUP(Tabla3[[#This Row],[Cliente factura]],Tabla4[[NIT]:[TOTAL CREDITO]],6,FALSE),0)</f>
        <v>0</v>
      </c>
      <c r="S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" s="10" t="str">
        <f>VLOOKUP(Tabla3[[#This Row],[Razón social cliente factura]]&amp;Tabla3[[#This Row],[Desc. ciudad]],'Estandar de Rutas'!$C$1:$E$553,2,FALSE)</f>
        <v>2.1</v>
      </c>
      <c r="U126" s="130">
        <f>IFERROR(VLOOKUP(Tabla3[[#This Row],[Referencia]]&amp;Tabla3[[#This Row],[Desc detalle ext 1]],Tabla1[[Referencia-Color]:[Disponibilidad]],3,FALSE),0)</f>
        <v>24</v>
      </c>
      <c r="V126" s="13"/>
      <c r="W126" s="17">
        <f>+Tabla3[[#This Row],[Cant. Programada]]*Tabla3[[#This Row],[Precio unit]]</f>
        <v>0</v>
      </c>
      <c r="X126" s="129"/>
      <c r="Y126" s="129"/>
      <c r="Z126" s="8" t="str">
        <f>+Tabla3[[#This Row],[Referencia]]&amp;Tabla3[[#This Row],[Desc detalle ext 1]]</f>
        <v xml:space="preserve">CB 110 DLX                                        GRIS     </v>
      </c>
      <c r="AA126" s="128" t="e">
        <f>+VLOOKUP(Tabla3[[#This Row],[CODIGO2]],ESTANDAR!$B$3:$C$9,2,FALSE)</f>
        <v>#N/A</v>
      </c>
      <c r="AB126" s="128" t="str">
        <f>+MID(Tabla3[[#This Row],['# Viaje]],10,1)</f>
        <v/>
      </c>
    </row>
    <row r="127" spans="1:46" ht="15" hidden="1" customHeight="1">
      <c r="A127" s="173" t="s">
        <v>1485</v>
      </c>
      <c r="B127" s="174">
        <v>42948</v>
      </c>
      <c r="C127" s="173" t="s">
        <v>1231</v>
      </c>
      <c r="D127" s="173" t="s">
        <v>1478</v>
      </c>
      <c r="E127" s="173" t="s">
        <v>1479</v>
      </c>
      <c r="F127" s="173">
        <v>1</v>
      </c>
      <c r="G127" s="173" t="s">
        <v>221</v>
      </c>
      <c r="H127" s="173">
        <v>1</v>
      </c>
      <c r="I127" s="173" t="s">
        <v>221</v>
      </c>
      <c r="J127" s="173" t="s">
        <v>1451</v>
      </c>
      <c r="K127" s="173" t="s">
        <v>1431</v>
      </c>
      <c r="L127" s="173"/>
      <c r="M127" s="173" t="s">
        <v>222</v>
      </c>
      <c r="N127" s="173">
        <v>10305214</v>
      </c>
      <c r="O127" s="175">
        <v>3696639</v>
      </c>
      <c r="P127" s="7"/>
      <c r="Q127" s="16">
        <f>+IF(IFERROR(VLOOKUP(Tabla3[[#This Row],[Cliente factura]],Tabla4[[NIT]:[TOTAL CREDITO]],3,FALSE),0)="",0,IFERROR(VLOOKUP(Tabla3[[#This Row],[Cliente factura]],Tabla4[[NIT]:[TOTAL CREDITO]],3,FALSE),0))</f>
        <v>0</v>
      </c>
      <c r="R127" s="9">
        <f>+IFERROR(VLOOKUP(Tabla3[[#This Row],[Cliente factura]],Tabla4[[NIT]:[TOTAL CREDITO]],6,FALSE),0)</f>
        <v>0</v>
      </c>
      <c r="S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" s="10" t="str">
        <f>VLOOKUP(Tabla3[[#This Row],[Razón social cliente factura]]&amp;Tabla3[[#This Row],[Desc. ciudad]],'Estandar de Rutas'!$C$1:$E$553,2,FALSE)</f>
        <v>2.1</v>
      </c>
      <c r="U127" s="130">
        <f>IFERROR(VLOOKUP(Tabla3[[#This Row],[Referencia]]&amp;Tabla3[[#This Row],[Desc detalle ext 1]],Tabla1[[Referencia-Color]:[Disponibilidad]],3,FALSE),0)</f>
        <v>21</v>
      </c>
      <c r="V127" s="13"/>
      <c r="W127" s="17">
        <f>+Tabla3[[#This Row],[Cant. Programada]]*Tabla3[[#This Row],[Precio unit]]</f>
        <v>0</v>
      </c>
      <c r="X127" s="129"/>
      <c r="Y127" s="8"/>
      <c r="Z127" s="8" t="str">
        <f>+Tabla3[[#This Row],[Referencia]]&amp;Tabla3[[#This Row],[Desc detalle ext 1]]</f>
        <v xml:space="preserve">CB 110 DLX                                        ROJO     </v>
      </c>
      <c r="AA127" s="128" t="e">
        <f>+VLOOKUP(Tabla3[[#This Row],[CODIGO2]],ESTANDAR!$B$3:$C$9,2,FALSE)</f>
        <v>#N/A</v>
      </c>
      <c r="AB127" s="128" t="str">
        <f>+MID(Tabla3[[#This Row],['# Viaje]],10,1)</f>
        <v/>
      </c>
    </row>
    <row r="128" spans="1:46" ht="15" hidden="1" customHeight="1">
      <c r="A128" s="173" t="s">
        <v>1485</v>
      </c>
      <c r="B128" s="174">
        <v>42948</v>
      </c>
      <c r="C128" s="173" t="s">
        <v>1231</v>
      </c>
      <c r="D128" s="173" t="s">
        <v>1478</v>
      </c>
      <c r="E128" s="173" t="s">
        <v>1479</v>
      </c>
      <c r="F128" s="173">
        <v>5</v>
      </c>
      <c r="G128" s="173" t="s">
        <v>221</v>
      </c>
      <c r="H128" s="173">
        <v>5</v>
      </c>
      <c r="I128" s="173" t="s">
        <v>221</v>
      </c>
      <c r="J128" s="173" t="s">
        <v>1451</v>
      </c>
      <c r="K128" s="173" t="s">
        <v>16</v>
      </c>
      <c r="L128" s="173"/>
      <c r="M128" s="173" t="s">
        <v>222</v>
      </c>
      <c r="N128" s="173">
        <v>10305214</v>
      </c>
      <c r="O128" s="175">
        <v>3696639</v>
      </c>
      <c r="P128" s="7"/>
      <c r="Q128" s="16">
        <f>+IF(IFERROR(VLOOKUP(Tabla3[[#This Row],[Cliente factura]],Tabla4[[NIT]:[TOTAL CREDITO]],3,FALSE),0)="",0,IFERROR(VLOOKUP(Tabla3[[#This Row],[Cliente factura]],Tabla4[[NIT]:[TOTAL CREDITO]],3,FALSE),0))</f>
        <v>0</v>
      </c>
      <c r="R128" s="9">
        <f>+IFERROR(VLOOKUP(Tabla3[[#This Row],[Cliente factura]],Tabla4[[NIT]:[TOTAL CREDITO]],6,FALSE),0)</f>
        <v>0</v>
      </c>
      <c r="S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" s="10" t="str">
        <f>VLOOKUP(Tabla3[[#This Row],[Razón social cliente factura]]&amp;Tabla3[[#This Row],[Desc. ciudad]],'Estandar de Rutas'!$C$1:$E$553,2,FALSE)</f>
        <v>2.1</v>
      </c>
      <c r="U128" s="130">
        <f>IFERROR(VLOOKUP(Tabla3[[#This Row],[Referencia]]&amp;Tabla3[[#This Row],[Desc detalle ext 1]],Tabla1[[Referencia-Color]:[Disponibilidad]],3,FALSE),0)</f>
        <v>3</v>
      </c>
      <c r="V128" s="13"/>
      <c r="W128" s="17">
        <f>+Tabla3[[#This Row],[Cant. Programada]]*Tabla3[[#This Row],[Precio unit]]</f>
        <v>0</v>
      </c>
      <c r="X128" s="129"/>
      <c r="Y128" s="129"/>
      <c r="Z128" s="8" t="str">
        <f>+Tabla3[[#This Row],[Referencia]]&amp;Tabla3[[#This Row],[Desc detalle ext 1]]</f>
        <v xml:space="preserve">CB 110 DLX                                        NEGRO    </v>
      </c>
      <c r="AA128" s="128" t="e">
        <f>+VLOOKUP(Tabla3[[#This Row],[CODIGO2]],ESTANDAR!$B$3:$C$9,2,FALSE)</f>
        <v>#N/A</v>
      </c>
      <c r="AB128" s="128" t="str">
        <f>+MID(Tabla3[[#This Row],['# Viaje]],10,1)</f>
        <v/>
      </c>
    </row>
    <row r="129" spans="1:28" ht="15" hidden="1" customHeight="1">
      <c r="A129" s="173" t="s">
        <v>1486</v>
      </c>
      <c r="B129" s="174">
        <v>42948</v>
      </c>
      <c r="C129" s="173" t="s">
        <v>1231</v>
      </c>
      <c r="D129" s="173" t="s">
        <v>1487</v>
      </c>
      <c r="E129" s="173" t="s">
        <v>1232</v>
      </c>
      <c r="F129" s="173">
        <v>2</v>
      </c>
      <c r="G129" s="173" t="s">
        <v>140</v>
      </c>
      <c r="H129" s="173">
        <v>2</v>
      </c>
      <c r="I129" s="173" t="s">
        <v>1488</v>
      </c>
      <c r="J129" s="173" t="s">
        <v>14</v>
      </c>
      <c r="K129" s="173" t="s">
        <v>17</v>
      </c>
      <c r="L129" s="173"/>
      <c r="M129" s="173" t="s">
        <v>233</v>
      </c>
      <c r="N129" s="173">
        <v>812008359</v>
      </c>
      <c r="O129" s="175">
        <v>3360504</v>
      </c>
      <c r="P129" s="7"/>
      <c r="Q1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9" s="9">
        <f>+IFERROR(VLOOKUP(Tabla3[[#This Row],[Cliente factura]],Tabla4[[NIT]:[TOTAL CREDITO]],6,FALSE),0)</f>
        <v>0</v>
      </c>
      <c r="S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9" s="10" t="str">
        <f>VLOOKUP(Tabla3[[#This Row],[Razón social cliente factura]]&amp;Tabla3[[#This Row],[Desc. ciudad]],'Estandar de Rutas'!$C$1:$E$553,2,FALSE)</f>
        <v>9.2</v>
      </c>
      <c r="U129" s="130">
        <f>IFERROR(VLOOKUP(Tabla3[[#This Row],[Referencia]]&amp;Tabla3[[#This Row],[Desc detalle ext 1]],Tabla1[[Referencia-Color]:[Disponibilidad]],3,FALSE),0)</f>
        <v>38</v>
      </c>
      <c r="V129" s="13"/>
      <c r="W129" s="17">
        <f>+Tabla3[[#This Row],[Cant. Programada]]*Tabla3[[#This Row],[Precio unit]]</f>
        <v>0</v>
      </c>
      <c r="X129" s="129"/>
      <c r="Y129" s="129"/>
      <c r="Z129" s="8" t="str">
        <f>+Tabla3[[#This Row],[Referencia]]&amp;Tabla3[[#This Row],[Desc detalle ext 1]]</f>
        <v>*CB-110                                           ROJO SPOR</v>
      </c>
      <c r="AA129" s="128" t="e">
        <f>+VLOOKUP(Tabla3[[#This Row],[CODIGO2]],ESTANDAR!$B$3:$C$9,2,FALSE)</f>
        <v>#N/A</v>
      </c>
      <c r="AB129" s="128" t="str">
        <f>+MID(Tabla3[[#This Row],['# Viaje]],10,1)</f>
        <v/>
      </c>
    </row>
    <row r="130" spans="1:28" ht="15" hidden="1" customHeight="1">
      <c r="A130" s="173" t="s">
        <v>1486</v>
      </c>
      <c r="B130" s="174">
        <v>42948</v>
      </c>
      <c r="C130" s="173" t="s">
        <v>1231</v>
      </c>
      <c r="D130" s="173" t="s">
        <v>1487</v>
      </c>
      <c r="E130" s="173" t="s">
        <v>1232</v>
      </c>
      <c r="F130" s="173">
        <v>3</v>
      </c>
      <c r="G130" s="173" t="s">
        <v>140</v>
      </c>
      <c r="H130" s="173">
        <v>3</v>
      </c>
      <c r="I130" s="173" t="s">
        <v>1488</v>
      </c>
      <c r="J130" s="173" t="s">
        <v>14</v>
      </c>
      <c r="K130" s="173" t="s">
        <v>1417</v>
      </c>
      <c r="L130" s="173"/>
      <c r="M130" s="173" t="s">
        <v>233</v>
      </c>
      <c r="N130" s="173">
        <v>812008359</v>
      </c>
      <c r="O130" s="175">
        <v>3360504</v>
      </c>
      <c r="P130" s="7"/>
      <c r="Q1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0" s="9">
        <f>+IFERROR(VLOOKUP(Tabla3[[#This Row],[Cliente factura]],Tabla4[[NIT]:[TOTAL CREDITO]],6,FALSE),0)</f>
        <v>0</v>
      </c>
      <c r="S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" s="10" t="str">
        <f>VLOOKUP(Tabla3[[#This Row],[Razón social cliente factura]]&amp;Tabla3[[#This Row],[Desc. ciudad]],'Estandar de Rutas'!$C$1:$E$553,2,FALSE)</f>
        <v>9.2</v>
      </c>
      <c r="U130" s="130">
        <f>IFERROR(VLOOKUP(Tabla3[[#This Row],[Referencia]]&amp;Tabla3[[#This Row],[Desc detalle ext 1]],Tabla1[[Referencia-Color]:[Disponibilidad]],3,FALSE),0)</f>
        <v>24</v>
      </c>
      <c r="V130" s="13"/>
      <c r="W130" s="17">
        <f>+Tabla3[[#This Row],[Cant. Programada]]*Tabla3[[#This Row],[Precio unit]]</f>
        <v>0</v>
      </c>
      <c r="X130" s="8"/>
      <c r="Y130" s="8"/>
      <c r="Z130" s="8" t="str">
        <f>+Tabla3[[#This Row],[Referencia]]&amp;Tabla3[[#This Row],[Desc detalle ext 1]]</f>
        <v xml:space="preserve">*CB-110                                           GRIS MET </v>
      </c>
      <c r="AA130" s="128" t="e">
        <f>+VLOOKUP(Tabla3[[#This Row],[CODIGO2]],ESTANDAR!$B$3:$C$9,2,FALSE)</f>
        <v>#N/A</v>
      </c>
      <c r="AB130" s="128" t="str">
        <f>+MID(Tabla3[[#This Row],['# Viaje]],10,1)</f>
        <v/>
      </c>
    </row>
    <row r="131" spans="1:28" ht="15" hidden="1" customHeight="1">
      <c r="A131" s="173" t="s">
        <v>1486</v>
      </c>
      <c r="B131" s="174">
        <v>42948</v>
      </c>
      <c r="C131" s="173" t="s">
        <v>1231</v>
      </c>
      <c r="D131" s="173" t="s">
        <v>1487</v>
      </c>
      <c r="E131" s="173" t="s">
        <v>1232</v>
      </c>
      <c r="F131" s="173">
        <v>4</v>
      </c>
      <c r="G131" s="173" t="s">
        <v>140</v>
      </c>
      <c r="H131" s="173">
        <v>4</v>
      </c>
      <c r="I131" s="173" t="s">
        <v>1488</v>
      </c>
      <c r="J131" s="173" t="s">
        <v>14</v>
      </c>
      <c r="K131" s="173" t="s">
        <v>16</v>
      </c>
      <c r="L131" s="173"/>
      <c r="M131" s="173" t="s">
        <v>233</v>
      </c>
      <c r="N131" s="173">
        <v>812008359</v>
      </c>
      <c r="O131" s="175">
        <v>3360504</v>
      </c>
      <c r="P131" s="7"/>
      <c r="Q1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1" s="9">
        <f>+IFERROR(VLOOKUP(Tabla3[[#This Row],[Cliente factura]],Tabla4[[NIT]:[TOTAL CREDITO]],6,FALSE),0)</f>
        <v>0</v>
      </c>
      <c r="S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" s="10" t="str">
        <f>VLOOKUP(Tabla3[[#This Row],[Razón social cliente factura]]&amp;Tabla3[[#This Row],[Desc. ciudad]],'Estandar de Rutas'!$C$1:$E$553,2,FALSE)</f>
        <v>9.2</v>
      </c>
      <c r="U131" s="130">
        <f>IFERROR(VLOOKUP(Tabla3[[#This Row],[Referencia]]&amp;Tabla3[[#This Row],[Desc detalle ext 1]],Tabla1[[Referencia-Color]:[Disponibilidad]],3,FALSE),0)</f>
        <v>83</v>
      </c>
      <c r="V131" s="13"/>
      <c r="W131" s="17">
        <f>+Tabla3[[#This Row],[Cant. Programada]]*Tabla3[[#This Row],[Precio unit]]</f>
        <v>0</v>
      </c>
      <c r="X131" s="8"/>
      <c r="Y131" s="8"/>
      <c r="Z131" s="8" t="str">
        <f>+Tabla3[[#This Row],[Referencia]]&amp;Tabla3[[#This Row],[Desc detalle ext 1]]</f>
        <v xml:space="preserve">*CB-110                                           NEGRO    </v>
      </c>
      <c r="AA131" s="128" t="e">
        <f>+VLOOKUP(Tabla3[[#This Row],[CODIGO2]],ESTANDAR!$B$3:$C$9,2,FALSE)</f>
        <v>#N/A</v>
      </c>
      <c r="AB131" s="128" t="str">
        <f>+MID(Tabla3[[#This Row],['# Viaje]],10,1)</f>
        <v/>
      </c>
    </row>
    <row r="132" spans="1:28" ht="15" hidden="1" customHeight="1">
      <c r="A132" s="173" t="s">
        <v>1486</v>
      </c>
      <c r="B132" s="174">
        <v>42948</v>
      </c>
      <c r="C132" s="173" t="s">
        <v>1231</v>
      </c>
      <c r="D132" s="173" t="s">
        <v>1487</v>
      </c>
      <c r="E132" s="173" t="s">
        <v>1232</v>
      </c>
      <c r="F132" s="173">
        <v>6</v>
      </c>
      <c r="G132" s="173" t="s">
        <v>140</v>
      </c>
      <c r="H132" s="173">
        <v>6</v>
      </c>
      <c r="I132" s="173" t="s">
        <v>1488</v>
      </c>
      <c r="J132" s="173" t="s">
        <v>27</v>
      </c>
      <c r="K132" s="173" t="s">
        <v>32</v>
      </c>
      <c r="L132" s="173"/>
      <c r="M132" s="173" t="s">
        <v>233</v>
      </c>
      <c r="N132" s="173">
        <v>812008359</v>
      </c>
      <c r="O132" s="175">
        <v>5789916</v>
      </c>
      <c r="P132" s="7"/>
      <c r="Q1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2" s="9">
        <f>+IFERROR(VLOOKUP(Tabla3[[#This Row],[Cliente factura]],Tabla4[[NIT]:[TOTAL CREDITO]],6,FALSE),0)</f>
        <v>0</v>
      </c>
      <c r="S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2" s="10" t="str">
        <f>VLOOKUP(Tabla3[[#This Row],[Razón social cliente factura]]&amp;Tabla3[[#This Row],[Desc. ciudad]],'Estandar de Rutas'!$C$1:$E$553,2,FALSE)</f>
        <v>9.2</v>
      </c>
      <c r="U132" s="130">
        <f>IFERROR(VLOOKUP(Tabla3[[#This Row],[Referencia]]&amp;Tabla3[[#This Row],[Desc detalle ext 1]],Tabla1[[Referencia-Color]:[Disponibilidad]],3,FALSE),0)</f>
        <v>7</v>
      </c>
      <c r="V132" s="13"/>
      <c r="W132" s="17">
        <f>+Tabla3[[#This Row],[Cant. Programada]]*Tabla3[[#This Row],[Precio unit]]</f>
        <v>0</v>
      </c>
      <c r="X132" s="130"/>
      <c r="Y132" s="129"/>
      <c r="Z132" s="8" t="str">
        <f>+Tabla3[[#This Row],[Referencia]]&amp;Tabla3[[#This Row],[Desc detalle ext 1]]</f>
        <v>*XR 150L                                          NEGRO ROJ</v>
      </c>
      <c r="AA132" s="128" t="e">
        <f>+VLOOKUP(Tabla3[[#This Row],[CODIGO2]],ESTANDAR!$B$3:$C$9,2,FALSE)</f>
        <v>#N/A</v>
      </c>
      <c r="AB132" s="128" t="str">
        <f>+MID(Tabla3[[#This Row],['# Viaje]],10,1)</f>
        <v/>
      </c>
    </row>
    <row r="133" spans="1:28" ht="15" hidden="1" customHeight="1">
      <c r="A133" s="173" t="s">
        <v>1486</v>
      </c>
      <c r="B133" s="174">
        <v>42948</v>
      </c>
      <c r="C133" s="173" t="s">
        <v>1231</v>
      </c>
      <c r="D133" s="173" t="s">
        <v>1487</v>
      </c>
      <c r="E133" s="173" t="s">
        <v>1232</v>
      </c>
      <c r="F133" s="173">
        <v>5</v>
      </c>
      <c r="G133" s="173" t="s">
        <v>140</v>
      </c>
      <c r="H133" s="173">
        <v>5</v>
      </c>
      <c r="I133" s="173" t="s">
        <v>1488</v>
      </c>
      <c r="J133" s="173" t="s">
        <v>27</v>
      </c>
      <c r="K133" s="173" t="s">
        <v>16</v>
      </c>
      <c r="L133" s="173"/>
      <c r="M133" s="173" t="s">
        <v>233</v>
      </c>
      <c r="N133" s="173">
        <v>812008359</v>
      </c>
      <c r="O133" s="175">
        <v>5789916</v>
      </c>
      <c r="P133" s="7"/>
      <c r="Q1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3" s="9">
        <f>+IFERROR(VLOOKUP(Tabla3[[#This Row],[Cliente factura]],Tabla4[[NIT]:[TOTAL CREDITO]],6,FALSE),0)</f>
        <v>0</v>
      </c>
      <c r="S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3" s="10" t="str">
        <f>VLOOKUP(Tabla3[[#This Row],[Razón social cliente factura]]&amp;Tabla3[[#This Row],[Desc. ciudad]],'Estandar de Rutas'!$C$1:$E$553,2,FALSE)</f>
        <v>9.2</v>
      </c>
      <c r="U133" s="130">
        <f>IFERROR(VLOOKUP(Tabla3[[#This Row],[Referencia]]&amp;Tabla3[[#This Row],[Desc detalle ext 1]],Tabla1[[Referencia-Color]:[Disponibilidad]],3,FALSE),0)</f>
        <v>3</v>
      </c>
      <c r="V133" s="13"/>
      <c r="W133" s="17">
        <f>+Tabla3[[#This Row],[Cant. Programada]]*Tabla3[[#This Row],[Precio unit]]</f>
        <v>0</v>
      </c>
      <c r="X133" s="130"/>
      <c r="Y133" s="129"/>
      <c r="Z133" s="8" t="str">
        <f>+Tabla3[[#This Row],[Referencia]]&amp;Tabla3[[#This Row],[Desc detalle ext 1]]</f>
        <v xml:space="preserve">*XR 150L                                          NEGRO    </v>
      </c>
      <c r="AA133" s="128" t="e">
        <f>+VLOOKUP(Tabla3[[#This Row],[CODIGO2]],ESTANDAR!$B$3:$C$9,2,FALSE)</f>
        <v>#N/A</v>
      </c>
      <c r="AB133" s="128" t="str">
        <f>+MID(Tabla3[[#This Row],['# Viaje]],10,1)</f>
        <v/>
      </c>
    </row>
    <row r="134" spans="1:28" ht="15" hidden="1" customHeight="1">
      <c r="A134" s="173" t="s">
        <v>1486</v>
      </c>
      <c r="B134" s="174">
        <v>42948</v>
      </c>
      <c r="C134" s="173" t="s">
        <v>1231</v>
      </c>
      <c r="D134" s="173" t="s">
        <v>1487</v>
      </c>
      <c r="E134" s="173" t="s">
        <v>1232</v>
      </c>
      <c r="F134" s="173">
        <v>1</v>
      </c>
      <c r="G134" s="173" t="s">
        <v>140</v>
      </c>
      <c r="H134" s="173">
        <v>1</v>
      </c>
      <c r="I134" s="173" t="s">
        <v>1488</v>
      </c>
      <c r="J134" s="173" t="s">
        <v>1425</v>
      </c>
      <c r="K134" s="173" t="s">
        <v>1426</v>
      </c>
      <c r="L134" s="173"/>
      <c r="M134" s="173" t="s">
        <v>233</v>
      </c>
      <c r="N134" s="173">
        <v>812008359</v>
      </c>
      <c r="O134" s="175">
        <v>7730252</v>
      </c>
      <c r="P134" s="7"/>
      <c r="Q1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4" s="9">
        <f>+IFERROR(VLOOKUP(Tabla3[[#This Row],[Cliente factura]],Tabla4[[NIT]:[TOTAL CREDITO]],6,FALSE),0)</f>
        <v>0</v>
      </c>
      <c r="S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" s="10" t="str">
        <f>VLOOKUP(Tabla3[[#This Row],[Razón social cliente factura]]&amp;Tabla3[[#This Row],[Desc. ciudad]],'Estandar de Rutas'!$C$1:$E$553,2,FALSE)</f>
        <v>9.2</v>
      </c>
      <c r="U134" s="130">
        <f>IFERROR(VLOOKUP(Tabla3[[#This Row],[Referencia]]&amp;Tabla3[[#This Row],[Desc detalle ext 1]],Tabla1[[Referencia-Color]:[Disponibilidad]],3,FALSE),0)</f>
        <v>104</v>
      </c>
      <c r="V134" s="13"/>
      <c r="W134" s="17">
        <f>+Tabla3[[#This Row],[Cant. Programada]]*Tabla3[[#This Row],[Precio unit]]</f>
        <v>0</v>
      </c>
      <c r="X134" s="8"/>
      <c r="Y134" s="8"/>
      <c r="Z134" s="8" t="str">
        <f>+Tabla3[[#This Row],[Referencia]]&amp;Tabla3[[#This Row],[Desc detalle ext 1]]</f>
        <v>CB 190 REPSOL                                     NARANJA B</v>
      </c>
      <c r="AA134" s="128" t="e">
        <f>+VLOOKUP(Tabla3[[#This Row],[CODIGO2]],ESTANDAR!$B$3:$C$9,2,FALSE)</f>
        <v>#N/A</v>
      </c>
      <c r="AB134" s="128" t="str">
        <f>+MID(Tabla3[[#This Row],['# Viaje]],10,1)</f>
        <v/>
      </c>
    </row>
    <row r="135" spans="1:28" ht="15" hidden="1" customHeight="1">
      <c r="A135" s="173" t="s">
        <v>1486</v>
      </c>
      <c r="B135" s="174">
        <v>42948</v>
      </c>
      <c r="C135" s="173" t="s">
        <v>1231</v>
      </c>
      <c r="D135" s="173" t="s">
        <v>1487</v>
      </c>
      <c r="E135" s="173" t="s">
        <v>1232</v>
      </c>
      <c r="F135" s="173">
        <v>1</v>
      </c>
      <c r="G135" s="173" t="s">
        <v>140</v>
      </c>
      <c r="H135" s="173">
        <v>1</v>
      </c>
      <c r="I135" s="173" t="s">
        <v>1488</v>
      </c>
      <c r="J135" s="173" t="s">
        <v>354</v>
      </c>
      <c r="K135" s="173" t="s">
        <v>355</v>
      </c>
      <c r="L135" s="173"/>
      <c r="M135" s="173" t="s">
        <v>233</v>
      </c>
      <c r="N135" s="173">
        <v>812008359</v>
      </c>
      <c r="O135" s="175">
        <v>6133613</v>
      </c>
      <c r="P135" s="7"/>
      <c r="Q1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5" s="9">
        <f>+IFERROR(VLOOKUP(Tabla3[[#This Row],[Cliente factura]],Tabla4[[NIT]:[TOTAL CREDITO]],6,FALSE),0)</f>
        <v>0</v>
      </c>
      <c r="S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" s="10" t="str">
        <f>VLOOKUP(Tabla3[[#This Row],[Razón social cliente factura]]&amp;Tabla3[[#This Row],[Desc. ciudad]],'Estandar de Rutas'!$C$1:$E$553,2,FALSE)</f>
        <v>9.2</v>
      </c>
      <c r="U135" s="130">
        <f>IFERROR(VLOOKUP(Tabla3[[#This Row],[Referencia]]&amp;Tabla3[[#This Row],[Desc detalle ext 1]],Tabla1[[Referencia-Color]:[Disponibilidad]],3,FALSE),0)</f>
        <v>0</v>
      </c>
      <c r="V135" s="13"/>
      <c r="W135" s="17">
        <f>+Tabla3[[#This Row],[Cant. Programada]]*Tabla3[[#This Row],[Precio unit]]</f>
        <v>0</v>
      </c>
      <c r="X135" s="8"/>
      <c r="Y135" s="8"/>
      <c r="Z135" s="8" t="str">
        <f>+Tabla3[[#This Row],[Referencia]]&amp;Tabla3[[#This Row],[Desc detalle ext 1]]</f>
        <v>CB 160F DLX                                       NEGRO PER</v>
      </c>
      <c r="AA135" s="128" t="e">
        <f>+VLOOKUP(Tabla3[[#This Row],[CODIGO2]],ESTANDAR!$B$3:$C$9,2,FALSE)</f>
        <v>#N/A</v>
      </c>
      <c r="AB135" s="128" t="str">
        <f>+MID(Tabla3[[#This Row],['# Viaje]],10,1)</f>
        <v/>
      </c>
    </row>
    <row r="136" spans="1:28" ht="15" hidden="1" customHeight="1">
      <c r="A136" s="173" t="s">
        <v>1486</v>
      </c>
      <c r="B136" s="174">
        <v>42948</v>
      </c>
      <c r="C136" s="173" t="s">
        <v>1231</v>
      </c>
      <c r="D136" s="173" t="s">
        <v>1487</v>
      </c>
      <c r="E136" s="173" t="s">
        <v>1232</v>
      </c>
      <c r="F136" s="173">
        <v>1</v>
      </c>
      <c r="G136" s="173" t="s">
        <v>140</v>
      </c>
      <c r="H136" s="173">
        <v>1</v>
      </c>
      <c r="I136" s="173" t="s">
        <v>1488</v>
      </c>
      <c r="J136" s="173" t="s">
        <v>1433</v>
      </c>
      <c r="K136" s="173" t="s">
        <v>1434</v>
      </c>
      <c r="L136" s="173"/>
      <c r="M136" s="173" t="s">
        <v>233</v>
      </c>
      <c r="N136" s="173">
        <v>812008359</v>
      </c>
      <c r="O136" s="175">
        <v>3521008</v>
      </c>
      <c r="P136" s="7"/>
      <c r="Q1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6" s="9">
        <f>+IFERROR(VLOOKUP(Tabla3[[#This Row],[Cliente factura]],Tabla4[[NIT]:[TOTAL CREDITO]],6,FALSE),0)</f>
        <v>0</v>
      </c>
      <c r="S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" s="10" t="str">
        <f>VLOOKUP(Tabla3[[#This Row],[Razón social cliente factura]]&amp;Tabla3[[#This Row],[Desc. ciudad]],'Estandar de Rutas'!$C$1:$E$553,2,FALSE)</f>
        <v>9.2</v>
      </c>
      <c r="U136" s="130">
        <f>IFERROR(VLOOKUP(Tabla3[[#This Row],[Referencia]]&amp;Tabla3[[#This Row],[Desc detalle ext 1]],Tabla1[[Referencia-Color]:[Disponibilidad]],3,FALSE),0)</f>
        <v>23</v>
      </c>
      <c r="V136" s="13"/>
      <c r="W136" s="17">
        <f>+Tabla3[[#This Row],[Cant. Programada]]*Tabla3[[#This Row],[Precio unit]]</f>
        <v>0</v>
      </c>
      <c r="X136" s="130"/>
      <c r="Y136" s="129"/>
      <c r="Z136" s="8" t="str">
        <f>+Tabla3[[#This Row],[Referencia]]&amp;Tabla3[[#This Row],[Desc detalle ext 1]]</f>
        <v>DIO  110                                          BLANCO NE</v>
      </c>
      <c r="AA136" s="128" t="e">
        <f>+VLOOKUP(Tabla3[[#This Row],[CODIGO2]],ESTANDAR!$B$3:$C$9,2,FALSE)</f>
        <v>#N/A</v>
      </c>
      <c r="AB136" s="128" t="str">
        <f>+MID(Tabla3[[#This Row],['# Viaje]],10,1)</f>
        <v/>
      </c>
    </row>
    <row r="137" spans="1:28" ht="15" hidden="1" customHeight="1">
      <c r="A137" s="173" t="s">
        <v>1486</v>
      </c>
      <c r="B137" s="174">
        <v>42948</v>
      </c>
      <c r="C137" s="173" t="s">
        <v>1231</v>
      </c>
      <c r="D137" s="173" t="s">
        <v>1487</v>
      </c>
      <c r="E137" s="173" t="s">
        <v>1232</v>
      </c>
      <c r="F137" s="173">
        <v>2</v>
      </c>
      <c r="G137" s="173" t="s">
        <v>140</v>
      </c>
      <c r="H137" s="173">
        <v>2</v>
      </c>
      <c r="I137" s="173" t="s">
        <v>1488</v>
      </c>
      <c r="J137" s="173" t="s">
        <v>1433</v>
      </c>
      <c r="K137" s="173" t="s">
        <v>1431</v>
      </c>
      <c r="L137" s="173"/>
      <c r="M137" s="173" t="s">
        <v>233</v>
      </c>
      <c r="N137" s="173">
        <v>812008359</v>
      </c>
      <c r="O137" s="175">
        <v>3521008</v>
      </c>
      <c r="P137" s="7"/>
      <c r="Q1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7" s="9">
        <f>+IFERROR(VLOOKUP(Tabla3[[#This Row],[Cliente factura]],Tabla4[[NIT]:[TOTAL CREDITO]],6,FALSE),0)</f>
        <v>0</v>
      </c>
      <c r="S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7" s="10" t="str">
        <f>VLOOKUP(Tabla3[[#This Row],[Razón social cliente factura]]&amp;Tabla3[[#This Row],[Desc. ciudad]],'Estandar de Rutas'!$C$1:$E$553,2,FALSE)</f>
        <v>9.2</v>
      </c>
      <c r="U137" s="130">
        <f>IFERROR(VLOOKUP(Tabla3[[#This Row],[Referencia]]&amp;Tabla3[[#This Row],[Desc detalle ext 1]],Tabla1[[Referencia-Color]:[Disponibilidad]],3,FALSE),0)</f>
        <v>0</v>
      </c>
      <c r="V137" s="13"/>
      <c r="W137" s="17">
        <f>+Tabla3[[#This Row],[Cant. Programada]]*Tabla3[[#This Row],[Precio unit]]</f>
        <v>0</v>
      </c>
      <c r="X137" s="8"/>
      <c r="Y137" s="8"/>
      <c r="Z137" s="8" t="str">
        <f>+Tabla3[[#This Row],[Referencia]]&amp;Tabla3[[#This Row],[Desc detalle ext 1]]</f>
        <v xml:space="preserve">DIO  110                                          ROJO     </v>
      </c>
      <c r="AA137" s="128" t="e">
        <f>+VLOOKUP(Tabla3[[#This Row],[CODIGO2]],ESTANDAR!$B$3:$C$9,2,FALSE)</f>
        <v>#N/A</v>
      </c>
      <c r="AB137" s="128" t="str">
        <f>+MID(Tabla3[[#This Row],['# Viaje]],10,1)</f>
        <v/>
      </c>
    </row>
    <row r="138" spans="1:28" ht="15" hidden="1" customHeight="1">
      <c r="A138" s="173" t="s">
        <v>1486</v>
      </c>
      <c r="B138" s="174">
        <v>42948</v>
      </c>
      <c r="C138" s="173" t="s">
        <v>1231</v>
      </c>
      <c r="D138" s="173" t="s">
        <v>1487</v>
      </c>
      <c r="E138" s="173" t="s">
        <v>1232</v>
      </c>
      <c r="F138" s="173">
        <v>1</v>
      </c>
      <c r="G138" s="173" t="s">
        <v>140</v>
      </c>
      <c r="H138" s="173">
        <v>1</v>
      </c>
      <c r="I138" s="173" t="s">
        <v>1488</v>
      </c>
      <c r="J138" s="173" t="s">
        <v>1453</v>
      </c>
      <c r="K138" s="173" t="s">
        <v>11</v>
      </c>
      <c r="L138" s="173"/>
      <c r="M138" s="173" t="s">
        <v>233</v>
      </c>
      <c r="N138" s="173">
        <v>812008359</v>
      </c>
      <c r="O138" s="175">
        <v>7730252</v>
      </c>
      <c r="P138" s="7"/>
      <c r="Q1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8" s="9">
        <f>+IFERROR(VLOOKUP(Tabla3[[#This Row],[Cliente factura]],Tabla4[[NIT]:[TOTAL CREDITO]],6,FALSE),0)</f>
        <v>0</v>
      </c>
      <c r="S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8" s="10" t="str">
        <f>VLOOKUP(Tabla3[[#This Row],[Razón social cliente factura]]&amp;Tabla3[[#This Row],[Desc. ciudad]],'Estandar de Rutas'!$C$1:$E$553,2,FALSE)</f>
        <v>9.2</v>
      </c>
      <c r="U138" s="130">
        <f>IFERROR(VLOOKUP(Tabla3[[#This Row],[Referencia]]&amp;Tabla3[[#This Row],[Desc detalle ext 1]],Tabla1[[Referencia-Color]:[Disponibilidad]],3,FALSE),0)</f>
        <v>0</v>
      </c>
      <c r="V138" s="13"/>
      <c r="W138" s="17">
        <f>+Tabla3[[#This Row],[Cant. Programada]]*Tabla3[[#This Row],[Precio unit]]</f>
        <v>0</v>
      </c>
      <c r="X138" s="129"/>
      <c r="Y138" s="129"/>
      <c r="Z138" s="8" t="str">
        <f>+Tabla3[[#This Row],[Referencia]]&amp;Tabla3[[#This Row],[Desc detalle ext 1]]</f>
        <v>CB 190R INSTINTO R                                NEGRO ONI</v>
      </c>
      <c r="AA138" s="128" t="e">
        <f>+VLOOKUP(Tabla3[[#This Row],[CODIGO2]],ESTANDAR!$B$3:$C$9,2,FALSE)</f>
        <v>#N/A</v>
      </c>
      <c r="AB138" s="128" t="str">
        <f>+MID(Tabla3[[#This Row],['# Viaje]],10,1)</f>
        <v/>
      </c>
    </row>
    <row r="139" spans="1:28" ht="15" hidden="1" customHeight="1">
      <c r="A139" s="173" t="s">
        <v>1486</v>
      </c>
      <c r="B139" s="174">
        <v>42948</v>
      </c>
      <c r="C139" s="173" t="s">
        <v>1231</v>
      </c>
      <c r="D139" s="173" t="s">
        <v>1487</v>
      </c>
      <c r="E139" s="173" t="s">
        <v>1232</v>
      </c>
      <c r="F139" s="173">
        <v>16</v>
      </c>
      <c r="G139" s="173" t="s">
        <v>140</v>
      </c>
      <c r="H139" s="173">
        <v>16</v>
      </c>
      <c r="I139" s="173" t="s">
        <v>1488</v>
      </c>
      <c r="J139" s="173" t="s">
        <v>1428</v>
      </c>
      <c r="K139" s="173" t="s">
        <v>1429</v>
      </c>
      <c r="L139" s="173"/>
      <c r="M139" s="173" t="s">
        <v>233</v>
      </c>
      <c r="N139" s="173">
        <v>812008359</v>
      </c>
      <c r="O139" s="175">
        <v>3067227</v>
      </c>
      <c r="P139" s="7"/>
      <c r="Q1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9" s="9">
        <f>+IFERROR(VLOOKUP(Tabla3[[#This Row],[Cliente factura]],Tabla4[[NIT]:[TOTAL CREDITO]],6,FALSE),0)</f>
        <v>0</v>
      </c>
      <c r="S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" s="10" t="str">
        <f>VLOOKUP(Tabla3[[#This Row],[Razón social cliente factura]]&amp;Tabla3[[#This Row],[Desc. ciudad]],'Estandar de Rutas'!$C$1:$E$553,2,FALSE)</f>
        <v>9.2</v>
      </c>
      <c r="U139" s="130">
        <f>IFERROR(VLOOKUP(Tabla3[[#This Row],[Referencia]]&amp;Tabla3[[#This Row],[Desc detalle ext 1]],Tabla1[[Referencia-Color]:[Disponibilidad]],3,FALSE),0)</f>
        <v>0</v>
      </c>
      <c r="V139" s="13"/>
      <c r="W139" s="17">
        <f>+Tabla3[[#This Row],[Cant. Programada]]*Tabla3[[#This Row],[Precio unit]]</f>
        <v>0</v>
      </c>
      <c r="X139" s="129"/>
      <c r="Y139" s="129"/>
      <c r="Z139" s="8" t="str">
        <f>+Tabla3[[#This Row],[Referencia]]&amp;Tabla3[[#This Row],[Desc detalle ext 1]]</f>
        <v>DREAM  NEO                                        NEGRO AZU</v>
      </c>
      <c r="AA139" s="128" t="e">
        <f>+VLOOKUP(Tabla3[[#This Row],[CODIGO2]],ESTANDAR!$B$3:$C$9,2,FALSE)</f>
        <v>#N/A</v>
      </c>
      <c r="AB139" s="128" t="str">
        <f>+MID(Tabla3[[#This Row],['# Viaje]],10,1)</f>
        <v/>
      </c>
    </row>
    <row r="140" spans="1:28" ht="15" hidden="1" customHeight="1">
      <c r="A140" s="173" t="s">
        <v>1486</v>
      </c>
      <c r="B140" s="174">
        <v>42948</v>
      </c>
      <c r="C140" s="173" t="s">
        <v>1231</v>
      </c>
      <c r="D140" s="173" t="s">
        <v>1487</v>
      </c>
      <c r="E140" s="173" t="s">
        <v>1232</v>
      </c>
      <c r="F140" s="173">
        <v>11</v>
      </c>
      <c r="G140" s="173" t="s">
        <v>140</v>
      </c>
      <c r="H140" s="173">
        <v>11</v>
      </c>
      <c r="I140" s="173" t="s">
        <v>1488</v>
      </c>
      <c r="J140" s="173" t="s">
        <v>1428</v>
      </c>
      <c r="K140" s="173" t="s">
        <v>32</v>
      </c>
      <c r="L140" s="173"/>
      <c r="M140" s="173" t="s">
        <v>233</v>
      </c>
      <c r="N140" s="173">
        <v>812008359</v>
      </c>
      <c r="O140" s="175">
        <v>3067227</v>
      </c>
      <c r="P140" s="7"/>
      <c r="Q1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0" s="9">
        <f>+IFERROR(VLOOKUP(Tabla3[[#This Row],[Cliente factura]],Tabla4[[NIT]:[TOTAL CREDITO]],6,FALSE),0)</f>
        <v>0</v>
      </c>
      <c r="S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" s="10" t="str">
        <f>VLOOKUP(Tabla3[[#This Row],[Razón social cliente factura]]&amp;Tabla3[[#This Row],[Desc. ciudad]],'Estandar de Rutas'!$C$1:$E$553,2,FALSE)</f>
        <v>9.2</v>
      </c>
      <c r="U140" s="130">
        <f>IFERROR(VLOOKUP(Tabla3[[#This Row],[Referencia]]&amp;Tabla3[[#This Row],[Desc detalle ext 1]],Tabla1[[Referencia-Color]:[Disponibilidad]],3,FALSE),0)</f>
        <v>0</v>
      </c>
      <c r="V140" s="13"/>
      <c r="W140" s="17">
        <f>+Tabla3[[#This Row],[Cant. Programada]]*Tabla3[[#This Row],[Precio unit]]</f>
        <v>0</v>
      </c>
      <c r="X140" s="129"/>
      <c r="Y140" s="129"/>
      <c r="Z140" s="8" t="str">
        <f>+Tabla3[[#This Row],[Referencia]]&amp;Tabla3[[#This Row],[Desc detalle ext 1]]</f>
        <v>DREAM  NEO                                        NEGRO ROJ</v>
      </c>
      <c r="AA140" s="128" t="e">
        <f>+VLOOKUP(Tabla3[[#This Row],[CODIGO2]],ESTANDAR!$B$3:$C$9,2,FALSE)</f>
        <v>#N/A</v>
      </c>
      <c r="AB140" s="128" t="str">
        <f>+MID(Tabla3[[#This Row],['# Viaje]],10,1)</f>
        <v/>
      </c>
    </row>
    <row r="141" spans="1:28" ht="15" hidden="1" customHeight="1">
      <c r="A141" s="173" t="s">
        <v>1486</v>
      </c>
      <c r="B141" s="174">
        <v>42948</v>
      </c>
      <c r="C141" s="173" t="s">
        <v>1231</v>
      </c>
      <c r="D141" s="173" t="s">
        <v>1487</v>
      </c>
      <c r="E141" s="173" t="s">
        <v>1232</v>
      </c>
      <c r="F141" s="173">
        <v>3</v>
      </c>
      <c r="G141" s="173" t="s">
        <v>140</v>
      </c>
      <c r="H141" s="173">
        <v>3</v>
      </c>
      <c r="I141" s="173" t="s">
        <v>1488</v>
      </c>
      <c r="J141" s="173" t="s">
        <v>1428</v>
      </c>
      <c r="K141" s="173" t="s">
        <v>1461</v>
      </c>
      <c r="L141" s="173"/>
      <c r="M141" s="173" t="s">
        <v>233</v>
      </c>
      <c r="N141" s="173">
        <v>812008359</v>
      </c>
      <c r="O141" s="175">
        <v>3067227</v>
      </c>
      <c r="P141" s="7"/>
      <c r="Q1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1" s="9">
        <f>+IFERROR(VLOOKUP(Tabla3[[#This Row],[Cliente factura]],Tabla4[[NIT]:[TOTAL CREDITO]],6,FALSE),0)</f>
        <v>0</v>
      </c>
      <c r="S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" s="10" t="str">
        <f>VLOOKUP(Tabla3[[#This Row],[Razón social cliente factura]]&amp;Tabla3[[#This Row],[Desc. ciudad]],'Estandar de Rutas'!$C$1:$E$553,2,FALSE)</f>
        <v>9.2</v>
      </c>
      <c r="U141" s="130">
        <f>IFERROR(VLOOKUP(Tabla3[[#This Row],[Referencia]]&amp;Tabla3[[#This Row],[Desc detalle ext 1]],Tabla1[[Referencia-Color]:[Disponibilidad]],3,FALSE),0)</f>
        <v>0</v>
      </c>
      <c r="V141" s="13"/>
      <c r="W141" s="17">
        <f>+Tabla3[[#This Row],[Cant. Programada]]*Tabla3[[#This Row],[Precio unit]]</f>
        <v>0</v>
      </c>
      <c r="X141" s="8"/>
      <c r="Y141" s="8"/>
      <c r="Z141" s="8" t="str">
        <f>+Tabla3[[#This Row],[Referencia]]&amp;Tabla3[[#This Row],[Desc detalle ext 1]]</f>
        <v>DREAM  NEO                                        ROJO ALFA</v>
      </c>
      <c r="AA141" s="128" t="e">
        <f>+VLOOKUP(Tabla3[[#This Row],[CODIGO2]],ESTANDAR!$B$3:$C$9,2,FALSE)</f>
        <v>#N/A</v>
      </c>
      <c r="AB141" s="128" t="str">
        <f>+MID(Tabla3[[#This Row],['# Viaje]],10,1)</f>
        <v/>
      </c>
    </row>
    <row r="142" spans="1:28" ht="15" hidden="1" customHeight="1">
      <c r="A142" s="173" t="s">
        <v>1486</v>
      </c>
      <c r="B142" s="174">
        <v>42948</v>
      </c>
      <c r="C142" s="173" t="s">
        <v>1231</v>
      </c>
      <c r="D142" s="173" t="s">
        <v>1487</v>
      </c>
      <c r="E142" s="173" t="s">
        <v>1232</v>
      </c>
      <c r="F142" s="173">
        <v>1</v>
      </c>
      <c r="G142" s="173" t="s">
        <v>140</v>
      </c>
      <c r="H142" s="173">
        <v>1</v>
      </c>
      <c r="I142" s="173" t="s">
        <v>1488</v>
      </c>
      <c r="J142" s="173" t="s">
        <v>1234</v>
      </c>
      <c r="K142" s="173" t="s">
        <v>17</v>
      </c>
      <c r="L142" s="173"/>
      <c r="M142" s="173" t="s">
        <v>233</v>
      </c>
      <c r="N142" s="173">
        <v>812008359</v>
      </c>
      <c r="O142" s="175">
        <v>5453782</v>
      </c>
      <c r="P142" s="7"/>
      <c r="Q1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2" s="9">
        <f>+IFERROR(VLOOKUP(Tabla3[[#This Row],[Cliente factura]],Tabla4[[NIT]:[TOTAL CREDITO]],6,FALSE),0)</f>
        <v>0</v>
      </c>
      <c r="S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" s="10" t="str">
        <f>VLOOKUP(Tabla3[[#This Row],[Razón social cliente factura]]&amp;Tabla3[[#This Row],[Desc. ciudad]],'Estandar de Rutas'!$C$1:$E$553,2,FALSE)</f>
        <v>9.2</v>
      </c>
      <c r="U142" s="130">
        <f>IFERROR(VLOOKUP(Tabla3[[#This Row],[Referencia]]&amp;Tabla3[[#This Row],[Desc detalle ext 1]],Tabla1[[Referencia-Color]:[Disponibilidad]],3,FALSE),0)</f>
        <v>0</v>
      </c>
      <c r="V142" s="13"/>
      <c r="W142" s="17">
        <f>+Tabla3[[#This Row],[Cant. Programada]]*Tabla3[[#This Row],[Precio unit]]</f>
        <v>0</v>
      </c>
      <c r="X142" s="8"/>
      <c r="Y142" s="8"/>
      <c r="Z142" s="8" t="str">
        <f>+Tabla3[[#This Row],[Referencia]]&amp;Tabla3[[#This Row],[Desc detalle ext 1]]</f>
        <v>CB 160F STD                                       ROJO SPOR</v>
      </c>
      <c r="AA142" s="128" t="e">
        <f>+VLOOKUP(Tabla3[[#This Row],[CODIGO2]],ESTANDAR!$B$3:$C$9,2,FALSE)</f>
        <v>#N/A</v>
      </c>
      <c r="AB142" s="128" t="str">
        <f>+MID(Tabla3[[#This Row],['# Viaje]],10,1)</f>
        <v/>
      </c>
    </row>
    <row r="143" spans="1:28" ht="15" hidden="1" customHeight="1">
      <c r="A143" s="173" t="s">
        <v>1486</v>
      </c>
      <c r="B143" s="174">
        <v>42948</v>
      </c>
      <c r="C143" s="173" t="s">
        <v>1231</v>
      </c>
      <c r="D143" s="173" t="s">
        <v>1487</v>
      </c>
      <c r="E143" s="173" t="s">
        <v>1232</v>
      </c>
      <c r="F143" s="173">
        <v>2</v>
      </c>
      <c r="G143" s="173" t="s">
        <v>140</v>
      </c>
      <c r="H143" s="173">
        <v>2</v>
      </c>
      <c r="I143" s="173" t="s">
        <v>1488</v>
      </c>
      <c r="J143" s="173" t="s">
        <v>1234</v>
      </c>
      <c r="K143" s="173" t="s">
        <v>355</v>
      </c>
      <c r="L143" s="173"/>
      <c r="M143" s="173" t="s">
        <v>233</v>
      </c>
      <c r="N143" s="173">
        <v>812008359</v>
      </c>
      <c r="O143" s="175">
        <v>5453782</v>
      </c>
      <c r="P143" s="7"/>
      <c r="Q1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3" s="9">
        <f>+IFERROR(VLOOKUP(Tabla3[[#This Row],[Cliente factura]],Tabla4[[NIT]:[TOTAL CREDITO]],6,FALSE),0)</f>
        <v>0</v>
      </c>
      <c r="S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" s="10" t="str">
        <f>VLOOKUP(Tabla3[[#This Row],[Razón social cliente factura]]&amp;Tabla3[[#This Row],[Desc. ciudad]],'Estandar de Rutas'!$C$1:$E$553,2,FALSE)</f>
        <v>9.2</v>
      </c>
      <c r="U143" s="130">
        <f>IFERROR(VLOOKUP(Tabla3[[#This Row],[Referencia]]&amp;Tabla3[[#This Row],[Desc detalle ext 1]],Tabla1[[Referencia-Color]:[Disponibilidad]],3,FALSE),0)</f>
        <v>0</v>
      </c>
      <c r="V143" s="13"/>
      <c r="W143" s="17">
        <f>+Tabla3[[#This Row],[Cant. Programada]]*Tabla3[[#This Row],[Precio unit]]</f>
        <v>0</v>
      </c>
      <c r="X143" s="8"/>
      <c r="Y143" s="8"/>
      <c r="Z143" s="8" t="str">
        <f>+Tabla3[[#This Row],[Referencia]]&amp;Tabla3[[#This Row],[Desc detalle ext 1]]</f>
        <v>CB 160F STD                                       NEGRO PER</v>
      </c>
      <c r="AA143" s="128" t="e">
        <f>+VLOOKUP(Tabla3[[#This Row],[CODIGO2]],ESTANDAR!$B$3:$C$9,2,FALSE)</f>
        <v>#N/A</v>
      </c>
      <c r="AB143" s="128" t="str">
        <f>+MID(Tabla3[[#This Row],['# Viaje]],10,1)</f>
        <v/>
      </c>
    </row>
    <row r="144" spans="1:28" ht="15" hidden="1" customHeight="1">
      <c r="A144" s="173" t="s">
        <v>1486</v>
      </c>
      <c r="B144" s="174">
        <v>42948</v>
      </c>
      <c r="C144" s="173" t="s">
        <v>1231</v>
      </c>
      <c r="D144" s="173" t="s">
        <v>1487</v>
      </c>
      <c r="E144" s="173" t="s">
        <v>1232</v>
      </c>
      <c r="F144" s="173">
        <v>3</v>
      </c>
      <c r="G144" s="173" t="s">
        <v>140</v>
      </c>
      <c r="H144" s="173">
        <v>3</v>
      </c>
      <c r="I144" s="173" t="s">
        <v>1488</v>
      </c>
      <c r="J144" s="173" t="s">
        <v>1451</v>
      </c>
      <c r="K144" s="173" t="s">
        <v>1449</v>
      </c>
      <c r="L144" s="173"/>
      <c r="M144" s="173" t="s">
        <v>233</v>
      </c>
      <c r="N144" s="173">
        <v>812008359</v>
      </c>
      <c r="O144" s="175">
        <v>3696639</v>
      </c>
      <c r="P144" s="7"/>
      <c r="Q1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4" s="9">
        <f>+IFERROR(VLOOKUP(Tabla3[[#This Row],[Cliente factura]],Tabla4[[NIT]:[TOTAL CREDITO]],6,FALSE),0)</f>
        <v>0</v>
      </c>
      <c r="S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4" s="10" t="str">
        <f>VLOOKUP(Tabla3[[#This Row],[Razón social cliente factura]]&amp;Tabla3[[#This Row],[Desc. ciudad]],'Estandar de Rutas'!$C$1:$E$553,2,FALSE)</f>
        <v>9.2</v>
      </c>
      <c r="U144" s="130">
        <f>IFERROR(VLOOKUP(Tabla3[[#This Row],[Referencia]]&amp;Tabla3[[#This Row],[Desc detalle ext 1]],Tabla1[[Referencia-Color]:[Disponibilidad]],3,FALSE),0)</f>
        <v>24</v>
      </c>
      <c r="V144" s="13"/>
      <c r="W144" s="17">
        <f>+Tabla3[[#This Row],[Cant. Programada]]*Tabla3[[#This Row],[Precio unit]]</f>
        <v>0</v>
      </c>
      <c r="X144" s="8"/>
      <c r="Y144" s="8"/>
      <c r="Z144" s="8" t="str">
        <f>+Tabla3[[#This Row],[Referencia]]&amp;Tabla3[[#This Row],[Desc detalle ext 1]]</f>
        <v xml:space="preserve">CB 110 DLX                                        GRIS     </v>
      </c>
      <c r="AA144" s="128" t="e">
        <f>+VLOOKUP(Tabla3[[#This Row],[CODIGO2]],ESTANDAR!$B$3:$C$9,2,FALSE)</f>
        <v>#N/A</v>
      </c>
      <c r="AB144" s="128" t="str">
        <f>+MID(Tabla3[[#This Row],['# Viaje]],10,1)</f>
        <v/>
      </c>
    </row>
    <row r="145" spans="1:28" ht="15" hidden="1" customHeight="1">
      <c r="A145" s="173" t="s">
        <v>1486</v>
      </c>
      <c r="B145" s="174">
        <v>42948</v>
      </c>
      <c r="C145" s="173" t="s">
        <v>1231</v>
      </c>
      <c r="D145" s="173" t="s">
        <v>1487</v>
      </c>
      <c r="E145" s="173" t="s">
        <v>1232</v>
      </c>
      <c r="F145" s="173">
        <v>2</v>
      </c>
      <c r="G145" s="173" t="s">
        <v>140</v>
      </c>
      <c r="H145" s="173">
        <v>2</v>
      </c>
      <c r="I145" s="173" t="s">
        <v>1488</v>
      </c>
      <c r="J145" s="173" t="s">
        <v>1451</v>
      </c>
      <c r="K145" s="173" t="s">
        <v>1452</v>
      </c>
      <c r="L145" s="173"/>
      <c r="M145" s="173" t="s">
        <v>233</v>
      </c>
      <c r="N145" s="173">
        <v>812008359</v>
      </c>
      <c r="O145" s="175">
        <v>3696639</v>
      </c>
      <c r="P145" s="7"/>
      <c r="Q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5" s="9">
        <f>+IFERROR(VLOOKUP(Tabla3[[#This Row],[Cliente factura]],Tabla4[[NIT]:[TOTAL CREDITO]],6,FALSE),0)</f>
        <v>0</v>
      </c>
      <c r="S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5" s="10" t="str">
        <f>VLOOKUP(Tabla3[[#This Row],[Razón social cliente factura]]&amp;Tabla3[[#This Row],[Desc. ciudad]],'Estandar de Rutas'!$C$1:$E$553,2,FALSE)</f>
        <v>9.2</v>
      </c>
      <c r="U145" s="130">
        <f>IFERROR(VLOOKUP(Tabla3[[#This Row],[Referencia]]&amp;Tabla3[[#This Row],[Desc detalle ext 1]],Tabla1[[Referencia-Color]:[Disponibilidad]],3,FALSE),0)</f>
        <v>21</v>
      </c>
      <c r="V145" s="13"/>
      <c r="W145" s="17">
        <f>+Tabla3[[#This Row],[Cant. Programada]]*Tabla3[[#This Row],[Precio unit]]</f>
        <v>0</v>
      </c>
      <c r="X145" s="8"/>
      <c r="Y145" s="8"/>
      <c r="Z145" s="8" t="str">
        <f>+Tabla3[[#This Row],[Referencia]]&amp;Tabla3[[#This Row],[Desc detalle ext 1]]</f>
        <v xml:space="preserve">CB 110 DLX                                        AZUL     </v>
      </c>
      <c r="AA145" s="128" t="e">
        <f>+VLOOKUP(Tabla3[[#This Row],[CODIGO2]],ESTANDAR!$B$3:$C$9,2,FALSE)</f>
        <v>#N/A</v>
      </c>
      <c r="AB145" s="128" t="str">
        <f>+MID(Tabla3[[#This Row],['# Viaje]],10,1)</f>
        <v/>
      </c>
    </row>
    <row r="146" spans="1:28" ht="15" hidden="1" customHeight="1">
      <c r="A146" s="173" t="s">
        <v>1486</v>
      </c>
      <c r="B146" s="174">
        <v>42948</v>
      </c>
      <c r="C146" s="173" t="s">
        <v>1231</v>
      </c>
      <c r="D146" s="173" t="s">
        <v>1487</v>
      </c>
      <c r="E146" s="173" t="s">
        <v>1232</v>
      </c>
      <c r="F146" s="173">
        <v>10</v>
      </c>
      <c r="G146" s="173" t="s">
        <v>140</v>
      </c>
      <c r="H146" s="173">
        <v>10</v>
      </c>
      <c r="I146" s="173" t="s">
        <v>1488</v>
      </c>
      <c r="J146" s="173" t="s">
        <v>1451</v>
      </c>
      <c r="K146" s="173" t="s">
        <v>16</v>
      </c>
      <c r="L146" s="173"/>
      <c r="M146" s="173" t="s">
        <v>233</v>
      </c>
      <c r="N146" s="173">
        <v>812008359</v>
      </c>
      <c r="O146" s="175">
        <v>3696639</v>
      </c>
      <c r="P146" s="7"/>
      <c r="Q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6" s="9">
        <f>+IFERROR(VLOOKUP(Tabla3[[#This Row],[Cliente factura]],Tabla4[[NIT]:[TOTAL CREDITO]],6,FALSE),0)</f>
        <v>0</v>
      </c>
      <c r="S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" s="10" t="str">
        <f>VLOOKUP(Tabla3[[#This Row],[Razón social cliente factura]]&amp;Tabla3[[#This Row],[Desc. ciudad]],'Estandar de Rutas'!$C$1:$E$553,2,FALSE)</f>
        <v>9.2</v>
      </c>
      <c r="U146" s="130">
        <f>IFERROR(VLOOKUP(Tabla3[[#This Row],[Referencia]]&amp;Tabla3[[#This Row],[Desc detalle ext 1]],Tabla1[[Referencia-Color]:[Disponibilidad]],3,FALSE),0)</f>
        <v>3</v>
      </c>
      <c r="V146" s="13"/>
      <c r="W146" s="17">
        <f>+Tabla3[[#This Row],[Cant. Programada]]*Tabla3[[#This Row],[Precio unit]]</f>
        <v>0</v>
      </c>
      <c r="X146" s="8"/>
      <c r="Y146" s="8"/>
      <c r="Z146" s="8" t="str">
        <f>+Tabla3[[#This Row],[Referencia]]&amp;Tabla3[[#This Row],[Desc detalle ext 1]]</f>
        <v xml:space="preserve">CB 110 DLX                                        NEGRO    </v>
      </c>
      <c r="AA146" s="128" t="e">
        <f>+VLOOKUP(Tabla3[[#This Row],[CODIGO2]],ESTANDAR!$B$3:$C$9,2,FALSE)</f>
        <v>#N/A</v>
      </c>
      <c r="AB146" s="128" t="str">
        <f>+MID(Tabla3[[#This Row],['# Viaje]],10,1)</f>
        <v/>
      </c>
    </row>
    <row r="147" spans="1:28" ht="15" hidden="1" customHeight="1">
      <c r="A147" s="173" t="s">
        <v>1489</v>
      </c>
      <c r="B147" s="174">
        <v>42948</v>
      </c>
      <c r="C147" s="173" t="s">
        <v>1231</v>
      </c>
      <c r="D147" s="173" t="s">
        <v>1478</v>
      </c>
      <c r="E147" s="173" t="s">
        <v>1232</v>
      </c>
      <c r="F147" s="173">
        <v>5</v>
      </c>
      <c r="G147" s="173" t="s">
        <v>52</v>
      </c>
      <c r="H147" s="173">
        <v>5</v>
      </c>
      <c r="I147" s="173" t="s">
        <v>1490</v>
      </c>
      <c r="J147" s="173" t="s">
        <v>14</v>
      </c>
      <c r="K147" s="173" t="s">
        <v>16</v>
      </c>
      <c r="L147" s="173"/>
      <c r="M147" s="173" t="s">
        <v>121</v>
      </c>
      <c r="N147" s="173">
        <v>816008547</v>
      </c>
      <c r="O147" s="175">
        <v>3360504</v>
      </c>
      <c r="P147" s="7"/>
      <c r="Q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" s="9">
        <f>+IFERROR(VLOOKUP(Tabla3[[#This Row],[Cliente factura]],Tabla4[[NIT]:[TOTAL CREDITO]],6,FALSE),0)</f>
        <v>0</v>
      </c>
      <c r="S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" s="10" t="str">
        <f>VLOOKUP(Tabla3[[#This Row],[Razón social cliente factura]]&amp;Tabla3[[#This Row],[Desc. ciudad]],'Estandar de Rutas'!$C$1:$E$553,2,FALSE)</f>
        <v>4.1.A</v>
      </c>
      <c r="U147" s="130">
        <f>IFERROR(VLOOKUP(Tabla3[[#This Row],[Referencia]]&amp;Tabla3[[#This Row],[Desc detalle ext 1]],Tabla1[[Referencia-Color]:[Disponibilidad]],3,FALSE),0)</f>
        <v>83</v>
      </c>
      <c r="V147" s="13"/>
      <c r="W147" s="17">
        <f>+Tabla3[[#This Row],[Cant. Programada]]*Tabla3[[#This Row],[Precio unit]]</f>
        <v>0</v>
      </c>
      <c r="X147" s="8"/>
      <c r="Y147" s="8"/>
      <c r="Z147" s="8" t="str">
        <f>+Tabla3[[#This Row],[Referencia]]&amp;Tabla3[[#This Row],[Desc detalle ext 1]]</f>
        <v xml:space="preserve">*CB-110                                           NEGRO    </v>
      </c>
      <c r="AA147" s="128" t="e">
        <f>+VLOOKUP(Tabla3[[#This Row],[CODIGO2]],ESTANDAR!$B$3:$C$9,2,FALSE)</f>
        <v>#N/A</v>
      </c>
      <c r="AB147" s="128" t="str">
        <f>+MID(Tabla3[[#This Row],['# Viaje]],10,1)</f>
        <v/>
      </c>
    </row>
    <row r="148" spans="1:28" ht="15" hidden="1" customHeight="1">
      <c r="A148" s="173" t="s">
        <v>1489</v>
      </c>
      <c r="B148" s="174">
        <v>42948</v>
      </c>
      <c r="C148" s="173" t="s">
        <v>1231</v>
      </c>
      <c r="D148" s="173" t="s">
        <v>1478</v>
      </c>
      <c r="E148" s="173" t="s">
        <v>1232</v>
      </c>
      <c r="F148" s="173">
        <v>3</v>
      </c>
      <c r="G148" s="173" t="s">
        <v>52</v>
      </c>
      <c r="H148" s="173">
        <v>3</v>
      </c>
      <c r="I148" s="173" t="s">
        <v>1490</v>
      </c>
      <c r="J148" s="173" t="s">
        <v>27</v>
      </c>
      <c r="K148" s="173" t="s">
        <v>26</v>
      </c>
      <c r="L148" s="173"/>
      <c r="M148" s="173" t="s">
        <v>121</v>
      </c>
      <c r="N148" s="173">
        <v>816008547</v>
      </c>
      <c r="O148" s="175">
        <v>5789916</v>
      </c>
      <c r="P148" s="7"/>
      <c r="Q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" s="9">
        <f>+IFERROR(VLOOKUP(Tabla3[[#This Row],[Cliente factura]],Tabla4[[NIT]:[TOTAL CREDITO]],6,FALSE),0)</f>
        <v>0</v>
      </c>
      <c r="S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" s="10" t="str">
        <f>VLOOKUP(Tabla3[[#This Row],[Razón social cliente factura]]&amp;Tabla3[[#This Row],[Desc. ciudad]],'Estandar de Rutas'!$C$1:$E$553,2,FALSE)</f>
        <v>4.1.A</v>
      </c>
      <c r="U148" s="130">
        <f>IFERROR(VLOOKUP(Tabla3[[#This Row],[Referencia]]&amp;Tabla3[[#This Row],[Desc detalle ext 1]],Tabla1[[Referencia-Color]:[Disponibilidad]],3,FALSE),0)</f>
        <v>59</v>
      </c>
      <c r="V148" s="13"/>
      <c r="W148" s="17">
        <f>+Tabla3[[#This Row],[Cant. Programada]]*Tabla3[[#This Row],[Precio unit]]</f>
        <v>0</v>
      </c>
      <c r="X148" s="8"/>
      <c r="Y148" s="8"/>
      <c r="Z148" s="8" t="str">
        <f>+Tabla3[[#This Row],[Referencia]]&amp;Tabla3[[#This Row],[Desc detalle ext 1]]</f>
        <v>*XR 150L                                          NEGRO BLA</v>
      </c>
      <c r="AA148" s="128" t="e">
        <f>+VLOOKUP(Tabla3[[#This Row],[CODIGO2]],ESTANDAR!$B$3:$C$9,2,FALSE)</f>
        <v>#N/A</v>
      </c>
      <c r="AB148" s="128" t="str">
        <f>+MID(Tabla3[[#This Row],['# Viaje]],10,1)</f>
        <v/>
      </c>
    </row>
    <row r="149" spans="1:28" ht="15" hidden="1" customHeight="1">
      <c r="A149" s="173" t="s">
        <v>1489</v>
      </c>
      <c r="B149" s="174">
        <v>42948</v>
      </c>
      <c r="C149" s="173" t="s">
        <v>1231</v>
      </c>
      <c r="D149" s="173" t="s">
        <v>1478</v>
      </c>
      <c r="E149" s="173" t="s">
        <v>1232</v>
      </c>
      <c r="F149" s="173">
        <v>2</v>
      </c>
      <c r="G149" s="173" t="s">
        <v>52</v>
      </c>
      <c r="H149" s="173">
        <v>2</v>
      </c>
      <c r="I149" s="173" t="s">
        <v>1490</v>
      </c>
      <c r="J149" s="173" t="s">
        <v>27</v>
      </c>
      <c r="K149" s="173" t="s">
        <v>16</v>
      </c>
      <c r="L149" s="173"/>
      <c r="M149" s="173" t="s">
        <v>121</v>
      </c>
      <c r="N149" s="173">
        <v>816008547</v>
      </c>
      <c r="O149" s="175">
        <v>5789916</v>
      </c>
      <c r="P149" s="7"/>
      <c r="Q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" s="9">
        <f>+IFERROR(VLOOKUP(Tabla3[[#This Row],[Cliente factura]],Tabla4[[NIT]:[TOTAL CREDITO]],6,FALSE),0)</f>
        <v>0</v>
      </c>
      <c r="S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" s="10" t="str">
        <f>VLOOKUP(Tabla3[[#This Row],[Razón social cliente factura]]&amp;Tabla3[[#This Row],[Desc. ciudad]],'Estandar de Rutas'!$C$1:$E$553,2,FALSE)</f>
        <v>4.1.A</v>
      </c>
      <c r="U149" s="130">
        <f>IFERROR(VLOOKUP(Tabla3[[#This Row],[Referencia]]&amp;Tabla3[[#This Row],[Desc detalle ext 1]],Tabla1[[Referencia-Color]:[Disponibilidad]],3,FALSE),0)</f>
        <v>3</v>
      </c>
      <c r="V149" s="13"/>
      <c r="W149" s="17">
        <f>+Tabla3[[#This Row],[Cant. Programada]]*Tabla3[[#This Row],[Precio unit]]</f>
        <v>0</v>
      </c>
      <c r="X149" s="129"/>
      <c r="Y149" s="129"/>
      <c r="Z149" s="8" t="str">
        <f>+Tabla3[[#This Row],[Referencia]]&amp;Tabla3[[#This Row],[Desc detalle ext 1]]</f>
        <v xml:space="preserve">*XR 150L                                          NEGRO    </v>
      </c>
      <c r="AA149" s="128" t="e">
        <f>+VLOOKUP(Tabla3[[#This Row],[CODIGO2]],ESTANDAR!$B$3:$C$9,2,FALSE)</f>
        <v>#N/A</v>
      </c>
      <c r="AB149" s="128" t="str">
        <f>+MID(Tabla3[[#This Row],['# Viaje]],10,1)</f>
        <v/>
      </c>
    </row>
    <row r="150" spans="1:28" ht="15" hidden="1" customHeight="1">
      <c r="A150" s="173" t="s">
        <v>1489</v>
      </c>
      <c r="B150" s="174">
        <v>42948</v>
      </c>
      <c r="C150" s="173" t="s">
        <v>1231</v>
      </c>
      <c r="D150" s="173" t="s">
        <v>1478</v>
      </c>
      <c r="E150" s="173" t="s">
        <v>1232</v>
      </c>
      <c r="F150" s="173">
        <v>2</v>
      </c>
      <c r="G150" s="173" t="s">
        <v>52</v>
      </c>
      <c r="H150" s="173">
        <v>2</v>
      </c>
      <c r="I150" s="173" t="s">
        <v>1490</v>
      </c>
      <c r="J150" s="173" t="s">
        <v>10</v>
      </c>
      <c r="K150" s="173" t="s">
        <v>11</v>
      </c>
      <c r="L150" s="173"/>
      <c r="M150" s="173" t="s">
        <v>121</v>
      </c>
      <c r="N150" s="173">
        <v>816008547</v>
      </c>
      <c r="O150" s="175">
        <v>7554622</v>
      </c>
      <c r="P150" s="7"/>
      <c r="Q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" s="9">
        <f>+IFERROR(VLOOKUP(Tabla3[[#This Row],[Cliente factura]],Tabla4[[NIT]:[TOTAL CREDITO]],6,FALSE),0)</f>
        <v>0</v>
      </c>
      <c r="S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" s="10" t="str">
        <f>VLOOKUP(Tabla3[[#This Row],[Razón social cliente factura]]&amp;Tabla3[[#This Row],[Desc. ciudad]],'Estandar de Rutas'!$C$1:$E$553,2,FALSE)</f>
        <v>4.1.A</v>
      </c>
      <c r="U150" s="130">
        <f>IFERROR(VLOOKUP(Tabla3[[#This Row],[Referencia]]&amp;Tabla3[[#This Row],[Desc detalle ext 1]],Tabla1[[Referencia-Color]:[Disponibilidad]],3,FALSE),0)</f>
        <v>0</v>
      </c>
      <c r="V150" s="13"/>
      <c r="W150" s="17">
        <f>+Tabla3[[#This Row],[Cant. Programada]]*Tabla3[[#This Row],[Precio unit]]</f>
        <v>0</v>
      </c>
      <c r="X150" s="129"/>
      <c r="Y150" s="129"/>
      <c r="Z150" s="8" t="str">
        <f>+Tabla3[[#This Row],[Referencia]]&amp;Tabla3[[#This Row],[Desc detalle ext 1]]</f>
        <v>CB 190R                                           NEGRO ONI</v>
      </c>
      <c r="AA150" s="128" t="e">
        <f>+VLOOKUP(Tabla3[[#This Row],[CODIGO2]],ESTANDAR!$B$3:$C$9,2,FALSE)</f>
        <v>#N/A</v>
      </c>
      <c r="AB150" s="128" t="str">
        <f>+MID(Tabla3[[#This Row],['# Viaje]],10,1)</f>
        <v/>
      </c>
    </row>
    <row r="151" spans="1:28" ht="15" hidden="1" customHeight="1">
      <c r="A151" s="173" t="s">
        <v>1489</v>
      </c>
      <c r="B151" s="174">
        <v>42948</v>
      </c>
      <c r="C151" s="173" t="s">
        <v>1231</v>
      </c>
      <c r="D151" s="173" t="s">
        <v>1478</v>
      </c>
      <c r="E151" s="173" t="s">
        <v>1232</v>
      </c>
      <c r="F151" s="173">
        <v>2</v>
      </c>
      <c r="G151" s="173" t="s">
        <v>52</v>
      </c>
      <c r="H151" s="173">
        <v>2</v>
      </c>
      <c r="I151" s="173" t="s">
        <v>1490</v>
      </c>
      <c r="J151" s="173" t="s">
        <v>1425</v>
      </c>
      <c r="K151" s="173" t="s">
        <v>1426</v>
      </c>
      <c r="L151" s="173"/>
      <c r="M151" s="173" t="s">
        <v>121</v>
      </c>
      <c r="N151" s="173">
        <v>816008547</v>
      </c>
      <c r="O151" s="175">
        <v>7730252</v>
      </c>
      <c r="P151" s="7"/>
      <c r="Q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" s="9">
        <f>+IFERROR(VLOOKUP(Tabla3[[#This Row],[Cliente factura]],Tabla4[[NIT]:[TOTAL CREDITO]],6,FALSE),0)</f>
        <v>0</v>
      </c>
      <c r="S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" s="10" t="str">
        <f>VLOOKUP(Tabla3[[#This Row],[Razón social cliente factura]]&amp;Tabla3[[#This Row],[Desc. ciudad]],'Estandar de Rutas'!$C$1:$E$553,2,FALSE)</f>
        <v>4.1.A</v>
      </c>
      <c r="U151" s="130">
        <f>IFERROR(VLOOKUP(Tabla3[[#This Row],[Referencia]]&amp;Tabla3[[#This Row],[Desc detalle ext 1]],Tabla1[[Referencia-Color]:[Disponibilidad]],3,FALSE),0)</f>
        <v>104</v>
      </c>
      <c r="V151" s="13"/>
      <c r="W151" s="17">
        <f>+Tabla3[[#This Row],[Cant. Programada]]*Tabla3[[#This Row],[Precio unit]]</f>
        <v>0</v>
      </c>
      <c r="X151" s="8"/>
      <c r="Y151" s="8"/>
      <c r="Z151" s="8" t="str">
        <f>+Tabla3[[#This Row],[Referencia]]&amp;Tabla3[[#This Row],[Desc detalle ext 1]]</f>
        <v>CB 190 REPSOL                                     NARANJA B</v>
      </c>
      <c r="AA151" s="128" t="e">
        <f>+VLOOKUP(Tabla3[[#This Row],[CODIGO2]],ESTANDAR!$B$3:$C$9,2,FALSE)</f>
        <v>#N/A</v>
      </c>
      <c r="AB151" s="128" t="str">
        <f>+MID(Tabla3[[#This Row],['# Viaje]],10,1)</f>
        <v/>
      </c>
    </row>
    <row r="152" spans="1:28" ht="15" hidden="1" customHeight="1">
      <c r="A152" s="173" t="s">
        <v>1489</v>
      </c>
      <c r="B152" s="174">
        <v>42948</v>
      </c>
      <c r="C152" s="173" t="s">
        <v>1231</v>
      </c>
      <c r="D152" s="173" t="s">
        <v>1478</v>
      </c>
      <c r="E152" s="173" t="s">
        <v>1232</v>
      </c>
      <c r="F152" s="173">
        <v>5</v>
      </c>
      <c r="G152" s="173" t="s">
        <v>52</v>
      </c>
      <c r="H152" s="173">
        <v>5</v>
      </c>
      <c r="I152" s="173" t="s">
        <v>1490</v>
      </c>
      <c r="J152" s="173" t="s">
        <v>354</v>
      </c>
      <c r="K152" s="173" t="s">
        <v>355</v>
      </c>
      <c r="L152" s="173"/>
      <c r="M152" s="173" t="s">
        <v>121</v>
      </c>
      <c r="N152" s="173">
        <v>816008547</v>
      </c>
      <c r="O152" s="175">
        <v>6133613</v>
      </c>
      <c r="P152" s="7"/>
      <c r="Q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" s="9">
        <f>+IFERROR(VLOOKUP(Tabla3[[#This Row],[Cliente factura]],Tabla4[[NIT]:[TOTAL CREDITO]],6,FALSE),0)</f>
        <v>0</v>
      </c>
      <c r="S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" s="10" t="str">
        <f>VLOOKUP(Tabla3[[#This Row],[Razón social cliente factura]]&amp;Tabla3[[#This Row],[Desc. ciudad]],'Estandar de Rutas'!$C$1:$E$553,2,FALSE)</f>
        <v>4.1.A</v>
      </c>
      <c r="U152" s="130">
        <f>IFERROR(VLOOKUP(Tabla3[[#This Row],[Referencia]]&amp;Tabla3[[#This Row],[Desc detalle ext 1]],Tabla1[[Referencia-Color]:[Disponibilidad]],3,FALSE),0)</f>
        <v>0</v>
      </c>
      <c r="V152" s="13"/>
      <c r="W152" s="17">
        <f>+Tabla3[[#This Row],[Cant. Programada]]*Tabla3[[#This Row],[Precio unit]]</f>
        <v>0</v>
      </c>
      <c r="X152" s="8"/>
      <c r="Y152" s="8"/>
      <c r="Z152" s="8" t="str">
        <f>+Tabla3[[#This Row],[Referencia]]&amp;Tabla3[[#This Row],[Desc detalle ext 1]]</f>
        <v>CB 160F DLX                                       NEGRO PER</v>
      </c>
      <c r="AA152" s="128" t="e">
        <f>+VLOOKUP(Tabla3[[#This Row],[CODIGO2]],ESTANDAR!$B$3:$C$9,2,FALSE)</f>
        <v>#N/A</v>
      </c>
      <c r="AB152" s="128" t="str">
        <f>+MID(Tabla3[[#This Row],['# Viaje]],10,1)</f>
        <v/>
      </c>
    </row>
    <row r="153" spans="1:28" ht="15" hidden="1" customHeight="1">
      <c r="A153" s="173" t="s">
        <v>1489</v>
      </c>
      <c r="B153" s="174">
        <v>42948</v>
      </c>
      <c r="C153" s="173" t="s">
        <v>1231</v>
      </c>
      <c r="D153" s="173" t="s">
        <v>1478</v>
      </c>
      <c r="E153" s="173" t="s">
        <v>1232</v>
      </c>
      <c r="F153" s="173">
        <v>3</v>
      </c>
      <c r="G153" s="173" t="s">
        <v>52</v>
      </c>
      <c r="H153" s="173">
        <v>3</v>
      </c>
      <c r="I153" s="173" t="s">
        <v>1490</v>
      </c>
      <c r="J153" s="173" t="s">
        <v>1433</v>
      </c>
      <c r="K153" s="173" t="s">
        <v>1431</v>
      </c>
      <c r="L153" s="173"/>
      <c r="M153" s="173" t="s">
        <v>121</v>
      </c>
      <c r="N153" s="173">
        <v>816008547</v>
      </c>
      <c r="O153" s="175">
        <v>3521008</v>
      </c>
      <c r="P153" s="7"/>
      <c r="Q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" s="9">
        <f>+IFERROR(VLOOKUP(Tabla3[[#This Row],[Cliente factura]],Tabla4[[NIT]:[TOTAL CREDITO]],6,FALSE),0)</f>
        <v>0</v>
      </c>
      <c r="S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" s="10" t="str">
        <f>VLOOKUP(Tabla3[[#This Row],[Razón social cliente factura]]&amp;Tabla3[[#This Row],[Desc. ciudad]],'Estandar de Rutas'!$C$1:$E$553,2,FALSE)</f>
        <v>4.1.A</v>
      </c>
      <c r="U153" s="130">
        <f>IFERROR(VLOOKUP(Tabla3[[#This Row],[Referencia]]&amp;Tabla3[[#This Row],[Desc detalle ext 1]],Tabla1[[Referencia-Color]:[Disponibilidad]],3,FALSE),0)</f>
        <v>0</v>
      </c>
      <c r="V153" s="13"/>
      <c r="W153" s="17">
        <f>+Tabla3[[#This Row],[Cant. Programada]]*Tabla3[[#This Row],[Precio unit]]</f>
        <v>0</v>
      </c>
      <c r="X153" s="129"/>
      <c r="Y153" s="129"/>
      <c r="Z153" s="8" t="str">
        <f>+Tabla3[[#This Row],[Referencia]]&amp;Tabla3[[#This Row],[Desc detalle ext 1]]</f>
        <v xml:space="preserve">DIO  110                                          ROJO     </v>
      </c>
      <c r="AA153" s="128" t="e">
        <f>+VLOOKUP(Tabla3[[#This Row],[CODIGO2]],ESTANDAR!$B$3:$C$9,2,FALSE)</f>
        <v>#N/A</v>
      </c>
      <c r="AB153" s="128" t="str">
        <f>+MID(Tabla3[[#This Row],['# Viaje]],10,1)</f>
        <v/>
      </c>
    </row>
    <row r="154" spans="1:28" ht="15" hidden="1" customHeight="1">
      <c r="A154" s="173" t="s">
        <v>1489</v>
      </c>
      <c r="B154" s="174">
        <v>42948</v>
      </c>
      <c r="C154" s="173" t="s">
        <v>1231</v>
      </c>
      <c r="D154" s="173" t="s">
        <v>1478</v>
      </c>
      <c r="E154" s="173" t="s">
        <v>1232</v>
      </c>
      <c r="F154" s="173">
        <v>2</v>
      </c>
      <c r="G154" s="173" t="s">
        <v>52</v>
      </c>
      <c r="H154" s="173">
        <v>2</v>
      </c>
      <c r="I154" s="173" t="s">
        <v>1490</v>
      </c>
      <c r="J154" s="173" t="s">
        <v>1433</v>
      </c>
      <c r="K154" s="173" t="s">
        <v>1452</v>
      </c>
      <c r="L154" s="173"/>
      <c r="M154" s="173" t="s">
        <v>121</v>
      </c>
      <c r="N154" s="173">
        <v>816008547</v>
      </c>
      <c r="O154" s="175">
        <v>3521008</v>
      </c>
      <c r="P154" s="7"/>
      <c r="Q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" s="9">
        <f>+IFERROR(VLOOKUP(Tabla3[[#This Row],[Cliente factura]],Tabla4[[NIT]:[TOTAL CREDITO]],6,FALSE),0)</f>
        <v>0</v>
      </c>
      <c r="S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" s="10" t="str">
        <f>VLOOKUP(Tabla3[[#This Row],[Razón social cliente factura]]&amp;Tabla3[[#This Row],[Desc. ciudad]],'Estandar de Rutas'!$C$1:$E$553,2,FALSE)</f>
        <v>4.1.A</v>
      </c>
      <c r="U154" s="130">
        <f>IFERROR(VLOOKUP(Tabla3[[#This Row],[Referencia]]&amp;Tabla3[[#This Row],[Desc detalle ext 1]],Tabla1[[Referencia-Color]:[Disponibilidad]],3,FALSE),0)</f>
        <v>0</v>
      </c>
      <c r="V154" s="13"/>
      <c r="W154" s="17">
        <f>+Tabla3[[#This Row],[Cant. Programada]]*Tabla3[[#This Row],[Precio unit]]</f>
        <v>0</v>
      </c>
      <c r="X154" s="8"/>
      <c r="Y154" s="8"/>
      <c r="Z154" s="8" t="str">
        <f>+Tabla3[[#This Row],[Referencia]]&amp;Tabla3[[#This Row],[Desc detalle ext 1]]</f>
        <v xml:space="preserve">DIO  110                                          AZUL     </v>
      </c>
      <c r="AA154" s="128" t="e">
        <f>+VLOOKUP(Tabla3[[#This Row],[CODIGO2]],ESTANDAR!$B$3:$C$9,2,FALSE)</f>
        <v>#N/A</v>
      </c>
      <c r="AB154" s="128" t="str">
        <f>+MID(Tabla3[[#This Row],['# Viaje]],10,1)</f>
        <v/>
      </c>
    </row>
    <row r="155" spans="1:28" ht="15" hidden="1" customHeight="1">
      <c r="A155" s="173" t="s">
        <v>1489</v>
      </c>
      <c r="B155" s="174">
        <v>42948</v>
      </c>
      <c r="C155" s="173" t="s">
        <v>1231</v>
      </c>
      <c r="D155" s="173" t="s">
        <v>1478</v>
      </c>
      <c r="E155" s="173" t="s">
        <v>1232</v>
      </c>
      <c r="F155" s="173">
        <v>10</v>
      </c>
      <c r="G155" s="173" t="s">
        <v>52</v>
      </c>
      <c r="H155" s="173">
        <v>10</v>
      </c>
      <c r="I155" s="173" t="s">
        <v>1490</v>
      </c>
      <c r="J155" s="173" t="s">
        <v>1453</v>
      </c>
      <c r="K155" s="173" t="s">
        <v>11</v>
      </c>
      <c r="L155" s="173"/>
      <c r="M155" s="173" t="s">
        <v>121</v>
      </c>
      <c r="N155" s="173">
        <v>816008547</v>
      </c>
      <c r="O155" s="175">
        <v>7730252</v>
      </c>
      <c r="P155" s="7"/>
      <c r="Q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" s="9">
        <f>+IFERROR(VLOOKUP(Tabla3[[#This Row],[Cliente factura]],Tabla4[[NIT]:[TOTAL CREDITO]],6,FALSE),0)</f>
        <v>0</v>
      </c>
      <c r="S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" s="10" t="str">
        <f>VLOOKUP(Tabla3[[#This Row],[Razón social cliente factura]]&amp;Tabla3[[#This Row],[Desc. ciudad]],'Estandar de Rutas'!$C$1:$E$553,2,FALSE)</f>
        <v>4.1.A</v>
      </c>
      <c r="U155" s="130">
        <f>IFERROR(VLOOKUP(Tabla3[[#This Row],[Referencia]]&amp;Tabla3[[#This Row],[Desc detalle ext 1]],Tabla1[[Referencia-Color]:[Disponibilidad]],3,FALSE),0)</f>
        <v>0</v>
      </c>
      <c r="V155" s="13"/>
      <c r="W155" s="17">
        <f>+Tabla3[[#This Row],[Cant. Programada]]*Tabla3[[#This Row],[Precio unit]]</f>
        <v>0</v>
      </c>
      <c r="X155" s="8"/>
      <c r="Y155" s="8"/>
      <c r="Z155" s="8" t="str">
        <f>+Tabla3[[#This Row],[Referencia]]&amp;Tabla3[[#This Row],[Desc detalle ext 1]]</f>
        <v>CB 190R INSTINTO R                                NEGRO ONI</v>
      </c>
      <c r="AA155" s="128" t="e">
        <f>+VLOOKUP(Tabla3[[#This Row],[CODIGO2]],ESTANDAR!$B$3:$C$9,2,FALSE)</f>
        <v>#N/A</v>
      </c>
      <c r="AB155" s="128" t="str">
        <f>+MID(Tabla3[[#This Row],['# Viaje]],10,1)</f>
        <v/>
      </c>
    </row>
    <row r="156" spans="1:28" ht="15" hidden="1" customHeight="1">
      <c r="A156" s="173" t="s">
        <v>1489</v>
      </c>
      <c r="B156" s="174">
        <v>42948</v>
      </c>
      <c r="C156" s="173" t="s">
        <v>1231</v>
      </c>
      <c r="D156" s="173" t="s">
        <v>1478</v>
      </c>
      <c r="E156" s="173" t="s">
        <v>1232</v>
      </c>
      <c r="F156" s="173">
        <v>4</v>
      </c>
      <c r="G156" s="173" t="s">
        <v>52</v>
      </c>
      <c r="H156" s="173">
        <v>4</v>
      </c>
      <c r="I156" s="173" t="s">
        <v>1490</v>
      </c>
      <c r="J156" s="173" t="s">
        <v>1428</v>
      </c>
      <c r="K156" s="173" t="s">
        <v>32</v>
      </c>
      <c r="L156" s="173"/>
      <c r="M156" s="173" t="s">
        <v>121</v>
      </c>
      <c r="N156" s="173">
        <v>816008547</v>
      </c>
      <c r="O156" s="175">
        <v>3067227</v>
      </c>
      <c r="P156" s="7"/>
      <c r="Q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" s="9">
        <f>+IFERROR(VLOOKUP(Tabla3[[#This Row],[Cliente factura]],Tabla4[[NIT]:[TOTAL CREDITO]],6,FALSE),0)</f>
        <v>0</v>
      </c>
      <c r="S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" s="10" t="str">
        <f>VLOOKUP(Tabla3[[#This Row],[Razón social cliente factura]]&amp;Tabla3[[#This Row],[Desc. ciudad]],'Estandar de Rutas'!$C$1:$E$553,2,FALSE)</f>
        <v>4.1.A</v>
      </c>
      <c r="U156" s="130">
        <f>IFERROR(VLOOKUP(Tabla3[[#This Row],[Referencia]]&amp;Tabla3[[#This Row],[Desc detalle ext 1]],Tabla1[[Referencia-Color]:[Disponibilidad]],3,FALSE),0)</f>
        <v>0</v>
      </c>
      <c r="V156" s="13"/>
      <c r="W156" s="17">
        <f>+Tabla3[[#This Row],[Cant. Programada]]*Tabla3[[#This Row],[Precio unit]]</f>
        <v>0</v>
      </c>
      <c r="X156" s="8"/>
      <c r="Y156" s="8"/>
      <c r="Z156" s="8" t="str">
        <f>+Tabla3[[#This Row],[Referencia]]&amp;Tabla3[[#This Row],[Desc detalle ext 1]]</f>
        <v>DREAM  NEO                                        NEGRO ROJ</v>
      </c>
      <c r="AA156" s="128" t="e">
        <f>+VLOOKUP(Tabla3[[#This Row],[CODIGO2]],ESTANDAR!$B$3:$C$9,2,FALSE)</f>
        <v>#N/A</v>
      </c>
      <c r="AB156" s="128" t="str">
        <f>+MID(Tabla3[[#This Row],['# Viaje]],10,1)</f>
        <v/>
      </c>
    </row>
    <row r="157" spans="1:28" ht="15" hidden="1" customHeight="1">
      <c r="A157" s="173" t="s">
        <v>1489</v>
      </c>
      <c r="B157" s="174">
        <v>42948</v>
      </c>
      <c r="C157" s="173" t="s">
        <v>1231</v>
      </c>
      <c r="D157" s="173" t="s">
        <v>1478</v>
      </c>
      <c r="E157" s="173" t="s">
        <v>1232</v>
      </c>
      <c r="F157" s="173">
        <v>4</v>
      </c>
      <c r="G157" s="173" t="s">
        <v>52</v>
      </c>
      <c r="H157" s="173">
        <v>4</v>
      </c>
      <c r="I157" s="173" t="s">
        <v>1490</v>
      </c>
      <c r="J157" s="173" t="s">
        <v>1428</v>
      </c>
      <c r="K157" s="173" t="s">
        <v>1429</v>
      </c>
      <c r="L157" s="173"/>
      <c r="M157" s="173" t="s">
        <v>121</v>
      </c>
      <c r="N157" s="173">
        <v>816008547</v>
      </c>
      <c r="O157" s="175">
        <v>3067227</v>
      </c>
      <c r="P157" s="7"/>
      <c r="Q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" s="9">
        <f>+IFERROR(VLOOKUP(Tabla3[[#This Row],[Cliente factura]],Tabla4[[NIT]:[TOTAL CREDITO]],6,FALSE),0)</f>
        <v>0</v>
      </c>
      <c r="S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" s="10" t="str">
        <f>VLOOKUP(Tabla3[[#This Row],[Razón social cliente factura]]&amp;Tabla3[[#This Row],[Desc. ciudad]],'Estandar de Rutas'!$C$1:$E$553,2,FALSE)</f>
        <v>4.1.A</v>
      </c>
      <c r="U157" s="130">
        <f>IFERROR(VLOOKUP(Tabla3[[#This Row],[Referencia]]&amp;Tabla3[[#This Row],[Desc detalle ext 1]],Tabla1[[Referencia-Color]:[Disponibilidad]],3,FALSE),0)</f>
        <v>0</v>
      </c>
      <c r="V157" s="13"/>
      <c r="W157" s="17">
        <f>+Tabla3[[#This Row],[Cant. Programada]]*Tabla3[[#This Row],[Precio unit]]</f>
        <v>0</v>
      </c>
      <c r="X157" s="129"/>
      <c r="Y157" s="8"/>
      <c r="Z157" s="8" t="str">
        <f>+Tabla3[[#This Row],[Referencia]]&amp;Tabla3[[#This Row],[Desc detalle ext 1]]</f>
        <v>DREAM  NEO                                        NEGRO AZU</v>
      </c>
      <c r="AA157" s="128" t="e">
        <f>+VLOOKUP(Tabla3[[#This Row],[CODIGO2]],ESTANDAR!$B$3:$C$9,2,FALSE)</f>
        <v>#N/A</v>
      </c>
      <c r="AB157" s="128" t="str">
        <f>+MID(Tabla3[[#This Row],['# Viaje]],10,1)</f>
        <v/>
      </c>
    </row>
    <row r="158" spans="1:28" ht="15" hidden="1" customHeight="1">
      <c r="A158" s="173" t="s">
        <v>1489</v>
      </c>
      <c r="B158" s="174">
        <v>42948</v>
      </c>
      <c r="C158" s="173" t="s">
        <v>1231</v>
      </c>
      <c r="D158" s="173" t="s">
        <v>1478</v>
      </c>
      <c r="E158" s="173" t="s">
        <v>1232</v>
      </c>
      <c r="F158" s="173">
        <v>2</v>
      </c>
      <c r="G158" s="173" t="s">
        <v>52</v>
      </c>
      <c r="H158" s="173">
        <v>2</v>
      </c>
      <c r="I158" s="173" t="s">
        <v>1490</v>
      </c>
      <c r="J158" s="173" t="s">
        <v>1430</v>
      </c>
      <c r="K158" s="173" t="s">
        <v>1431</v>
      </c>
      <c r="L158" s="173"/>
      <c r="M158" s="173" t="s">
        <v>121</v>
      </c>
      <c r="N158" s="173">
        <v>816008547</v>
      </c>
      <c r="O158" s="175">
        <v>3941176</v>
      </c>
      <c r="P158" s="7"/>
      <c r="Q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" s="9">
        <f>+IFERROR(VLOOKUP(Tabla3[[#This Row],[Cliente factura]],Tabla4[[NIT]:[TOTAL CREDITO]],6,FALSE),0)</f>
        <v>0</v>
      </c>
      <c r="S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" s="10" t="str">
        <f>VLOOKUP(Tabla3[[#This Row],[Razón social cliente factura]]&amp;Tabla3[[#This Row],[Desc. ciudad]],'Estandar de Rutas'!$C$1:$E$553,2,FALSE)</f>
        <v>4.1.A</v>
      </c>
      <c r="U158" s="130">
        <f>IFERROR(VLOOKUP(Tabla3[[#This Row],[Referencia]]&amp;Tabla3[[#This Row],[Desc detalle ext 1]],Tabla1[[Referencia-Color]:[Disponibilidad]],3,FALSE),0)</f>
        <v>0</v>
      </c>
      <c r="V158" s="13"/>
      <c r="W158" s="17">
        <f>+Tabla3[[#This Row],[Cant. Programada]]*Tabla3[[#This Row],[Precio unit]]</f>
        <v>0</v>
      </c>
      <c r="X158" s="8"/>
      <c r="Y158" s="8"/>
      <c r="Z158" s="8" t="str">
        <f>+Tabla3[[#This Row],[Referencia]]&amp;Tabla3[[#This Row],[Desc detalle ext 1]]</f>
        <v xml:space="preserve">WAVE 110S                                         ROJO     </v>
      </c>
      <c r="AA158" s="128" t="e">
        <f>+VLOOKUP(Tabla3[[#This Row],[CODIGO2]],ESTANDAR!$B$3:$C$9,2,FALSE)</f>
        <v>#N/A</v>
      </c>
      <c r="AB158" s="128" t="str">
        <f>+MID(Tabla3[[#This Row],['# Viaje]],10,1)</f>
        <v/>
      </c>
    </row>
    <row r="159" spans="1:28" ht="15" hidden="1" customHeight="1">
      <c r="A159" s="173" t="s">
        <v>1489</v>
      </c>
      <c r="B159" s="174">
        <v>42948</v>
      </c>
      <c r="C159" s="173" t="s">
        <v>1231</v>
      </c>
      <c r="D159" s="173" t="s">
        <v>1478</v>
      </c>
      <c r="E159" s="173" t="s">
        <v>1232</v>
      </c>
      <c r="F159" s="173">
        <v>3</v>
      </c>
      <c r="G159" s="173" t="s">
        <v>52</v>
      </c>
      <c r="H159" s="173">
        <v>3</v>
      </c>
      <c r="I159" s="173" t="s">
        <v>1490</v>
      </c>
      <c r="J159" s="173" t="s">
        <v>1430</v>
      </c>
      <c r="K159" s="173" t="s">
        <v>1432</v>
      </c>
      <c r="L159" s="173"/>
      <c r="M159" s="173" t="s">
        <v>121</v>
      </c>
      <c r="N159" s="173">
        <v>816008547</v>
      </c>
      <c r="O159" s="175">
        <v>3941176</v>
      </c>
      <c r="P159" s="7"/>
      <c r="Q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" s="9">
        <f>+IFERROR(VLOOKUP(Tabla3[[#This Row],[Cliente factura]],Tabla4[[NIT]:[TOTAL CREDITO]],6,FALSE),0)</f>
        <v>0</v>
      </c>
      <c r="S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" s="10" t="str">
        <f>VLOOKUP(Tabla3[[#This Row],[Razón social cliente factura]]&amp;Tabla3[[#This Row],[Desc. ciudad]],'Estandar de Rutas'!$C$1:$E$553,2,FALSE)</f>
        <v>4.1.A</v>
      </c>
      <c r="U159" s="130">
        <f>IFERROR(VLOOKUP(Tabla3[[#This Row],[Referencia]]&amp;Tabla3[[#This Row],[Desc detalle ext 1]],Tabla1[[Referencia-Color]:[Disponibilidad]],3,FALSE),0)</f>
        <v>23</v>
      </c>
      <c r="V159" s="13"/>
      <c r="W159" s="17">
        <f>+Tabla3[[#This Row],[Cant. Programada]]*Tabla3[[#This Row],[Precio unit]]</f>
        <v>0</v>
      </c>
      <c r="X159" s="8"/>
      <c r="Y159" s="8"/>
      <c r="Z159" s="8" t="str">
        <f>+Tabla3[[#This Row],[Referencia]]&amp;Tabla3[[#This Row],[Desc detalle ext 1]]</f>
        <v xml:space="preserve">WAVE 110S                                         BLANCO   </v>
      </c>
      <c r="AA159" s="128" t="e">
        <f>+VLOOKUP(Tabla3[[#This Row],[CODIGO2]],ESTANDAR!$B$3:$C$9,2,FALSE)</f>
        <v>#N/A</v>
      </c>
      <c r="AB159" s="128" t="str">
        <f>+MID(Tabla3[[#This Row],['# Viaje]],10,1)</f>
        <v/>
      </c>
    </row>
    <row r="160" spans="1:28" ht="15" hidden="1" customHeight="1">
      <c r="A160" s="173" t="s">
        <v>1489</v>
      </c>
      <c r="B160" s="174">
        <v>42948</v>
      </c>
      <c r="C160" s="173" t="s">
        <v>1231</v>
      </c>
      <c r="D160" s="173" t="s">
        <v>1478</v>
      </c>
      <c r="E160" s="173" t="s">
        <v>1232</v>
      </c>
      <c r="F160" s="173">
        <v>3</v>
      </c>
      <c r="G160" s="173" t="s">
        <v>52</v>
      </c>
      <c r="H160" s="173">
        <v>3</v>
      </c>
      <c r="I160" s="173" t="s">
        <v>1490</v>
      </c>
      <c r="J160" s="173" t="s">
        <v>1234</v>
      </c>
      <c r="K160" s="173" t="s">
        <v>355</v>
      </c>
      <c r="L160" s="173"/>
      <c r="M160" s="173" t="s">
        <v>121</v>
      </c>
      <c r="N160" s="173">
        <v>816008547</v>
      </c>
      <c r="O160" s="175">
        <v>5453782</v>
      </c>
      <c r="P160" s="7"/>
      <c r="Q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" s="9">
        <f>+IFERROR(VLOOKUP(Tabla3[[#This Row],[Cliente factura]],Tabla4[[NIT]:[TOTAL CREDITO]],6,FALSE),0)</f>
        <v>0</v>
      </c>
      <c r="S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" s="10" t="str">
        <f>VLOOKUP(Tabla3[[#This Row],[Razón social cliente factura]]&amp;Tabla3[[#This Row],[Desc. ciudad]],'Estandar de Rutas'!$C$1:$E$553,2,FALSE)</f>
        <v>4.1.A</v>
      </c>
      <c r="U160" s="130">
        <f>IFERROR(VLOOKUP(Tabla3[[#This Row],[Referencia]]&amp;Tabla3[[#This Row],[Desc detalle ext 1]],Tabla1[[Referencia-Color]:[Disponibilidad]],3,FALSE),0)</f>
        <v>0</v>
      </c>
      <c r="V160" s="13"/>
      <c r="W160" s="17">
        <f>+Tabla3[[#This Row],[Cant. Programada]]*Tabla3[[#This Row],[Precio unit]]</f>
        <v>0</v>
      </c>
      <c r="X160" s="8"/>
      <c r="Y160" s="8"/>
      <c r="Z160" s="8" t="str">
        <f>+Tabla3[[#This Row],[Referencia]]&amp;Tabla3[[#This Row],[Desc detalle ext 1]]</f>
        <v>CB 160F STD                                       NEGRO PER</v>
      </c>
      <c r="AA160" s="128" t="e">
        <f>+VLOOKUP(Tabla3[[#This Row],[CODIGO2]],ESTANDAR!$B$3:$C$9,2,FALSE)</f>
        <v>#N/A</v>
      </c>
      <c r="AB160" s="128" t="str">
        <f>+MID(Tabla3[[#This Row],['# Viaje]],10,1)</f>
        <v/>
      </c>
    </row>
    <row r="161" spans="1:28" ht="15" hidden="1" customHeight="1">
      <c r="A161" s="173" t="s">
        <v>1489</v>
      </c>
      <c r="B161" s="174">
        <v>42948</v>
      </c>
      <c r="C161" s="173" t="s">
        <v>1231</v>
      </c>
      <c r="D161" s="173" t="s">
        <v>1478</v>
      </c>
      <c r="E161" s="173" t="s">
        <v>1232</v>
      </c>
      <c r="F161" s="173">
        <v>2</v>
      </c>
      <c r="G161" s="173" t="s">
        <v>52</v>
      </c>
      <c r="H161" s="173">
        <v>2</v>
      </c>
      <c r="I161" s="173" t="s">
        <v>1490</v>
      </c>
      <c r="J161" s="173" t="s">
        <v>1234</v>
      </c>
      <c r="K161" s="173" t="s">
        <v>44</v>
      </c>
      <c r="L161" s="173"/>
      <c r="M161" s="173" t="s">
        <v>121</v>
      </c>
      <c r="N161" s="173">
        <v>816008547</v>
      </c>
      <c r="O161" s="175">
        <v>5453782</v>
      </c>
      <c r="P161" s="7"/>
      <c r="Q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" s="9">
        <f>+IFERROR(VLOOKUP(Tabla3[[#This Row],[Cliente factura]],Tabla4[[NIT]:[TOTAL CREDITO]],6,FALSE),0)</f>
        <v>0</v>
      </c>
      <c r="S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" s="10" t="str">
        <f>VLOOKUP(Tabla3[[#This Row],[Razón social cliente factura]]&amp;Tabla3[[#This Row],[Desc. ciudad]],'Estandar de Rutas'!$C$1:$E$553,2,FALSE)</f>
        <v>4.1.A</v>
      </c>
      <c r="U161" s="130">
        <f>IFERROR(VLOOKUP(Tabla3[[#This Row],[Referencia]]&amp;Tabla3[[#This Row],[Desc detalle ext 1]],Tabla1[[Referencia-Color]:[Disponibilidad]],3,FALSE),0)</f>
        <v>1</v>
      </c>
      <c r="V161" s="13"/>
      <c r="W161" s="17">
        <f>+Tabla3[[#This Row],[Cant. Programada]]*Tabla3[[#This Row],[Precio unit]]</f>
        <v>0</v>
      </c>
      <c r="X161" s="8"/>
      <c r="Y161" s="8"/>
      <c r="Z161" s="8" t="str">
        <f>+Tabla3[[#This Row],[Referencia]]&amp;Tabla3[[#This Row],[Desc detalle ext 1]]</f>
        <v>CB 160F STD                                       BLANCO PE</v>
      </c>
      <c r="AA161" s="128" t="e">
        <f>+VLOOKUP(Tabla3[[#This Row],[CODIGO2]],ESTANDAR!$B$3:$C$9,2,FALSE)</f>
        <v>#N/A</v>
      </c>
      <c r="AB161" s="128" t="str">
        <f>+MID(Tabla3[[#This Row],['# Viaje]],10,1)</f>
        <v/>
      </c>
    </row>
    <row r="162" spans="1:28" ht="15" hidden="1" customHeight="1">
      <c r="A162" s="173" t="s">
        <v>1489</v>
      </c>
      <c r="B162" s="174">
        <v>42948</v>
      </c>
      <c r="C162" s="173" t="s">
        <v>1231</v>
      </c>
      <c r="D162" s="173" t="s">
        <v>1478</v>
      </c>
      <c r="E162" s="173" t="s">
        <v>1232</v>
      </c>
      <c r="F162" s="173">
        <v>2</v>
      </c>
      <c r="G162" s="173" t="s">
        <v>52</v>
      </c>
      <c r="H162" s="173">
        <v>2</v>
      </c>
      <c r="I162" s="173" t="s">
        <v>1490</v>
      </c>
      <c r="J162" s="173" t="s">
        <v>1451</v>
      </c>
      <c r="K162" s="173" t="s">
        <v>1452</v>
      </c>
      <c r="L162" s="173"/>
      <c r="M162" s="173" t="s">
        <v>121</v>
      </c>
      <c r="N162" s="173">
        <v>816008547</v>
      </c>
      <c r="O162" s="175">
        <v>3696639</v>
      </c>
      <c r="P162" s="7"/>
      <c r="Q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" s="9">
        <f>+IFERROR(VLOOKUP(Tabla3[[#This Row],[Cliente factura]],Tabla4[[NIT]:[TOTAL CREDITO]],6,FALSE),0)</f>
        <v>0</v>
      </c>
      <c r="S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" s="10" t="str">
        <f>VLOOKUP(Tabla3[[#This Row],[Razón social cliente factura]]&amp;Tabla3[[#This Row],[Desc. ciudad]],'Estandar de Rutas'!$C$1:$E$553,2,FALSE)</f>
        <v>4.1.A</v>
      </c>
      <c r="U162" s="130">
        <f>IFERROR(VLOOKUP(Tabla3[[#This Row],[Referencia]]&amp;Tabla3[[#This Row],[Desc detalle ext 1]],Tabla1[[Referencia-Color]:[Disponibilidad]],3,FALSE),0)</f>
        <v>21</v>
      </c>
      <c r="V162" s="13"/>
      <c r="W162" s="17">
        <f>+Tabla3[[#This Row],[Cant. Programada]]*Tabla3[[#This Row],[Precio unit]]</f>
        <v>0</v>
      </c>
      <c r="X162" s="8"/>
      <c r="Y162" s="8"/>
      <c r="Z162" s="8" t="str">
        <f>+Tabla3[[#This Row],[Referencia]]&amp;Tabla3[[#This Row],[Desc detalle ext 1]]</f>
        <v xml:space="preserve">CB 110 DLX                                        AZUL     </v>
      </c>
      <c r="AA162" s="128" t="e">
        <f>+VLOOKUP(Tabla3[[#This Row],[CODIGO2]],ESTANDAR!$B$3:$C$9,2,FALSE)</f>
        <v>#N/A</v>
      </c>
      <c r="AB162" s="128" t="str">
        <f>+MID(Tabla3[[#This Row],['# Viaje]],10,1)</f>
        <v/>
      </c>
    </row>
    <row r="163" spans="1:28" ht="15" hidden="1" customHeight="1">
      <c r="A163" s="173" t="s">
        <v>1489</v>
      </c>
      <c r="B163" s="174">
        <v>42948</v>
      </c>
      <c r="C163" s="173" t="s">
        <v>1231</v>
      </c>
      <c r="D163" s="173" t="s">
        <v>1478</v>
      </c>
      <c r="E163" s="173" t="s">
        <v>1232</v>
      </c>
      <c r="F163" s="173">
        <v>15</v>
      </c>
      <c r="G163" s="173" t="s">
        <v>52</v>
      </c>
      <c r="H163" s="173">
        <v>15</v>
      </c>
      <c r="I163" s="173" t="s">
        <v>1490</v>
      </c>
      <c r="J163" s="173" t="s">
        <v>1451</v>
      </c>
      <c r="K163" s="173" t="s">
        <v>16</v>
      </c>
      <c r="L163" s="173"/>
      <c r="M163" s="173" t="s">
        <v>121</v>
      </c>
      <c r="N163" s="173">
        <v>816008547</v>
      </c>
      <c r="O163" s="175">
        <v>3696639</v>
      </c>
      <c r="P163" s="7"/>
      <c r="Q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" s="9">
        <f>+IFERROR(VLOOKUP(Tabla3[[#This Row],[Cliente factura]],Tabla4[[NIT]:[TOTAL CREDITO]],6,FALSE),0)</f>
        <v>0</v>
      </c>
      <c r="S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" s="10" t="str">
        <f>VLOOKUP(Tabla3[[#This Row],[Razón social cliente factura]]&amp;Tabla3[[#This Row],[Desc. ciudad]],'Estandar de Rutas'!$C$1:$E$553,2,FALSE)</f>
        <v>4.1.A</v>
      </c>
      <c r="U163" s="130">
        <f>IFERROR(VLOOKUP(Tabla3[[#This Row],[Referencia]]&amp;Tabla3[[#This Row],[Desc detalle ext 1]],Tabla1[[Referencia-Color]:[Disponibilidad]],3,FALSE),0)</f>
        <v>3</v>
      </c>
      <c r="V163" s="13"/>
      <c r="W163" s="17">
        <f>+Tabla3[[#This Row],[Cant. Programada]]*Tabla3[[#This Row],[Precio unit]]</f>
        <v>0</v>
      </c>
      <c r="X163" s="8"/>
      <c r="Y163" s="8"/>
      <c r="Z163" s="8" t="str">
        <f>+Tabla3[[#This Row],[Referencia]]&amp;Tabla3[[#This Row],[Desc detalle ext 1]]</f>
        <v xml:space="preserve">CB 110 DLX                                        NEGRO    </v>
      </c>
      <c r="AA163" s="128" t="e">
        <f>+VLOOKUP(Tabla3[[#This Row],[CODIGO2]],ESTANDAR!$B$3:$C$9,2,FALSE)</f>
        <v>#N/A</v>
      </c>
      <c r="AB163" s="128" t="str">
        <f>+MID(Tabla3[[#This Row],['# Viaje]],10,1)</f>
        <v/>
      </c>
    </row>
    <row r="164" spans="1:28" ht="15" hidden="1" customHeight="1">
      <c r="A164" s="173" t="s">
        <v>1491</v>
      </c>
      <c r="B164" s="174">
        <v>42948</v>
      </c>
      <c r="C164" s="173" t="s">
        <v>1231</v>
      </c>
      <c r="D164" s="173" t="s">
        <v>1478</v>
      </c>
      <c r="E164" s="173" t="s">
        <v>1232</v>
      </c>
      <c r="F164" s="173">
        <v>3</v>
      </c>
      <c r="G164" s="173" t="s">
        <v>52</v>
      </c>
      <c r="H164" s="173">
        <v>3</v>
      </c>
      <c r="I164" s="173" t="s">
        <v>1492</v>
      </c>
      <c r="J164" s="173" t="s">
        <v>27</v>
      </c>
      <c r="K164" s="173" t="s">
        <v>26</v>
      </c>
      <c r="L164" s="173"/>
      <c r="M164" s="173" t="s">
        <v>53</v>
      </c>
      <c r="N164" s="173">
        <v>816008547</v>
      </c>
      <c r="O164" s="175">
        <v>5789916</v>
      </c>
      <c r="P164" s="7"/>
      <c r="Q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" s="9">
        <f>+IFERROR(VLOOKUP(Tabla3[[#This Row],[Cliente factura]],Tabla4[[NIT]:[TOTAL CREDITO]],6,FALSE),0)</f>
        <v>0</v>
      </c>
      <c r="S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" s="10" t="str">
        <f>VLOOKUP(Tabla3[[#This Row],[Razón social cliente factura]]&amp;Tabla3[[#This Row],[Desc. ciudad]],'Estandar de Rutas'!$C$1:$E$553,2,FALSE)</f>
        <v>4.1</v>
      </c>
      <c r="U164" s="130">
        <f>IFERROR(VLOOKUP(Tabla3[[#This Row],[Referencia]]&amp;Tabla3[[#This Row],[Desc detalle ext 1]],Tabla1[[Referencia-Color]:[Disponibilidad]],3,FALSE),0)</f>
        <v>59</v>
      </c>
      <c r="V164" s="13"/>
      <c r="W164" s="17">
        <f>+Tabla3[[#This Row],[Cant. Programada]]*Tabla3[[#This Row],[Precio unit]]</f>
        <v>0</v>
      </c>
      <c r="X164" s="8"/>
      <c r="Y164" s="8"/>
      <c r="Z164" s="8" t="str">
        <f>+Tabla3[[#This Row],[Referencia]]&amp;Tabla3[[#This Row],[Desc detalle ext 1]]</f>
        <v>*XR 150L                                          NEGRO BLA</v>
      </c>
      <c r="AA164" s="128" t="e">
        <f>+VLOOKUP(Tabla3[[#This Row],[CODIGO2]],ESTANDAR!$B$3:$C$9,2,FALSE)</f>
        <v>#N/A</v>
      </c>
      <c r="AB164" s="128" t="str">
        <f>+MID(Tabla3[[#This Row],['# Viaje]],10,1)</f>
        <v/>
      </c>
    </row>
    <row r="165" spans="1:28" ht="15" hidden="1" customHeight="1">
      <c r="A165" s="173" t="s">
        <v>1491</v>
      </c>
      <c r="B165" s="174">
        <v>42948</v>
      </c>
      <c r="C165" s="173" t="s">
        <v>1231</v>
      </c>
      <c r="D165" s="173" t="s">
        <v>1478</v>
      </c>
      <c r="E165" s="173" t="s">
        <v>1232</v>
      </c>
      <c r="F165" s="173">
        <v>3</v>
      </c>
      <c r="G165" s="173" t="s">
        <v>52</v>
      </c>
      <c r="H165" s="173">
        <v>3</v>
      </c>
      <c r="I165" s="173" t="s">
        <v>1492</v>
      </c>
      <c r="J165" s="173" t="s">
        <v>27</v>
      </c>
      <c r="K165" s="173" t="s">
        <v>16</v>
      </c>
      <c r="L165" s="173"/>
      <c r="M165" s="173" t="s">
        <v>53</v>
      </c>
      <c r="N165" s="173">
        <v>816008547</v>
      </c>
      <c r="O165" s="175">
        <v>5789916</v>
      </c>
      <c r="P165" s="7"/>
      <c r="Q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" s="9">
        <f>+IFERROR(VLOOKUP(Tabla3[[#This Row],[Cliente factura]],Tabla4[[NIT]:[TOTAL CREDITO]],6,FALSE),0)</f>
        <v>0</v>
      </c>
      <c r="S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" s="10" t="str">
        <f>VLOOKUP(Tabla3[[#This Row],[Razón social cliente factura]]&amp;Tabla3[[#This Row],[Desc. ciudad]],'Estandar de Rutas'!$C$1:$E$553,2,FALSE)</f>
        <v>4.1</v>
      </c>
      <c r="U165" s="130">
        <f>IFERROR(VLOOKUP(Tabla3[[#This Row],[Referencia]]&amp;Tabla3[[#This Row],[Desc detalle ext 1]],Tabla1[[Referencia-Color]:[Disponibilidad]],3,FALSE),0)</f>
        <v>3</v>
      </c>
      <c r="V165" s="13"/>
      <c r="W165" s="17">
        <f>+Tabla3[[#This Row],[Cant. Programada]]*Tabla3[[#This Row],[Precio unit]]</f>
        <v>0</v>
      </c>
      <c r="X165" s="129"/>
      <c r="Y165" s="129"/>
      <c r="Z165" s="8" t="str">
        <f>+Tabla3[[#This Row],[Referencia]]&amp;Tabla3[[#This Row],[Desc detalle ext 1]]</f>
        <v xml:space="preserve">*XR 150L                                          NEGRO    </v>
      </c>
      <c r="AA165" s="128" t="e">
        <f>+VLOOKUP(Tabla3[[#This Row],[CODIGO2]],ESTANDAR!$B$3:$C$9,2,FALSE)</f>
        <v>#N/A</v>
      </c>
      <c r="AB165" s="128" t="str">
        <f>+MID(Tabla3[[#This Row],['# Viaje]],10,1)</f>
        <v/>
      </c>
    </row>
    <row r="166" spans="1:28" ht="15" hidden="1" customHeight="1">
      <c r="A166" s="173" t="s">
        <v>1491</v>
      </c>
      <c r="B166" s="174">
        <v>42948</v>
      </c>
      <c r="C166" s="173" t="s">
        <v>1231</v>
      </c>
      <c r="D166" s="173" t="s">
        <v>1478</v>
      </c>
      <c r="E166" s="173" t="s">
        <v>1232</v>
      </c>
      <c r="F166" s="173">
        <v>2</v>
      </c>
      <c r="G166" s="173" t="s">
        <v>52</v>
      </c>
      <c r="H166" s="173">
        <v>2</v>
      </c>
      <c r="I166" s="173" t="s">
        <v>1492</v>
      </c>
      <c r="J166" s="173" t="s">
        <v>10</v>
      </c>
      <c r="K166" s="173" t="s">
        <v>11</v>
      </c>
      <c r="L166" s="173"/>
      <c r="M166" s="173" t="s">
        <v>53</v>
      </c>
      <c r="N166" s="173">
        <v>816008547</v>
      </c>
      <c r="O166" s="175">
        <v>7554622</v>
      </c>
      <c r="P166" s="7"/>
      <c r="Q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6" s="9">
        <f>+IFERROR(VLOOKUP(Tabla3[[#This Row],[Cliente factura]],Tabla4[[NIT]:[TOTAL CREDITO]],6,FALSE),0)</f>
        <v>0</v>
      </c>
      <c r="S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" s="10" t="str">
        <f>VLOOKUP(Tabla3[[#This Row],[Razón social cliente factura]]&amp;Tabla3[[#This Row],[Desc. ciudad]],'Estandar de Rutas'!$C$1:$E$553,2,FALSE)</f>
        <v>4.1</v>
      </c>
      <c r="U166" s="130">
        <f>IFERROR(VLOOKUP(Tabla3[[#This Row],[Referencia]]&amp;Tabla3[[#This Row],[Desc detalle ext 1]],Tabla1[[Referencia-Color]:[Disponibilidad]],3,FALSE),0)</f>
        <v>0</v>
      </c>
      <c r="V166" s="13"/>
      <c r="W166" s="17">
        <f>+Tabla3[[#This Row],[Cant. Programada]]*Tabla3[[#This Row],[Precio unit]]</f>
        <v>0</v>
      </c>
      <c r="X166" s="129"/>
      <c r="Y166" s="129"/>
      <c r="Z166" s="8" t="str">
        <f>+Tabla3[[#This Row],[Referencia]]&amp;Tabla3[[#This Row],[Desc detalle ext 1]]</f>
        <v>CB 190R                                           NEGRO ONI</v>
      </c>
      <c r="AA166" s="128" t="e">
        <f>+VLOOKUP(Tabla3[[#This Row],[CODIGO2]],ESTANDAR!$B$3:$C$9,2,FALSE)</f>
        <v>#N/A</v>
      </c>
      <c r="AB166" s="128" t="str">
        <f>+MID(Tabla3[[#This Row],['# Viaje]],10,1)</f>
        <v/>
      </c>
    </row>
    <row r="167" spans="1:28" ht="15" hidden="1" customHeight="1">
      <c r="A167" s="173" t="s">
        <v>1491</v>
      </c>
      <c r="B167" s="174">
        <v>42948</v>
      </c>
      <c r="C167" s="173" t="s">
        <v>1231</v>
      </c>
      <c r="D167" s="173" t="s">
        <v>1478</v>
      </c>
      <c r="E167" s="173" t="s">
        <v>1232</v>
      </c>
      <c r="F167" s="173">
        <v>3</v>
      </c>
      <c r="G167" s="173" t="s">
        <v>52</v>
      </c>
      <c r="H167" s="173">
        <v>3</v>
      </c>
      <c r="I167" s="173" t="s">
        <v>1492</v>
      </c>
      <c r="J167" s="173" t="s">
        <v>354</v>
      </c>
      <c r="K167" s="173" t="s">
        <v>474</v>
      </c>
      <c r="L167" s="173"/>
      <c r="M167" s="173" t="s">
        <v>53</v>
      </c>
      <c r="N167" s="173">
        <v>816008547</v>
      </c>
      <c r="O167" s="175">
        <v>6133613</v>
      </c>
      <c r="P167" s="7"/>
      <c r="Q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7" s="9">
        <f>+IFERROR(VLOOKUP(Tabla3[[#This Row],[Cliente factura]],Tabla4[[NIT]:[TOTAL CREDITO]],6,FALSE),0)</f>
        <v>0</v>
      </c>
      <c r="S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" s="10" t="str">
        <f>VLOOKUP(Tabla3[[#This Row],[Razón social cliente factura]]&amp;Tabla3[[#This Row],[Desc. ciudad]],'Estandar de Rutas'!$C$1:$E$553,2,FALSE)</f>
        <v>4.1</v>
      </c>
      <c r="U167" s="130">
        <f>IFERROR(VLOOKUP(Tabla3[[#This Row],[Referencia]]&amp;Tabla3[[#This Row],[Desc detalle ext 1]],Tabla1[[Referencia-Color]:[Disponibilidad]],3,FALSE),0)</f>
        <v>3</v>
      </c>
      <c r="V167" s="13"/>
      <c r="W167" s="17">
        <f>+Tabla3[[#This Row],[Cant. Programada]]*Tabla3[[#This Row],[Precio unit]]</f>
        <v>0</v>
      </c>
      <c r="X167" s="129"/>
      <c r="Y167" s="129"/>
      <c r="Z167" s="8" t="str">
        <f>+Tabla3[[#This Row],[Referencia]]&amp;Tabla3[[#This Row],[Desc detalle ext 1]]</f>
        <v>CB 160F DLX                                       NARANJA N</v>
      </c>
      <c r="AA167" s="128" t="e">
        <f>+VLOOKUP(Tabla3[[#This Row],[CODIGO2]],ESTANDAR!$B$3:$C$9,2,FALSE)</f>
        <v>#N/A</v>
      </c>
      <c r="AB167" s="128" t="str">
        <f>+MID(Tabla3[[#This Row],['# Viaje]],10,1)</f>
        <v/>
      </c>
    </row>
    <row r="168" spans="1:28" ht="15" hidden="1" customHeight="1">
      <c r="A168" s="173" t="s">
        <v>1491</v>
      </c>
      <c r="B168" s="174">
        <v>42948</v>
      </c>
      <c r="C168" s="173" t="s">
        <v>1231</v>
      </c>
      <c r="D168" s="173" t="s">
        <v>1478</v>
      </c>
      <c r="E168" s="173" t="s">
        <v>1232</v>
      </c>
      <c r="F168" s="173">
        <v>5</v>
      </c>
      <c r="G168" s="173" t="s">
        <v>52</v>
      </c>
      <c r="H168" s="173">
        <v>5</v>
      </c>
      <c r="I168" s="173" t="s">
        <v>1492</v>
      </c>
      <c r="J168" s="173" t="s">
        <v>354</v>
      </c>
      <c r="K168" s="173" t="s">
        <v>355</v>
      </c>
      <c r="L168" s="173"/>
      <c r="M168" s="173" t="s">
        <v>53</v>
      </c>
      <c r="N168" s="173">
        <v>816008547</v>
      </c>
      <c r="O168" s="175">
        <v>6133613</v>
      </c>
      <c r="P168" s="7"/>
      <c r="Q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8" s="9">
        <f>+IFERROR(VLOOKUP(Tabla3[[#This Row],[Cliente factura]],Tabla4[[NIT]:[TOTAL CREDITO]],6,FALSE),0)</f>
        <v>0</v>
      </c>
      <c r="S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" s="10" t="str">
        <f>VLOOKUP(Tabla3[[#This Row],[Razón social cliente factura]]&amp;Tabla3[[#This Row],[Desc. ciudad]],'Estandar de Rutas'!$C$1:$E$553,2,FALSE)</f>
        <v>4.1</v>
      </c>
      <c r="U168" s="130">
        <f>IFERROR(VLOOKUP(Tabla3[[#This Row],[Referencia]]&amp;Tabla3[[#This Row],[Desc detalle ext 1]],Tabla1[[Referencia-Color]:[Disponibilidad]],3,FALSE),0)</f>
        <v>0</v>
      </c>
      <c r="V168" s="13"/>
      <c r="W168" s="17">
        <f>+Tabla3[[#This Row],[Cant. Programada]]*Tabla3[[#This Row],[Precio unit]]</f>
        <v>0</v>
      </c>
      <c r="X168" s="8"/>
      <c r="Y168" s="8"/>
      <c r="Z168" s="8" t="str">
        <f>+Tabla3[[#This Row],[Referencia]]&amp;Tabla3[[#This Row],[Desc detalle ext 1]]</f>
        <v>CB 160F DLX                                       NEGRO PER</v>
      </c>
      <c r="AA168" s="128" t="e">
        <f>+VLOOKUP(Tabla3[[#This Row],[CODIGO2]],ESTANDAR!$B$3:$C$9,2,FALSE)</f>
        <v>#N/A</v>
      </c>
      <c r="AB168" s="128" t="str">
        <f>+MID(Tabla3[[#This Row],['# Viaje]],10,1)</f>
        <v/>
      </c>
    </row>
    <row r="169" spans="1:28" ht="15" hidden="1" customHeight="1">
      <c r="A169" s="173" t="s">
        <v>1491</v>
      </c>
      <c r="B169" s="174">
        <v>42948</v>
      </c>
      <c r="C169" s="173" t="s">
        <v>1231</v>
      </c>
      <c r="D169" s="173" t="s">
        <v>1478</v>
      </c>
      <c r="E169" s="173" t="s">
        <v>1232</v>
      </c>
      <c r="F169" s="173">
        <v>4</v>
      </c>
      <c r="G169" s="173" t="s">
        <v>52</v>
      </c>
      <c r="H169" s="173">
        <v>4</v>
      </c>
      <c r="I169" s="173" t="s">
        <v>1492</v>
      </c>
      <c r="J169" s="173" t="s">
        <v>1433</v>
      </c>
      <c r="K169" s="173" t="s">
        <v>1431</v>
      </c>
      <c r="L169" s="173"/>
      <c r="M169" s="173" t="s">
        <v>53</v>
      </c>
      <c r="N169" s="173">
        <v>816008547</v>
      </c>
      <c r="O169" s="175">
        <v>3521008</v>
      </c>
      <c r="P169" s="7"/>
      <c r="Q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9" s="9">
        <f>+IFERROR(VLOOKUP(Tabla3[[#This Row],[Cliente factura]],Tabla4[[NIT]:[TOTAL CREDITO]],6,FALSE),0)</f>
        <v>0</v>
      </c>
      <c r="S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" s="10" t="str">
        <f>VLOOKUP(Tabla3[[#This Row],[Razón social cliente factura]]&amp;Tabla3[[#This Row],[Desc. ciudad]],'Estandar de Rutas'!$C$1:$E$553,2,FALSE)</f>
        <v>4.1</v>
      </c>
      <c r="U169" s="130">
        <f>IFERROR(VLOOKUP(Tabla3[[#This Row],[Referencia]]&amp;Tabla3[[#This Row],[Desc detalle ext 1]],Tabla1[[Referencia-Color]:[Disponibilidad]],3,FALSE),0)</f>
        <v>0</v>
      </c>
      <c r="V169" s="13"/>
      <c r="W169" s="17">
        <f>+Tabla3[[#This Row],[Cant. Programada]]*Tabla3[[#This Row],[Precio unit]]</f>
        <v>0</v>
      </c>
      <c r="X169" s="8"/>
      <c r="Y169" s="8"/>
      <c r="Z169" s="8" t="str">
        <f>+Tabla3[[#This Row],[Referencia]]&amp;Tabla3[[#This Row],[Desc detalle ext 1]]</f>
        <v xml:space="preserve">DIO  110                                          ROJO     </v>
      </c>
      <c r="AA169" s="128" t="e">
        <f>+VLOOKUP(Tabla3[[#This Row],[CODIGO2]],ESTANDAR!$B$3:$C$9,2,FALSE)</f>
        <v>#N/A</v>
      </c>
      <c r="AB169" s="128" t="str">
        <f>+MID(Tabla3[[#This Row],['# Viaje]],10,1)</f>
        <v/>
      </c>
    </row>
    <row r="170" spans="1:28" ht="15" hidden="1" customHeight="1">
      <c r="A170" s="173" t="s">
        <v>1491</v>
      </c>
      <c r="B170" s="174">
        <v>42948</v>
      </c>
      <c r="C170" s="173" t="s">
        <v>1231</v>
      </c>
      <c r="D170" s="173" t="s">
        <v>1478</v>
      </c>
      <c r="E170" s="173" t="s">
        <v>1232</v>
      </c>
      <c r="F170" s="173">
        <v>1</v>
      </c>
      <c r="G170" s="173" t="s">
        <v>52</v>
      </c>
      <c r="H170" s="173">
        <v>1</v>
      </c>
      <c r="I170" s="173" t="s">
        <v>1492</v>
      </c>
      <c r="J170" s="173" t="s">
        <v>1433</v>
      </c>
      <c r="K170" s="173" t="s">
        <v>1452</v>
      </c>
      <c r="L170" s="173"/>
      <c r="M170" s="173" t="s">
        <v>53</v>
      </c>
      <c r="N170" s="173">
        <v>816008547</v>
      </c>
      <c r="O170" s="175">
        <v>3521008</v>
      </c>
      <c r="P170" s="7"/>
      <c r="Q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0" s="9">
        <f>+IFERROR(VLOOKUP(Tabla3[[#This Row],[Cliente factura]],Tabla4[[NIT]:[TOTAL CREDITO]],6,FALSE),0)</f>
        <v>0</v>
      </c>
      <c r="S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" s="10" t="str">
        <f>VLOOKUP(Tabla3[[#This Row],[Razón social cliente factura]]&amp;Tabla3[[#This Row],[Desc. ciudad]],'Estandar de Rutas'!$C$1:$E$553,2,FALSE)</f>
        <v>4.1</v>
      </c>
      <c r="U170" s="130">
        <f>IFERROR(VLOOKUP(Tabla3[[#This Row],[Referencia]]&amp;Tabla3[[#This Row],[Desc detalle ext 1]],Tabla1[[Referencia-Color]:[Disponibilidad]],3,FALSE),0)</f>
        <v>0</v>
      </c>
      <c r="V170" s="13"/>
      <c r="W170" s="17">
        <f>+Tabla3[[#This Row],[Cant. Programada]]*Tabla3[[#This Row],[Precio unit]]</f>
        <v>0</v>
      </c>
      <c r="X170" s="8"/>
      <c r="Y170" s="8"/>
      <c r="Z170" s="8" t="str">
        <f>+Tabla3[[#This Row],[Referencia]]&amp;Tabla3[[#This Row],[Desc detalle ext 1]]</f>
        <v xml:space="preserve">DIO  110                                          AZUL     </v>
      </c>
      <c r="AA170" s="128" t="e">
        <f>+VLOOKUP(Tabla3[[#This Row],[CODIGO2]],ESTANDAR!$B$3:$C$9,2,FALSE)</f>
        <v>#N/A</v>
      </c>
      <c r="AB170" s="128" t="str">
        <f>+MID(Tabla3[[#This Row],['# Viaje]],10,1)</f>
        <v/>
      </c>
    </row>
    <row r="171" spans="1:28" ht="15" hidden="1" customHeight="1">
      <c r="A171" s="173" t="s">
        <v>1491</v>
      </c>
      <c r="B171" s="174">
        <v>42948</v>
      </c>
      <c r="C171" s="173" t="s">
        <v>1231</v>
      </c>
      <c r="D171" s="173" t="s">
        <v>1478</v>
      </c>
      <c r="E171" s="173" t="s">
        <v>1232</v>
      </c>
      <c r="F171" s="173">
        <v>4</v>
      </c>
      <c r="G171" s="173" t="s">
        <v>52</v>
      </c>
      <c r="H171" s="173">
        <v>4</v>
      </c>
      <c r="I171" s="173" t="s">
        <v>1492</v>
      </c>
      <c r="J171" s="173" t="s">
        <v>1428</v>
      </c>
      <c r="K171" s="173" t="s">
        <v>32</v>
      </c>
      <c r="L171" s="173"/>
      <c r="M171" s="173" t="s">
        <v>53</v>
      </c>
      <c r="N171" s="173">
        <v>816008547</v>
      </c>
      <c r="O171" s="175">
        <v>3067227</v>
      </c>
      <c r="P171" s="7"/>
      <c r="Q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1" s="9">
        <f>+IFERROR(VLOOKUP(Tabla3[[#This Row],[Cliente factura]],Tabla4[[NIT]:[TOTAL CREDITO]],6,FALSE),0)</f>
        <v>0</v>
      </c>
      <c r="S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" s="10" t="str">
        <f>VLOOKUP(Tabla3[[#This Row],[Razón social cliente factura]]&amp;Tabla3[[#This Row],[Desc. ciudad]],'Estandar de Rutas'!$C$1:$E$553,2,FALSE)</f>
        <v>4.1</v>
      </c>
      <c r="U171" s="130">
        <f>IFERROR(VLOOKUP(Tabla3[[#This Row],[Referencia]]&amp;Tabla3[[#This Row],[Desc detalle ext 1]],Tabla1[[Referencia-Color]:[Disponibilidad]],3,FALSE),0)</f>
        <v>0</v>
      </c>
      <c r="V171" s="13"/>
      <c r="W171" s="17">
        <f>+Tabla3[[#This Row],[Cant. Programada]]*Tabla3[[#This Row],[Precio unit]]</f>
        <v>0</v>
      </c>
      <c r="X171" s="8"/>
      <c r="Y171" s="8"/>
      <c r="Z171" s="8" t="str">
        <f>+Tabla3[[#This Row],[Referencia]]&amp;Tabla3[[#This Row],[Desc detalle ext 1]]</f>
        <v>DREAM  NEO                                        NEGRO ROJ</v>
      </c>
      <c r="AA171" s="128" t="e">
        <f>+VLOOKUP(Tabla3[[#This Row],[CODIGO2]],ESTANDAR!$B$3:$C$9,2,FALSE)</f>
        <v>#N/A</v>
      </c>
      <c r="AB171" s="128" t="str">
        <f>+MID(Tabla3[[#This Row],['# Viaje]],10,1)</f>
        <v/>
      </c>
    </row>
    <row r="172" spans="1:28" ht="15" hidden="1" customHeight="1">
      <c r="A172" s="173" t="s">
        <v>1491</v>
      </c>
      <c r="B172" s="174">
        <v>42948</v>
      </c>
      <c r="C172" s="173" t="s">
        <v>1231</v>
      </c>
      <c r="D172" s="173" t="s">
        <v>1478</v>
      </c>
      <c r="E172" s="173" t="s">
        <v>1232</v>
      </c>
      <c r="F172" s="173">
        <v>3</v>
      </c>
      <c r="G172" s="173" t="s">
        <v>52</v>
      </c>
      <c r="H172" s="173">
        <v>3</v>
      </c>
      <c r="I172" s="173" t="s">
        <v>1492</v>
      </c>
      <c r="J172" s="173" t="s">
        <v>1430</v>
      </c>
      <c r="K172" s="173" t="s">
        <v>1431</v>
      </c>
      <c r="L172" s="173"/>
      <c r="M172" s="173" t="s">
        <v>53</v>
      </c>
      <c r="N172" s="173">
        <v>816008547</v>
      </c>
      <c r="O172" s="175">
        <v>3941176</v>
      </c>
      <c r="P172" s="7"/>
      <c r="Q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2" s="9">
        <f>+IFERROR(VLOOKUP(Tabla3[[#This Row],[Cliente factura]],Tabla4[[NIT]:[TOTAL CREDITO]],6,FALSE),0)</f>
        <v>0</v>
      </c>
      <c r="S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" s="10" t="str">
        <f>VLOOKUP(Tabla3[[#This Row],[Razón social cliente factura]]&amp;Tabla3[[#This Row],[Desc. ciudad]],'Estandar de Rutas'!$C$1:$E$553,2,FALSE)</f>
        <v>4.1</v>
      </c>
      <c r="U172" s="130">
        <f>IFERROR(VLOOKUP(Tabla3[[#This Row],[Referencia]]&amp;Tabla3[[#This Row],[Desc detalle ext 1]],Tabla1[[Referencia-Color]:[Disponibilidad]],3,FALSE),0)</f>
        <v>0</v>
      </c>
      <c r="V172" s="13"/>
      <c r="W172" s="17">
        <f>+Tabla3[[#This Row],[Cant. Programada]]*Tabla3[[#This Row],[Precio unit]]</f>
        <v>0</v>
      </c>
      <c r="X172" s="8"/>
      <c r="Y172" s="8"/>
      <c r="Z172" s="8" t="str">
        <f>+Tabla3[[#This Row],[Referencia]]&amp;Tabla3[[#This Row],[Desc detalle ext 1]]</f>
        <v xml:space="preserve">WAVE 110S                                         ROJO     </v>
      </c>
      <c r="AA172" s="128" t="e">
        <f>+VLOOKUP(Tabla3[[#This Row],[CODIGO2]],ESTANDAR!$B$3:$C$9,2,FALSE)</f>
        <v>#N/A</v>
      </c>
      <c r="AB172" s="128" t="str">
        <f>+MID(Tabla3[[#This Row],['# Viaje]],10,1)</f>
        <v/>
      </c>
    </row>
    <row r="173" spans="1:28" ht="15" hidden="1" customHeight="1">
      <c r="A173" s="173" t="s">
        <v>1491</v>
      </c>
      <c r="B173" s="174">
        <v>42948</v>
      </c>
      <c r="C173" s="173" t="s">
        <v>1231</v>
      </c>
      <c r="D173" s="173" t="s">
        <v>1478</v>
      </c>
      <c r="E173" s="173" t="s">
        <v>1232</v>
      </c>
      <c r="F173" s="173">
        <v>3</v>
      </c>
      <c r="G173" s="173" t="s">
        <v>52</v>
      </c>
      <c r="H173" s="173">
        <v>3</v>
      </c>
      <c r="I173" s="173" t="s">
        <v>1492</v>
      </c>
      <c r="J173" s="173" t="s">
        <v>1430</v>
      </c>
      <c r="K173" s="173" t="s">
        <v>1432</v>
      </c>
      <c r="L173" s="173"/>
      <c r="M173" s="173" t="s">
        <v>53</v>
      </c>
      <c r="N173" s="173">
        <v>816008547</v>
      </c>
      <c r="O173" s="175">
        <v>3941176</v>
      </c>
      <c r="P173" s="7"/>
      <c r="Q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3" s="9">
        <f>+IFERROR(VLOOKUP(Tabla3[[#This Row],[Cliente factura]],Tabla4[[NIT]:[TOTAL CREDITO]],6,FALSE),0)</f>
        <v>0</v>
      </c>
      <c r="S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" s="10" t="str">
        <f>VLOOKUP(Tabla3[[#This Row],[Razón social cliente factura]]&amp;Tabla3[[#This Row],[Desc. ciudad]],'Estandar de Rutas'!$C$1:$E$553,2,FALSE)</f>
        <v>4.1</v>
      </c>
      <c r="U173" s="130">
        <f>IFERROR(VLOOKUP(Tabla3[[#This Row],[Referencia]]&amp;Tabla3[[#This Row],[Desc detalle ext 1]],Tabla1[[Referencia-Color]:[Disponibilidad]],3,FALSE),0)</f>
        <v>23</v>
      </c>
      <c r="V173" s="13"/>
      <c r="W173" s="17">
        <f>+Tabla3[[#This Row],[Cant. Programada]]*Tabla3[[#This Row],[Precio unit]]</f>
        <v>0</v>
      </c>
      <c r="X173" s="8"/>
      <c r="Y173" s="8"/>
      <c r="Z173" s="8" t="str">
        <f>+Tabla3[[#This Row],[Referencia]]&amp;Tabla3[[#This Row],[Desc detalle ext 1]]</f>
        <v xml:space="preserve">WAVE 110S                                         BLANCO   </v>
      </c>
      <c r="AA173" s="128" t="e">
        <f>+VLOOKUP(Tabla3[[#This Row],[CODIGO2]],ESTANDAR!$B$3:$C$9,2,FALSE)</f>
        <v>#N/A</v>
      </c>
      <c r="AB173" s="128" t="str">
        <f>+MID(Tabla3[[#This Row],['# Viaje]],10,1)</f>
        <v/>
      </c>
    </row>
    <row r="174" spans="1:28" ht="15" hidden="1" customHeight="1">
      <c r="A174" s="173" t="s">
        <v>1491</v>
      </c>
      <c r="B174" s="174">
        <v>42948</v>
      </c>
      <c r="C174" s="173" t="s">
        <v>1231</v>
      </c>
      <c r="D174" s="173" t="s">
        <v>1478</v>
      </c>
      <c r="E174" s="173" t="s">
        <v>1232</v>
      </c>
      <c r="F174" s="173">
        <v>2</v>
      </c>
      <c r="G174" s="173" t="s">
        <v>52</v>
      </c>
      <c r="H174" s="173">
        <v>2</v>
      </c>
      <c r="I174" s="173" t="s">
        <v>1492</v>
      </c>
      <c r="J174" s="173" t="s">
        <v>1234</v>
      </c>
      <c r="K174" s="173" t="s">
        <v>355</v>
      </c>
      <c r="L174" s="173"/>
      <c r="M174" s="173" t="s">
        <v>53</v>
      </c>
      <c r="N174" s="173">
        <v>816008547</v>
      </c>
      <c r="O174" s="175">
        <v>5453782</v>
      </c>
      <c r="P174" s="7"/>
      <c r="Q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4" s="9">
        <f>+IFERROR(VLOOKUP(Tabla3[[#This Row],[Cliente factura]],Tabla4[[NIT]:[TOTAL CREDITO]],6,FALSE),0)</f>
        <v>0</v>
      </c>
      <c r="S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" s="10" t="str">
        <f>VLOOKUP(Tabla3[[#This Row],[Razón social cliente factura]]&amp;Tabla3[[#This Row],[Desc. ciudad]],'Estandar de Rutas'!$C$1:$E$553,2,FALSE)</f>
        <v>4.1</v>
      </c>
      <c r="U174" s="130">
        <f>IFERROR(VLOOKUP(Tabla3[[#This Row],[Referencia]]&amp;Tabla3[[#This Row],[Desc detalle ext 1]],Tabla1[[Referencia-Color]:[Disponibilidad]],3,FALSE),0)</f>
        <v>0</v>
      </c>
      <c r="V174" s="13"/>
      <c r="W174" s="17">
        <f>+Tabla3[[#This Row],[Cant. Programada]]*Tabla3[[#This Row],[Precio unit]]</f>
        <v>0</v>
      </c>
      <c r="X174" s="8"/>
      <c r="Y174" s="8"/>
      <c r="Z174" s="8" t="str">
        <f>+Tabla3[[#This Row],[Referencia]]&amp;Tabla3[[#This Row],[Desc detalle ext 1]]</f>
        <v>CB 160F STD                                       NEGRO PER</v>
      </c>
      <c r="AA174" s="128" t="e">
        <f>+VLOOKUP(Tabla3[[#This Row],[CODIGO2]],ESTANDAR!$B$3:$C$9,2,FALSE)</f>
        <v>#N/A</v>
      </c>
      <c r="AB174" s="128" t="str">
        <f>+MID(Tabla3[[#This Row],['# Viaje]],10,1)</f>
        <v/>
      </c>
    </row>
    <row r="175" spans="1:28" ht="15" hidden="1" customHeight="1">
      <c r="A175" s="173" t="s">
        <v>1491</v>
      </c>
      <c r="B175" s="174">
        <v>42948</v>
      </c>
      <c r="C175" s="173" t="s">
        <v>1231</v>
      </c>
      <c r="D175" s="173" t="s">
        <v>1478</v>
      </c>
      <c r="E175" s="173" t="s">
        <v>1232</v>
      </c>
      <c r="F175" s="173">
        <v>2</v>
      </c>
      <c r="G175" s="173" t="s">
        <v>52</v>
      </c>
      <c r="H175" s="173">
        <v>2</v>
      </c>
      <c r="I175" s="173" t="s">
        <v>1492</v>
      </c>
      <c r="J175" s="173" t="s">
        <v>1234</v>
      </c>
      <c r="K175" s="173" t="s">
        <v>44</v>
      </c>
      <c r="L175" s="173"/>
      <c r="M175" s="173" t="s">
        <v>53</v>
      </c>
      <c r="N175" s="173">
        <v>816008547</v>
      </c>
      <c r="O175" s="175">
        <v>5453782</v>
      </c>
      <c r="P175" s="7"/>
      <c r="Q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" s="9">
        <f>+IFERROR(VLOOKUP(Tabla3[[#This Row],[Cliente factura]],Tabla4[[NIT]:[TOTAL CREDITO]],6,FALSE),0)</f>
        <v>0</v>
      </c>
      <c r="S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" s="10" t="str">
        <f>VLOOKUP(Tabla3[[#This Row],[Razón social cliente factura]]&amp;Tabla3[[#This Row],[Desc. ciudad]],'Estandar de Rutas'!$C$1:$E$553,2,FALSE)</f>
        <v>4.1</v>
      </c>
      <c r="U175" s="130">
        <f>IFERROR(VLOOKUP(Tabla3[[#This Row],[Referencia]]&amp;Tabla3[[#This Row],[Desc detalle ext 1]],Tabla1[[Referencia-Color]:[Disponibilidad]],3,FALSE),0)</f>
        <v>1</v>
      </c>
      <c r="V175" s="13"/>
      <c r="W175" s="17">
        <f>+Tabla3[[#This Row],[Cant. Programada]]*Tabla3[[#This Row],[Precio unit]]</f>
        <v>0</v>
      </c>
      <c r="X175" s="8"/>
      <c r="Y175" s="8"/>
      <c r="Z175" s="8" t="str">
        <f>+Tabla3[[#This Row],[Referencia]]&amp;Tabla3[[#This Row],[Desc detalle ext 1]]</f>
        <v>CB 160F STD                                       BLANCO PE</v>
      </c>
      <c r="AA175" s="128" t="e">
        <f>+VLOOKUP(Tabla3[[#This Row],[CODIGO2]],ESTANDAR!$B$3:$C$9,2,FALSE)</f>
        <v>#N/A</v>
      </c>
      <c r="AB175" s="128" t="str">
        <f>+MID(Tabla3[[#This Row],['# Viaje]],10,1)</f>
        <v/>
      </c>
    </row>
    <row r="176" spans="1:28" ht="15" hidden="1" customHeight="1">
      <c r="A176" s="173" t="s">
        <v>1491</v>
      </c>
      <c r="B176" s="174">
        <v>42948</v>
      </c>
      <c r="C176" s="173" t="s">
        <v>1231</v>
      </c>
      <c r="D176" s="173" t="s">
        <v>1478</v>
      </c>
      <c r="E176" s="173" t="s">
        <v>1232</v>
      </c>
      <c r="F176" s="173">
        <v>10</v>
      </c>
      <c r="G176" s="173" t="s">
        <v>52</v>
      </c>
      <c r="H176" s="173">
        <v>10</v>
      </c>
      <c r="I176" s="173" t="s">
        <v>1492</v>
      </c>
      <c r="J176" s="173" t="s">
        <v>1451</v>
      </c>
      <c r="K176" s="173" t="s">
        <v>16</v>
      </c>
      <c r="L176" s="173"/>
      <c r="M176" s="173" t="s">
        <v>53</v>
      </c>
      <c r="N176" s="173">
        <v>816008547</v>
      </c>
      <c r="O176" s="175">
        <v>3696639</v>
      </c>
      <c r="P176" s="7"/>
      <c r="Q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" s="9">
        <f>+IFERROR(VLOOKUP(Tabla3[[#This Row],[Cliente factura]],Tabla4[[NIT]:[TOTAL CREDITO]],6,FALSE),0)</f>
        <v>0</v>
      </c>
      <c r="S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" s="10" t="str">
        <f>VLOOKUP(Tabla3[[#This Row],[Razón social cliente factura]]&amp;Tabla3[[#This Row],[Desc. ciudad]],'Estandar de Rutas'!$C$1:$E$553,2,FALSE)</f>
        <v>4.1</v>
      </c>
      <c r="U176" s="130">
        <f>IFERROR(VLOOKUP(Tabla3[[#This Row],[Referencia]]&amp;Tabla3[[#This Row],[Desc detalle ext 1]],Tabla1[[Referencia-Color]:[Disponibilidad]],3,FALSE),0)</f>
        <v>3</v>
      </c>
      <c r="V176" s="13"/>
      <c r="W176" s="17">
        <f>+Tabla3[[#This Row],[Cant. Programada]]*Tabla3[[#This Row],[Precio unit]]</f>
        <v>0</v>
      </c>
      <c r="X176" s="8"/>
      <c r="Y176" s="8"/>
      <c r="Z176" s="8" t="str">
        <f>+Tabla3[[#This Row],[Referencia]]&amp;Tabla3[[#This Row],[Desc detalle ext 1]]</f>
        <v xml:space="preserve">CB 110 DLX                                        NEGRO    </v>
      </c>
      <c r="AA176" s="128" t="e">
        <f>+VLOOKUP(Tabla3[[#This Row],[CODIGO2]],ESTANDAR!$B$3:$C$9,2,FALSE)</f>
        <v>#N/A</v>
      </c>
      <c r="AB176" s="128" t="str">
        <f>+MID(Tabla3[[#This Row],['# Viaje]],10,1)</f>
        <v/>
      </c>
    </row>
    <row r="177" spans="1:28" ht="15" hidden="1" customHeight="1">
      <c r="A177" s="173" t="s">
        <v>1493</v>
      </c>
      <c r="B177" s="174">
        <v>42948</v>
      </c>
      <c r="C177" s="173" t="s">
        <v>1231</v>
      </c>
      <c r="D177" s="173" t="s">
        <v>1478</v>
      </c>
      <c r="E177" s="173" t="s">
        <v>1232</v>
      </c>
      <c r="F177" s="173">
        <v>3</v>
      </c>
      <c r="G177" s="173" t="s">
        <v>52</v>
      </c>
      <c r="H177" s="173">
        <v>3</v>
      </c>
      <c r="I177" s="173" t="s">
        <v>1494</v>
      </c>
      <c r="J177" s="173" t="s">
        <v>14</v>
      </c>
      <c r="K177" s="173" t="s">
        <v>16</v>
      </c>
      <c r="L177" s="173"/>
      <c r="M177" s="173" t="s">
        <v>118</v>
      </c>
      <c r="N177" s="173">
        <v>816008547</v>
      </c>
      <c r="O177" s="175">
        <v>3360504</v>
      </c>
      <c r="P177" s="7"/>
      <c r="Q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7" s="9">
        <f>+IFERROR(VLOOKUP(Tabla3[[#This Row],[Cliente factura]],Tabla4[[NIT]:[TOTAL CREDITO]],6,FALSE),0)</f>
        <v>0</v>
      </c>
      <c r="S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" s="10" t="str">
        <f>VLOOKUP(Tabla3[[#This Row],[Razón social cliente factura]]&amp;Tabla3[[#This Row],[Desc. ciudad]],'Estandar de Rutas'!$C$1:$E$553,2,FALSE)</f>
        <v>3.1</v>
      </c>
      <c r="U177" s="130">
        <f>IFERROR(VLOOKUP(Tabla3[[#This Row],[Referencia]]&amp;Tabla3[[#This Row],[Desc detalle ext 1]],Tabla1[[Referencia-Color]:[Disponibilidad]],3,FALSE),0)</f>
        <v>83</v>
      </c>
      <c r="V177" s="13"/>
      <c r="W177" s="17">
        <f>+Tabla3[[#This Row],[Cant. Programada]]*Tabla3[[#This Row],[Precio unit]]</f>
        <v>0</v>
      </c>
      <c r="X177" s="8"/>
      <c r="Y177" s="8"/>
      <c r="Z177" s="8" t="str">
        <f>+Tabla3[[#This Row],[Referencia]]&amp;Tabla3[[#This Row],[Desc detalle ext 1]]</f>
        <v xml:space="preserve">*CB-110                                           NEGRO    </v>
      </c>
      <c r="AA177" s="128" t="e">
        <f>+VLOOKUP(Tabla3[[#This Row],[CODIGO2]],ESTANDAR!$B$3:$C$9,2,FALSE)</f>
        <v>#N/A</v>
      </c>
      <c r="AB177" s="128" t="str">
        <f>+MID(Tabla3[[#This Row],['# Viaje]],10,1)</f>
        <v/>
      </c>
    </row>
    <row r="178" spans="1:28" ht="15" hidden="1" customHeight="1">
      <c r="A178" s="173" t="s">
        <v>1493</v>
      </c>
      <c r="B178" s="174">
        <v>42948</v>
      </c>
      <c r="C178" s="173" t="s">
        <v>1231</v>
      </c>
      <c r="D178" s="173" t="s">
        <v>1478</v>
      </c>
      <c r="E178" s="173" t="s">
        <v>1232</v>
      </c>
      <c r="F178" s="173">
        <v>1</v>
      </c>
      <c r="G178" s="173" t="s">
        <v>52</v>
      </c>
      <c r="H178" s="173">
        <v>1</v>
      </c>
      <c r="I178" s="173" t="s">
        <v>1494</v>
      </c>
      <c r="J178" s="173" t="s">
        <v>27</v>
      </c>
      <c r="K178" s="173" t="s">
        <v>32</v>
      </c>
      <c r="L178" s="173"/>
      <c r="M178" s="173" t="s">
        <v>118</v>
      </c>
      <c r="N178" s="173">
        <v>816008547</v>
      </c>
      <c r="O178" s="175">
        <v>5789916</v>
      </c>
      <c r="P178" s="7"/>
      <c r="Q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" s="9">
        <f>+IFERROR(VLOOKUP(Tabla3[[#This Row],[Cliente factura]],Tabla4[[NIT]:[TOTAL CREDITO]],6,FALSE),0)</f>
        <v>0</v>
      </c>
      <c r="S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" s="10" t="str">
        <f>VLOOKUP(Tabla3[[#This Row],[Razón social cliente factura]]&amp;Tabla3[[#This Row],[Desc. ciudad]],'Estandar de Rutas'!$C$1:$E$553,2,FALSE)</f>
        <v>3.1</v>
      </c>
      <c r="U178" s="130">
        <f>IFERROR(VLOOKUP(Tabla3[[#This Row],[Referencia]]&amp;Tabla3[[#This Row],[Desc detalle ext 1]],Tabla1[[Referencia-Color]:[Disponibilidad]],3,FALSE),0)</f>
        <v>7</v>
      </c>
      <c r="V178" s="13"/>
      <c r="W178" s="17">
        <f>+Tabla3[[#This Row],[Cant. Programada]]*Tabla3[[#This Row],[Precio unit]]</f>
        <v>0</v>
      </c>
      <c r="X178" s="8"/>
      <c r="Y178" s="8"/>
      <c r="Z178" s="8" t="str">
        <f>+Tabla3[[#This Row],[Referencia]]&amp;Tabla3[[#This Row],[Desc detalle ext 1]]</f>
        <v>*XR 150L                                          NEGRO ROJ</v>
      </c>
      <c r="AA178" s="128" t="e">
        <f>+VLOOKUP(Tabla3[[#This Row],[CODIGO2]],ESTANDAR!$B$3:$C$9,2,FALSE)</f>
        <v>#N/A</v>
      </c>
      <c r="AB178" s="128" t="str">
        <f>+MID(Tabla3[[#This Row],['# Viaje]],10,1)</f>
        <v/>
      </c>
    </row>
    <row r="179" spans="1:28" ht="15" hidden="1" customHeight="1">
      <c r="A179" s="173" t="s">
        <v>1493</v>
      </c>
      <c r="B179" s="174">
        <v>42948</v>
      </c>
      <c r="C179" s="173" t="s">
        <v>1231</v>
      </c>
      <c r="D179" s="173" t="s">
        <v>1478</v>
      </c>
      <c r="E179" s="173" t="s">
        <v>1232</v>
      </c>
      <c r="F179" s="173">
        <v>3</v>
      </c>
      <c r="G179" s="173" t="s">
        <v>52</v>
      </c>
      <c r="H179" s="173">
        <v>3</v>
      </c>
      <c r="I179" s="173" t="s">
        <v>1494</v>
      </c>
      <c r="J179" s="173" t="s">
        <v>27</v>
      </c>
      <c r="K179" s="173" t="s">
        <v>26</v>
      </c>
      <c r="L179" s="173"/>
      <c r="M179" s="173" t="s">
        <v>118</v>
      </c>
      <c r="N179" s="173">
        <v>816008547</v>
      </c>
      <c r="O179" s="175">
        <v>5789916</v>
      </c>
      <c r="P179" s="7"/>
      <c r="Q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9" s="9">
        <f>+IFERROR(VLOOKUP(Tabla3[[#This Row],[Cliente factura]],Tabla4[[NIT]:[TOTAL CREDITO]],6,FALSE),0)</f>
        <v>0</v>
      </c>
      <c r="S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" s="10" t="str">
        <f>VLOOKUP(Tabla3[[#This Row],[Razón social cliente factura]]&amp;Tabla3[[#This Row],[Desc. ciudad]],'Estandar de Rutas'!$C$1:$E$553,2,FALSE)</f>
        <v>3.1</v>
      </c>
      <c r="U179" s="130">
        <f>IFERROR(VLOOKUP(Tabla3[[#This Row],[Referencia]]&amp;Tabla3[[#This Row],[Desc detalle ext 1]],Tabla1[[Referencia-Color]:[Disponibilidad]],3,FALSE),0)</f>
        <v>59</v>
      </c>
      <c r="V179" s="13"/>
      <c r="W179" s="17">
        <f>+Tabla3[[#This Row],[Cant. Programada]]*Tabla3[[#This Row],[Precio unit]]</f>
        <v>0</v>
      </c>
      <c r="X179" s="129"/>
      <c r="Y179" s="8"/>
      <c r="Z179" s="8" t="str">
        <f>+Tabla3[[#This Row],[Referencia]]&amp;Tabla3[[#This Row],[Desc detalle ext 1]]</f>
        <v>*XR 150L                                          NEGRO BLA</v>
      </c>
      <c r="AA179" s="128" t="e">
        <f>+VLOOKUP(Tabla3[[#This Row],[CODIGO2]],ESTANDAR!$B$3:$C$9,2,FALSE)</f>
        <v>#N/A</v>
      </c>
      <c r="AB179" s="128" t="str">
        <f>+MID(Tabla3[[#This Row],['# Viaje]],10,1)</f>
        <v/>
      </c>
    </row>
    <row r="180" spans="1:28" ht="15" hidden="1" customHeight="1">
      <c r="A180" s="173" t="s">
        <v>1493</v>
      </c>
      <c r="B180" s="174">
        <v>42948</v>
      </c>
      <c r="C180" s="173" t="s">
        <v>1231</v>
      </c>
      <c r="D180" s="173" t="s">
        <v>1478</v>
      </c>
      <c r="E180" s="173" t="s">
        <v>1232</v>
      </c>
      <c r="F180" s="173">
        <v>3</v>
      </c>
      <c r="G180" s="173" t="s">
        <v>52</v>
      </c>
      <c r="H180" s="173">
        <v>3</v>
      </c>
      <c r="I180" s="173" t="s">
        <v>1494</v>
      </c>
      <c r="J180" s="173" t="s">
        <v>27</v>
      </c>
      <c r="K180" s="173" t="s">
        <v>16</v>
      </c>
      <c r="L180" s="173"/>
      <c r="M180" s="173" t="s">
        <v>118</v>
      </c>
      <c r="N180" s="173">
        <v>816008547</v>
      </c>
      <c r="O180" s="175">
        <v>5789916</v>
      </c>
      <c r="P180" s="7"/>
      <c r="Q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0" s="9">
        <f>+IFERROR(VLOOKUP(Tabla3[[#This Row],[Cliente factura]],Tabla4[[NIT]:[TOTAL CREDITO]],6,FALSE),0)</f>
        <v>0</v>
      </c>
      <c r="S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" s="10" t="str">
        <f>VLOOKUP(Tabla3[[#This Row],[Razón social cliente factura]]&amp;Tabla3[[#This Row],[Desc. ciudad]],'Estandar de Rutas'!$C$1:$E$553,2,FALSE)</f>
        <v>3.1</v>
      </c>
      <c r="U180" s="130">
        <f>IFERROR(VLOOKUP(Tabla3[[#This Row],[Referencia]]&amp;Tabla3[[#This Row],[Desc detalle ext 1]],Tabla1[[Referencia-Color]:[Disponibilidad]],3,FALSE),0)</f>
        <v>3</v>
      </c>
      <c r="V180" s="13"/>
      <c r="W180" s="17">
        <f>+Tabla3[[#This Row],[Cant. Programada]]*Tabla3[[#This Row],[Precio unit]]</f>
        <v>0</v>
      </c>
      <c r="X180" s="8"/>
      <c r="Y180" s="8"/>
      <c r="Z180" s="8" t="str">
        <f>+Tabla3[[#This Row],[Referencia]]&amp;Tabla3[[#This Row],[Desc detalle ext 1]]</f>
        <v xml:space="preserve">*XR 150L                                          NEGRO    </v>
      </c>
      <c r="AA180" s="128" t="e">
        <f>+VLOOKUP(Tabla3[[#This Row],[CODIGO2]],ESTANDAR!$B$3:$C$9,2,FALSE)</f>
        <v>#N/A</v>
      </c>
      <c r="AB180" s="128" t="str">
        <f>+MID(Tabla3[[#This Row],['# Viaje]],10,1)</f>
        <v/>
      </c>
    </row>
    <row r="181" spans="1:28" ht="15" hidden="1" customHeight="1">
      <c r="A181" s="173" t="s">
        <v>1493</v>
      </c>
      <c r="B181" s="174">
        <v>42948</v>
      </c>
      <c r="C181" s="173" t="s">
        <v>1231</v>
      </c>
      <c r="D181" s="173" t="s">
        <v>1478</v>
      </c>
      <c r="E181" s="173" t="s">
        <v>1232</v>
      </c>
      <c r="F181" s="173">
        <v>1</v>
      </c>
      <c r="G181" s="173" t="s">
        <v>52</v>
      </c>
      <c r="H181" s="173">
        <v>1</v>
      </c>
      <c r="I181" s="173" t="s">
        <v>1494</v>
      </c>
      <c r="J181" s="173" t="s">
        <v>10</v>
      </c>
      <c r="K181" s="173" t="s">
        <v>11</v>
      </c>
      <c r="L181" s="173"/>
      <c r="M181" s="173" t="s">
        <v>118</v>
      </c>
      <c r="N181" s="173">
        <v>816008547</v>
      </c>
      <c r="O181" s="175">
        <v>7554622</v>
      </c>
      <c r="P181" s="7"/>
      <c r="Q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" s="9">
        <f>+IFERROR(VLOOKUP(Tabla3[[#This Row],[Cliente factura]],Tabla4[[NIT]:[TOTAL CREDITO]],6,FALSE),0)</f>
        <v>0</v>
      </c>
      <c r="S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" s="10" t="str">
        <f>VLOOKUP(Tabla3[[#This Row],[Razón social cliente factura]]&amp;Tabla3[[#This Row],[Desc. ciudad]],'Estandar de Rutas'!$C$1:$E$553,2,FALSE)</f>
        <v>3.1</v>
      </c>
      <c r="U181" s="130">
        <f>IFERROR(VLOOKUP(Tabla3[[#This Row],[Referencia]]&amp;Tabla3[[#This Row],[Desc detalle ext 1]],Tabla1[[Referencia-Color]:[Disponibilidad]],3,FALSE),0)</f>
        <v>0</v>
      </c>
      <c r="V181" s="13"/>
      <c r="W181" s="17">
        <f>+Tabla3[[#This Row],[Cant. Programada]]*Tabla3[[#This Row],[Precio unit]]</f>
        <v>0</v>
      </c>
      <c r="X181" s="8"/>
      <c r="Y181" s="8"/>
      <c r="Z181" s="8" t="str">
        <f>+Tabla3[[#This Row],[Referencia]]&amp;Tabla3[[#This Row],[Desc detalle ext 1]]</f>
        <v>CB 190R                                           NEGRO ONI</v>
      </c>
      <c r="AA181" s="128" t="e">
        <f>+VLOOKUP(Tabla3[[#This Row],[CODIGO2]],ESTANDAR!$B$3:$C$9,2,FALSE)</f>
        <v>#N/A</v>
      </c>
      <c r="AB181" s="128" t="str">
        <f>+MID(Tabla3[[#This Row],['# Viaje]],10,1)</f>
        <v/>
      </c>
    </row>
    <row r="182" spans="1:28" ht="15" hidden="1" customHeight="1">
      <c r="A182" s="173" t="s">
        <v>1493</v>
      </c>
      <c r="B182" s="174">
        <v>42948</v>
      </c>
      <c r="C182" s="173" t="s">
        <v>1231</v>
      </c>
      <c r="D182" s="173" t="s">
        <v>1478</v>
      </c>
      <c r="E182" s="173" t="s">
        <v>1232</v>
      </c>
      <c r="F182" s="173">
        <v>2</v>
      </c>
      <c r="G182" s="173" t="s">
        <v>52</v>
      </c>
      <c r="H182" s="173">
        <v>2</v>
      </c>
      <c r="I182" s="173" t="s">
        <v>1494</v>
      </c>
      <c r="J182" s="173" t="s">
        <v>354</v>
      </c>
      <c r="K182" s="173" t="s">
        <v>474</v>
      </c>
      <c r="L182" s="173"/>
      <c r="M182" s="173" t="s">
        <v>118</v>
      </c>
      <c r="N182" s="173">
        <v>816008547</v>
      </c>
      <c r="O182" s="175">
        <v>6133613</v>
      </c>
      <c r="P182" s="7"/>
      <c r="Q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" s="9">
        <f>+IFERROR(VLOOKUP(Tabla3[[#This Row],[Cliente factura]],Tabla4[[NIT]:[TOTAL CREDITO]],6,FALSE),0)</f>
        <v>0</v>
      </c>
      <c r="S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" s="10" t="str">
        <f>VLOOKUP(Tabla3[[#This Row],[Razón social cliente factura]]&amp;Tabla3[[#This Row],[Desc. ciudad]],'Estandar de Rutas'!$C$1:$E$553,2,FALSE)</f>
        <v>3.1</v>
      </c>
      <c r="U182" s="130">
        <f>IFERROR(VLOOKUP(Tabla3[[#This Row],[Referencia]]&amp;Tabla3[[#This Row],[Desc detalle ext 1]],Tabla1[[Referencia-Color]:[Disponibilidad]],3,FALSE),0)</f>
        <v>3</v>
      </c>
      <c r="V182" s="13"/>
      <c r="W182" s="17">
        <f>+Tabla3[[#This Row],[Cant. Programada]]*Tabla3[[#This Row],[Precio unit]]</f>
        <v>0</v>
      </c>
      <c r="X182" s="8"/>
      <c r="Y182" s="8"/>
      <c r="Z182" s="8" t="str">
        <f>+Tabla3[[#This Row],[Referencia]]&amp;Tabla3[[#This Row],[Desc detalle ext 1]]</f>
        <v>CB 160F DLX                                       NARANJA N</v>
      </c>
      <c r="AA182" s="128" t="e">
        <f>+VLOOKUP(Tabla3[[#This Row],[CODIGO2]],ESTANDAR!$B$3:$C$9,2,FALSE)</f>
        <v>#N/A</v>
      </c>
      <c r="AB182" s="128" t="str">
        <f>+MID(Tabla3[[#This Row],['# Viaje]],10,1)</f>
        <v/>
      </c>
    </row>
    <row r="183" spans="1:28" ht="15" hidden="1" customHeight="1">
      <c r="A183" s="173" t="s">
        <v>1493</v>
      </c>
      <c r="B183" s="174">
        <v>42948</v>
      </c>
      <c r="C183" s="173" t="s">
        <v>1231</v>
      </c>
      <c r="D183" s="173" t="s">
        <v>1478</v>
      </c>
      <c r="E183" s="173" t="s">
        <v>1232</v>
      </c>
      <c r="F183" s="173">
        <v>5</v>
      </c>
      <c r="G183" s="173" t="s">
        <v>52</v>
      </c>
      <c r="H183" s="173">
        <v>5</v>
      </c>
      <c r="I183" s="173" t="s">
        <v>1494</v>
      </c>
      <c r="J183" s="173" t="s">
        <v>354</v>
      </c>
      <c r="K183" s="173" t="s">
        <v>355</v>
      </c>
      <c r="L183" s="173"/>
      <c r="M183" s="173" t="s">
        <v>118</v>
      </c>
      <c r="N183" s="173">
        <v>816008547</v>
      </c>
      <c r="O183" s="175">
        <v>6133613</v>
      </c>
      <c r="P183" s="7"/>
      <c r="Q1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3" s="9">
        <f>+IFERROR(VLOOKUP(Tabla3[[#This Row],[Cliente factura]],Tabla4[[NIT]:[TOTAL CREDITO]],6,FALSE),0)</f>
        <v>0</v>
      </c>
      <c r="S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3" s="10" t="str">
        <f>VLOOKUP(Tabla3[[#This Row],[Razón social cliente factura]]&amp;Tabla3[[#This Row],[Desc. ciudad]],'Estandar de Rutas'!$C$1:$E$553,2,FALSE)</f>
        <v>3.1</v>
      </c>
      <c r="U183" s="130">
        <f>IFERROR(VLOOKUP(Tabla3[[#This Row],[Referencia]]&amp;Tabla3[[#This Row],[Desc detalle ext 1]],Tabla1[[Referencia-Color]:[Disponibilidad]],3,FALSE),0)</f>
        <v>0</v>
      </c>
      <c r="V183" s="13"/>
      <c r="W183" s="17">
        <f>+Tabla3[[#This Row],[Cant. Programada]]*Tabla3[[#This Row],[Precio unit]]</f>
        <v>0</v>
      </c>
      <c r="X183" s="129"/>
      <c r="Y183" s="129"/>
      <c r="Z183" s="8" t="str">
        <f>+Tabla3[[#This Row],[Referencia]]&amp;Tabla3[[#This Row],[Desc detalle ext 1]]</f>
        <v>CB 160F DLX                                       NEGRO PER</v>
      </c>
      <c r="AA183" s="128" t="e">
        <f>+VLOOKUP(Tabla3[[#This Row],[CODIGO2]],ESTANDAR!$B$3:$C$9,2,FALSE)</f>
        <v>#N/A</v>
      </c>
      <c r="AB183" s="128" t="str">
        <f>+MID(Tabla3[[#This Row],['# Viaje]],10,1)</f>
        <v/>
      </c>
    </row>
    <row r="184" spans="1:28" ht="15" hidden="1" customHeight="1">
      <c r="A184" s="173" t="s">
        <v>1493</v>
      </c>
      <c r="B184" s="174">
        <v>42948</v>
      </c>
      <c r="C184" s="173" t="s">
        <v>1231</v>
      </c>
      <c r="D184" s="173" t="s">
        <v>1478</v>
      </c>
      <c r="E184" s="173" t="s">
        <v>1232</v>
      </c>
      <c r="F184" s="173">
        <v>1</v>
      </c>
      <c r="G184" s="173" t="s">
        <v>52</v>
      </c>
      <c r="H184" s="173">
        <v>1</v>
      </c>
      <c r="I184" s="173" t="s">
        <v>1494</v>
      </c>
      <c r="J184" s="173" t="s">
        <v>1433</v>
      </c>
      <c r="K184" s="173" t="s">
        <v>1452</v>
      </c>
      <c r="L184" s="173"/>
      <c r="M184" s="173" t="s">
        <v>118</v>
      </c>
      <c r="N184" s="173">
        <v>816008547</v>
      </c>
      <c r="O184" s="175">
        <v>3521008</v>
      </c>
      <c r="P184" s="7"/>
      <c r="Q1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4" s="9">
        <f>+IFERROR(VLOOKUP(Tabla3[[#This Row],[Cliente factura]],Tabla4[[NIT]:[TOTAL CREDITO]],6,FALSE),0)</f>
        <v>0</v>
      </c>
      <c r="S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4" s="10" t="str">
        <f>VLOOKUP(Tabla3[[#This Row],[Razón social cliente factura]]&amp;Tabla3[[#This Row],[Desc. ciudad]],'Estandar de Rutas'!$C$1:$E$553,2,FALSE)</f>
        <v>3.1</v>
      </c>
      <c r="U184" s="130">
        <f>IFERROR(VLOOKUP(Tabla3[[#This Row],[Referencia]]&amp;Tabla3[[#This Row],[Desc detalle ext 1]],Tabla1[[Referencia-Color]:[Disponibilidad]],3,FALSE),0)</f>
        <v>0</v>
      </c>
      <c r="V184" s="13"/>
      <c r="W184" s="17">
        <f>+Tabla3[[#This Row],[Cant. Programada]]*Tabla3[[#This Row],[Precio unit]]</f>
        <v>0</v>
      </c>
      <c r="X184" s="8"/>
      <c r="Y184" s="8"/>
      <c r="Z184" s="8" t="str">
        <f>+Tabla3[[#This Row],[Referencia]]&amp;Tabla3[[#This Row],[Desc detalle ext 1]]</f>
        <v xml:space="preserve">DIO  110                                          AZUL     </v>
      </c>
      <c r="AA184" s="128" t="e">
        <f>+VLOOKUP(Tabla3[[#This Row],[CODIGO2]],ESTANDAR!$B$3:$C$9,2,FALSE)</f>
        <v>#N/A</v>
      </c>
      <c r="AB184" s="128" t="str">
        <f>+MID(Tabla3[[#This Row],['# Viaje]],10,1)</f>
        <v/>
      </c>
    </row>
    <row r="185" spans="1:28" ht="15" hidden="1" customHeight="1">
      <c r="A185" s="173" t="s">
        <v>1493</v>
      </c>
      <c r="B185" s="174">
        <v>42948</v>
      </c>
      <c r="C185" s="173" t="s">
        <v>1231</v>
      </c>
      <c r="D185" s="173" t="s">
        <v>1478</v>
      </c>
      <c r="E185" s="173" t="s">
        <v>1232</v>
      </c>
      <c r="F185" s="173">
        <v>2</v>
      </c>
      <c r="G185" s="173" t="s">
        <v>52</v>
      </c>
      <c r="H185" s="173">
        <v>2</v>
      </c>
      <c r="I185" s="173" t="s">
        <v>1494</v>
      </c>
      <c r="J185" s="173" t="s">
        <v>1433</v>
      </c>
      <c r="K185" s="173" t="s">
        <v>1431</v>
      </c>
      <c r="L185" s="173"/>
      <c r="M185" s="173" t="s">
        <v>118</v>
      </c>
      <c r="N185" s="173">
        <v>816008547</v>
      </c>
      <c r="O185" s="175">
        <v>3521008</v>
      </c>
      <c r="P185" s="7"/>
      <c r="Q1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5" s="9">
        <f>+IFERROR(VLOOKUP(Tabla3[[#This Row],[Cliente factura]],Tabla4[[NIT]:[TOTAL CREDITO]],6,FALSE),0)</f>
        <v>0</v>
      </c>
      <c r="S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5" s="10" t="str">
        <f>VLOOKUP(Tabla3[[#This Row],[Razón social cliente factura]]&amp;Tabla3[[#This Row],[Desc. ciudad]],'Estandar de Rutas'!$C$1:$E$553,2,FALSE)</f>
        <v>3.1</v>
      </c>
      <c r="U185" s="130">
        <f>IFERROR(VLOOKUP(Tabla3[[#This Row],[Referencia]]&amp;Tabla3[[#This Row],[Desc detalle ext 1]],Tabla1[[Referencia-Color]:[Disponibilidad]],3,FALSE),0)</f>
        <v>0</v>
      </c>
      <c r="V185" s="13"/>
      <c r="W185" s="17">
        <f>+Tabla3[[#This Row],[Cant. Programada]]*Tabla3[[#This Row],[Precio unit]]</f>
        <v>0</v>
      </c>
      <c r="X185" s="8"/>
      <c r="Y185" s="8"/>
      <c r="Z185" s="8" t="str">
        <f>+Tabla3[[#This Row],[Referencia]]&amp;Tabla3[[#This Row],[Desc detalle ext 1]]</f>
        <v xml:space="preserve">DIO  110                                          ROJO     </v>
      </c>
      <c r="AA185" s="128" t="e">
        <f>+VLOOKUP(Tabla3[[#This Row],[CODIGO2]],ESTANDAR!$B$3:$C$9,2,FALSE)</f>
        <v>#N/A</v>
      </c>
      <c r="AB185" s="128" t="str">
        <f>+MID(Tabla3[[#This Row],['# Viaje]],10,1)</f>
        <v/>
      </c>
    </row>
    <row r="186" spans="1:28" ht="15" hidden="1" customHeight="1">
      <c r="A186" s="173" t="s">
        <v>1493</v>
      </c>
      <c r="B186" s="174">
        <v>42948</v>
      </c>
      <c r="C186" s="173" t="s">
        <v>1231</v>
      </c>
      <c r="D186" s="173" t="s">
        <v>1478</v>
      </c>
      <c r="E186" s="173" t="s">
        <v>1232</v>
      </c>
      <c r="F186" s="173">
        <v>3</v>
      </c>
      <c r="G186" s="173" t="s">
        <v>52</v>
      </c>
      <c r="H186" s="173">
        <v>3</v>
      </c>
      <c r="I186" s="173" t="s">
        <v>1494</v>
      </c>
      <c r="J186" s="173" t="s">
        <v>1428</v>
      </c>
      <c r="K186" s="173" t="s">
        <v>1429</v>
      </c>
      <c r="L186" s="173"/>
      <c r="M186" s="173" t="s">
        <v>118</v>
      </c>
      <c r="N186" s="173">
        <v>816008547</v>
      </c>
      <c r="O186" s="175">
        <v>3067227</v>
      </c>
      <c r="P186" s="7"/>
      <c r="Q1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6" s="9">
        <f>+IFERROR(VLOOKUP(Tabla3[[#This Row],[Cliente factura]],Tabla4[[NIT]:[TOTAL CREDITO]],6,FALSE),0)</f>
        <v>0</v>
      </c>
      <c r="S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6" s="10" t="str">
        <f>VLOOKUP(Tabla3[[#This Row],[Razón social cliente factura]]&amp;Tabla3[[#This Row],[Desc. ciudad]],'Estandar de Rutas'!$C$1:$E$553,2,FALSE)</f>
        <v>3.1</v>
      </c>
      <c r="U186" s="130">
        <f>IFERROR(VLOOKUP(Tabla3[[#This Row],[Referencia]]&amp;Tabla3[[#This Row],[Desc detalle ext 1]],Tabla1[[Referencia-Color]:[Disponibilidad]],3,FALSE),0)</f>
        <v>0</v>
      </c>
      <c r="V186" s="13"/>
      <c r="W186" s="17">
        <f>+Tabla3[[#This Row],[Cant. Programada]]*Tabla3[[#This Row],[Precio unit]]</f>
        <v>0</v>
      </c>
      <c r="X186" s="129"/>
      <c r="Y186" s="129"/>
      <c r="Z186" s="8" t="str">
        <f>+Tabla3[[#This Row],[Referencia]]&amp;Tabla3[[#This Row],[Desc detalle ext 1]]</f>
        <v>DREAM  NEO                                        NEGRO AZU</v>
      </c>
      <c r="AA186" s="128" t="e">
        <f>+VLOOKUP(Tabla3[[#This Row],[CODIGO2]],ESTANDAR!$B$3:$C$9,2,FALSE)</f>
        <v>#N/A</v>
      </c>
      <c r="AB186" s="128" t="str">
        <f>+MID(Tabla3[[#This Row],['# Viaje]],10,1)</f>
        <v/>
      </c>
    </row>
    <row r="187" spans="1:28" ht="15" hidden="1" customHeight="1">
      <c r="A187" s="173" t="s">
        <v>1493</v>
      </c>
      <c r="B187" s="174">
        <v>42948</v>
      </c>
      <c r="C187" s="173" t="s">
        <v>1231</v>
      </c>
      <c r="D187" s="173" t="s">
        <v>1478</v>
      </c>
      <c r="E187" s="173" t="s">
        <v>1232</v>
      </c>
      <c r="F187" s="173">
        <v>2</v>
      </c>
      <c r="G187" s="173" t="s">
        <v>52</v>
      </c>
      <c r="H187" s="173">
        <v>2</v>
      </c>
      <c r="I187" s="173" t="s">
        <v>1494</v>
      </c>
      <c r="J187" s="173" t="s">
        <v>1428</v>
      </c>
      <c r="K187" s="173" t="s">
        <v>32</v>
      </c>
      <c r="L187" s="173"/>
      <c r="M187" s="173" t="s">
        <v>118</v>
      </c>
      <c r="N187" s="173">
        <v>816008547</v>
      </c>
      <c r="O187" s="175">
        <v>3067227</v>
      </c>
      <c r="P187" s="7"/>
      <c r="Q1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7" s="9">
        <f>+IFERROR(VLOOKUP(Tabla3[[#This Row],[Cliente factura]],Tabla4[[NIT]:[TOTAL CREDITO]],6,FALSE),0)</f>
        <v>0</v>
      </c>
      <c r="S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7" s="10" t="str">
        <f>VLOOKUP(Tabla3[[#This Row],[Razón social cliente factura]]&amp;Tabla3[[#This Row],[Desc. ciudad]],'Estandar de Rutas'!$C$1:$E$553,2,FALSE)</f>
        <v>3.1</v>
      </c>
      <c r="U187" s="130">
        <f>IFERROR(VLOOKUP(Tabla3[[#This Row],[Referencia]]&amp;Tabla3[[#This Row],[Desc detalle ext 1]],Tabla1[[Referencia-Color]:[Disponibilidad]],3,FALSE),0)</f>
        <v>0</v>
      </c>
      <c r="V187" s="13"/>
      <c r="W187" s="17">
        <f>+Tabla3[[#This Row],[Cant. Programada]]*Tabla3[[#This Row],[Precio unit]]</f>
        <v>0</v>
      </c>
      <c r="X187" s="8"/>
      <c r="Y187" s="8"/>
      <c r="Z187" s="8" t="str">
        <f>+Tabla3[[#This Row],[Referencia]]&amp;Tabla3[[#This Row],[Desc detalle ext 1]]</f>
        <v>DREAM  NEO                                        NEGRO ROJ</v>
      </c>
      <c r="AA187" s="128" t="e">
        <f>+VLOOKUP(Tabla3[[#This Row],[CODIGO2]],ESTANDAR!$B$3:$C$9,2,FALSE)</f>
        <v>#N/A</v>
      </c>
      <c r="AB187" s="128" t="str">
        <f>+MID(Tabla3[[#This Row],['# Viaje]],10,1)</f>
        <v/>
      </c>
    </row>
    <row r="188" spans="1:28" ht="15" hidden="1" customHeight="1">
      <c r="A188" s="173" t="s">
        <v>1493</v>
      </c>
      <c r="B188" s="174">
        <v>42948</v>
      </c>
      <c r="C188" s="173" t="s">
        <v>1231</v>
      </c>
      <c r="D188" s="173" t="s">
        <v>1478</v>
      </c>
      <c r="E188" s="173" t="s">
        <v>1232</v>
      </c>
      <c r="F188" s="173">
        <v>5</v>
      </c>
      <c r="G188" s="173" t="s">
        <v>52</v>
      </c>
      <c r="H188" s="173">
        <v>5</v>
      </c>
      <c r="I188" s="173" t="s">
        <v>1494</v>
      </c>
      <c r="J188" s="173" t="s">
        <v>1430</v>
      </c>
      <c r="K188" s="173" t="s">
        <v>1431</v>
      </c>
      <c r="L188" s="173"/>
      <c r="M188" s="173" t="s">
        <v>118</v>
      </c>
      <c r="N188" s="173">
        <v>816008547</v>
      </c>
      <c r="O188" s="175">
        <v>3941176</v>
      </c>
      <c r="P188" s="7"/>
      <c r="Q1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8" s="9">
        <f>+IFERROR(VLOOKUP(Tabla3[[#This Row],[Cliente factura]],Tabla4[[NIT]:[TOTAL CREDITO]],6,FALSE),0)</f>
        <v>0</v>
      </c>
      <c r="S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8" s="10" t="str">
        <f>VLOOKUP(Tabla3[[#This Row],[Razón social cliente factura]]&amp;Tabla3[[#This Row],[Desc. ciudad]],'Estandar de Rutas'!$C$1:$E$553,2,FALSE)</f>
        <v>3.1</v>
      </c>
      <c r="U188" s="130">
        <f>IFERROR(VLOOKUP(Tabla3[[#This Row],[Referencia]]&amp;Tabla3[[#This Row],[Desc detalle ext 1]],Tabla1[[Referencia-Color]:[Disponibilidad]],3,FALSE),0)</f>
        <v>0</v>
      </c>
      <c r="V188" s="13"/>
      <c r="W188" s="17">
        <f>+Tabla3[[#This Row],[Cant. Programada]]*Tabla3[[#This Row],[Precio unit]]</f>
        <v>0</v>
      </c>
      <c r="X188" s="129"/>
      <c r="Y188" s="129"/>
      <c r="Z188" s="8" t="str">
        <f>+Tabla3[[#This Row],[Referencia]]&amp;Tabla3[[#This Row],[Desc detalle ext 1]]</f>
        <v xml:space="preserve">WAVE 110S                                         ROJO     </v>
      </c>
      <c r="AA188" s="128" t="e">
        <f>+VLOOKUP(Tabla3[[#This Row],[CODIGO2]],ESTANDAR!$B$3:$C$9,2,FALSE)</f>
        <v>#N/A</v>
      </c>
      <c r="AB188" s="128" t="str">
        <f>+MID(Tabla3[[#This Row],['# Viaje]],10,1)</f>
        <v/>
      </c>
    </row>
    <row r="189" spans="1:28" ht="15" hidden="1" customHeight="1">
      <c r="A189" s="173" t="s">
        <v>1493</v>
      </c>
      <c r="B189" s="174">
        <v>42948</v>
      </c>
      <c r="C189" s="173" t="s">
        <v>1231</v>
      </c>
      <c r="D189" s="173" t="s">
        <v>1478</v>
      </c>
      <c r="E189" s="173" t="s">
        <v>1232</v>
      </c>
      <c r="F189" s="173">
        <v>2</v>
      </c>
      <c r="G189" s="173" t="s">
        <v>52</v>
      </c>
      <c r="H189" s="173">
        <v>2</v>
      </c>
      <c r="I189" s="173" t="s">
        <v>1494</v>
      </c>
      <c r="J189" s="173" t="s">
        <v>1430</v>
      </c>
      <c r="K189" s="173" t="s">
        <v>1432</v>
      </c>
      <c r="L189" s="173"/>
      <c r="M189" s="173" t="s">
        <v>118</v>
      </c>
      <c r="N189" s="173">
        <v>816008547</v>
      </c>
      <c r="O189" s="175">
        <v>3941176</v>
      </c>
      <c r="P189" s="7"/>
      <c r="Q1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9" s="9">
        <f>+IFERROR(VLOOKUP(Tabla3[[#This Row],[Cliente factura]],Tabla4[[NIT]:[TOTAL CREDITO]],6,FALSE),0)</f>
        <v>0</v>
      </c>
      <c r="S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9" s="10" t="str">
        <f>VLOOKUP(Tabla3[[#This Row],[Razón social cliente factura]]&amp;Tabla3[[#This Row],[Desc. ciudad]],'Estandar de Rutas'!$C$1:$E$553,2,FALSE)</f>
        <v>3.1</v>
      </c>
      <c r="U189" s="130">
        <f>IFERROR(VLOOKUP(Tabla3[[#This Row],[Referencia]]&amp;Tabla3[[#This Row],[Desc detalle ext 1]],Tabla1[[Referencia-Color]:[Disponibilidad]],3,FALSE),0)</f>
        <v>23</v>
      </c>
      <c r="V189" s="13"/>
      <c r="W189" s="17">
        <f>+Tabla3[[#This Row],[Cant. Programada]]*Tabla3[[#This Row],[Precio unit]]</f>
        <v>0</v>
      </c>
      <c r="X189" s="8"/>
      <c r="Y189" s="8"/>
      <c r="Z189" s="8" t="str">
        <f>+Tabla3[[#This Row],[Referencia]]&amp;Tabla3[[#This Row],[Desc detalle ext 1]]</f>
        <v xml:space="preserve">WAVE 110S                                         BLANCO   </v>
      </c>
      <c r="AA189" s="128" t="e">
        <f>+VLOOKUP(Tabla3[[#This Row],[CODIGO2]],ESTANDAR!$B$3:$C$9,2,FALSE)</f>
        <v>#N/A</v>
      </c>
      <c r="AB189" s="128" t="str">
        <f>+MID(Tabla3[[#This Row],['# Viaje]],10,1)</f>
        <v/>
      </c>
    </row>
    <row r="190" spans="1:28" ht="15" hidden="1" customHeight="1">
      <c r="A190" s="173" t="s">
        <v>1493</v>
      </c>
      <c r="B190" s="174">
        <v>42948</v>
      </c>
      <c r="C190" s="173" t="s">
        <v>1231</v>
      </c>
      <c r="D190" s="173" t="s">
        <v>1478</v>
      </c>
      <c r="E190" s="173" t="s">
        <v>1232</v>
      </c>
      <c r="F190" s="173">
        <v>1</v>
      </c>
      <c r="G190" s="173" t="s">
        <v>52</v>
      </c>
      <c r="H190" s="173">
        <v>1</v>
      </c>
      <c r="I190" s="173" t="s">
        <v>1494</v>
      </c>
      <c r="J190" s="173" t="s">
        <v>1234</v>
      </c>
      <c r="K190" s="173" t="s">
        <v>44</v>
      </c>
      <c r="L190" s="173"/>
      <c r="M190" s="173" t="s">
        <v>118</v>
      </c>
      <c r="N190" s="173">
        <v>816008547</v>
      </c>
      <c r="O190" s="175">
        <v>5453782</v>
      </c>
      <c r="P190" s="7"/>
      <c r="Q1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0" s="9">
        <f>+IFERROR(VLOOKUP(Tabla3[[#This Row],[Cliente factura]],Tabla4[[NIT]:[TOTAL CREDITO]],6,FALSE),0)</f>
        <v>0</v>
      </c>
      <c r="S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0" s="10" t="str">
        <f>VLOOKUP(Tabla3[[#This Row],[Razón social cliente factura]]&amp;Tabla3[[#This Row],[Desc. ciudad]],'Estandar de Rutas'!$C$1:$E$553,2,FALSE)</f>
        <v>3.1</v>
      </c>
      <c r="U190" s="130">
        <f>IFERROR(VLOOKUP(Tabla3[[#This Row],[Referencia]]&amp;Tabla3[[#This Row],[Desc detalle ext 1]],Tabla1[[Referencia-Color]:[Disponibilidad]],3,FALSE),0)</f>
        <v>1</v>
      </c>
      <c r="V190" s="13"/>
      <c r="W190" s="17">
        <f>+Tabla3[[#This Row],[Cant. Programada]]*Tabla3[[#This Row],[Precio unit]]</f>
        <v>0</v>
      </c>
      <c r="X190" s="8"/>
      <c r="Y190" s="8"/>
      <c r="Z190" s="8" t="str">
        <f>+Tabla3[[#This Row],[Referencia]]&amp;Tabla3[[#This Row],[Desc detalle ext 1]]</f>
        <v>CB 160F STD                                       BLANCO PE</v>
      </c>
      <c r="AA190" s="128" t="e">
        <f>+VLOOKUP(Tabla3[[#This Row],[CODIGO2]],ESTANDAR!$B$3:$C$9,2,FALSE)</f>
        <v>#N/A</v>
      </c>
      <c r="AB190" s="128" t="str">
        <f>+MID(Tabla3[[#This Row],['# Viaje]],10,1)</f>
        <v/>
      </c>
    </row>
    <row r="191" spans="1:28" ht="15" hidden="1" customHeight="1">
      <c r="A191" s="173" t="s">
        <v>1493</v>
      </c>
      <c r="B191" s="174">
        <v>42948</v>
      </c>
      <c r="C191" s="173" t="s">
        <v>1231</v>
      </c>
      <c r="D191" s="173" t="s">
        <v>1478</v>
      </c>
      <c r="E191" s="173" t="s">
        <v>1232</v>
      </c>
      <c r="F191" s="173">
        <v>2</v>
      </c>
      <c r="G191" s="173" t="s">
        <v>52</v>
      </c>
      <c r="H191" s="173">
        <v>2</v>
      </c>
      <c r="I191" s="173" t="s">
        <v>1494</v>
      </c>
      <c r="J191" s="173" t="s">
        <v>1234</v>
      </c>
      <c r="K191" s="173" t="s">
        <v>355</v>
      </c>
      <c r="L191" s="173"/>
      <c r="M191" s="173" t="s">
        <v>118</v>
      </c>
      <c r="N191" s="173">
        <v>816008547</v>
      </c>
      <c r="O191" s="175">
        <v>5453782</v>
      </c>
      <c r="P191" s="7"/>
      <c r="Q1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1" s="9">
        <f>+IFERROR(VLOOKUP(Tabla3[[#This Row],[Cliente factura]],Tabla4[[NIT]:[TOTAL CREDITO]],6,FALSE),0)</f>
        <v>0</v>
      </c>
      <c r="S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1" s="10" t="str">
        <f>VLOOKUP(Tabla3[[#This Row],[Razón social cliente factura]]&amp;Tabla3[[#This Row],[Desc. ciudad]],'Estandar de Rutas'!$C$1:$E$553,2,FALSE)</f>
        <v>3.1</v>
      </c>
      <c r="U191" s="130">
        <f>IFERROR(VLOOKUP(Tabla3[[#This Row],[Referencia]]&amp;Tabla3[[#This Row],[Desc detalle ext 1]],Tabla1[[Referencia-Color]:[Disponibilidad]],3,FALSE),0)</f>
        <v>0</v>
      </c>
      <c r="V191" s="13"/>
      <c r="W191" s="17">
        <f>+Tabla3[[#This Row],[Cant. Programada]]*Tabla3[[#This Row],[Precio unit]]</f>
        <v>0</v>
      </c>
      <c r="X191" s="129"/>
      <c r="Y191" s="129"/>
      <c r="Z191" s="8" t="str">
        <f>+Tabla3[[#This Row],[Referencia]]&amp;Tabla3[[#This Row],[Desc detalle ext 1]]</f>
        <v>CB 160F STD                                       NEGRO PER</v>
      </c>
      <c r="AA191" s="128" t="e">
        <f>+VLOOKUP(Tabla3[[#This Row],[CODIGO2]],ESTANDAR!$B$3:$C$9,2,FALSE)</f>
        <v>#N/A</v>
      </c>
      <c r="AB191" s="128" t="str">
        <f>+MID(Tabla3[[#This Row],['# Viaje]],10,1)</f>
        <v/>
      </c>
    </row>
    <row r="192" spans="1:28" ht="15" hidden="1" customHeight="1">
      <c r="A192" s="173" t="s">
        <v>1493</v>
      </c>
      <c r="B192" s="174">
        <v>42948</v>
      </c>
      <c r="C192" s="173" t="s">
        <v>1231</v>
      </c>
      <c r="D192" s="173" t="s">
        <v>1478</v>
      </c>
      <c r="E192" s="173" t="s">
        <v>1232</v>
      </c>
      <c r="F192" s="173">
        <v>2</v>
      </c>
      <c r="G192" s="173" t="s">
        <v>52</v>
      </c>
      <c r="H192" s="173">
        <v>2</v>
      </c>
      <c r="I192" s="173" t="s">
        <v>1494</v>
      </c>
      <c r="J192" s="173" t="s">
        <v>1451</v>
      </c>
      <c r="K192" s="173" t="s">
        <v>1452</v>
      </c>
      <c r="L192" s="173"/>
      <c r="M192" s="173" t="s">
        <v>118</v>
      </c>
      <c r="N192" s="173">
        <v>816008547</v>
      </c>
      <c r="O192" s="175">
        <v>3696639</v>
      </c>
      <c r="P192" s="7"/>
      <c r="Q1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2" s="9">
        <f>+IFERROR(VLOOKUP(Tabla3[[#This Row],[Cliente factura]],Tabla4[[NIT]:[TOTAL CREDITO]],6,FALSE),0)</f>
        <v>0</v>
      </c>
      <c r="S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2" s="10" t="str">
        <f>VLOOKUP(Tabla3[[#This Row],[Razón social cliente factura]]&amp;Tabla3[[#This Row],[Desc. ciudad]],'Estandar de Rutas'!$C$1:$E$553,2,FALSE)</f>
        <v>3.1</v>
      </c>
      <c r="U192" s="130">
        <f>IFERROR(VLOOKUP(Tabla3[[#This Row],[Referencia]]&amp;Tabla3[[#This Row],[Desc detalle ext 1]],Tabla1[[Referencia-Color]:[Disponibilidad]],3,FALSE),0)</f>
        <v>21</v>
      </c>
      <c r="V192" s="13"/>
      <c r="W192" s="17">
        <f>+Tabla3[[#This Row],[Cant. Programada]]*Tabla3[[#This Row],[Precio unit]]</f>
        <v>0</v>
      </c>
      <c r="X192" s="129"/>
      <c r="Y192" s="129"/>
      <c r="Z192" s="8" t="str">
        <f>+Tabla3[[#This Row],[Referencia]]&amp;Tabla3[[#This Row],[Desc detalle ext 1]]</f>
        <v xml:space="preserve">CB 110 DLX                                        AZUL     </v>
      </c>
      <c r="AA192" s="128" t="e">
        <f>+VLOOKUP(Tabla3[[#This Row],[CODIGO2]],ESTANDAR!$B$3:$C$9,2,FALSE)</f>
        <v>#N/A</v>
      </c>
      <c r="AB192" s="128" t="str">
        <f>+MID(Tabla3[[#This Row],['# Viaje]],10,1)</f>
        <v/>
      </c>
    </row>
    <row r="193" spans="1:28" ht="15" hidden="1" customHeight="1">
      <c r="A193" s="173" t="s">
        <v>1493</v>
      </c>
      <c r="B193" s="174">
        <v>42948</v>
      </c>
      <c r="C193" s="173" t="s">
        <v>1231</v>
      </c>
      <c r="D193" s="173" t="s">
        <v>1478</v>
      </c>
      <c r="E193" s="173" t="s">
        <v>1232</v>
      </c>
      <c r="F193" s="173">
        <v>5</v>
      </c>
      <c r="G193" s="173" t="s">
        <v>52</v>
      </c>
      <c r="H193" s="173">
        <v>5</v>
      </c>
      <c r="I193" s="173" t="s">
        <v>1494</v>
      </c>
      <c r="J193" s="173" t="s">
        <v>1451</v>
      </c>
      <c r="K193" s="173" t="s">
        <v>16</v>
      </c>
      <c r="L193" s="173"/>
      <c r="M193" s="173" t="s">
        <v>118</v>
      </c>
      <c r="N193" s="173">
        <v>816008547</v>
      </c>
      <c r="O193" s="175">
        <v>3696639</v>
      </c>
      <c r="P193" s="7"/>
      <c r="Q1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3" s="9">
        <f>+IFERROR(VLOOKUP(Tabla3[[#This Row],[Cliente factura]],Tabla4[[NIT]:[TOTAL CREDITO]],6,FALSE),0)</f>
        <v>0</v>
      </c>
      <c r="S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3" s="10" t="str">
        <f>VLOOKUP(Tabla3[[#This Row],[Razón social cliente factura]]&amp;Tabla3[[#This Row],[Desc. ciudad]],'Estandar de Rutas'!$C$1:$E$553,2,FALSE)</f>
        <v>3.1</v>
      </c>
      <c r="U193" s="130">
        <f>IFERROR(VLOOKUP(Tabla3[[#This Row],[Referencia]]&amp;Tabla3[[#This Row],[Desc detalle ext 1]],Tabla1[[Referencia-Color]:[Disponibilidad]],3,FALSE),0)</f>
        <v>3</v>
      </c>
      <c r="V193" s="13"/>
      <c r="W193" s="17">
        <f>+Tabla3[[#This Row],[Cant. Programada]]*Tabla3[[#This Row],[Precio unit]]</f>
        <v>0</v>
      </c>
      <c r="X193" s="8"/>
      <c r="Y193" s="8"/>
      <c r="Z193" s="8" t="str">
        <f>+Tabla3[[#This Row],[Referencia]]&amp;Tabla3[[#This Row],[Desc detalle ext 1]]</f>
        <v xml:space="preserve">CB 110 DLX                                        NEGRO    </v>
      </c>
      <c r="AA193" s="128" t="e">
        <f>+VLOOKUP(Tabla3[[#This Row],[CODIGO2]],ESTANDAR!$B$3:$C$9,2,FALSE)</f>
        <v>#N/A</v>
      </c>
      <c r="AB193" s="128" t="str">
        <f>+MID(Tabla3[[#This Row],['# Viaje]],10,1)</f>
        <v/>
      </c>
    </row>
    <row r="194" spans="1:28" ht="15" hidden="1" customHeight="1">
      <c r="A194" s="173" t="s">
        <v>1495</v>
      </c>
      <c r="B194" s="174">
        <v>42948</v>
      </c>
      <c r="C194" s="173" t="s">
        <v>1231</v>
      </c>
      <c r="D194" s="173" t="s">
        <v>1487</v>
      </c>
      <c r="E194" s="173" t="s">
        <v>1232</v>
      </c>
      <c r="F194" s="173">
        <v>3</v>
      </c>
      <c r="G194" s="173" t="s">
        <v>140</v>
      </c>
      <c r="H194" s="173">
        <v>3</v>
      </c>
      <c r="I194" s="173" t="s">
        <v>1496</v>
      </c>
      <c r="J194" s="173" t="s">
        <v>14</v>
      </c>
      <c r="K194" s="173" t="s">
        <v>1417</v>
      </c>
      <c r="L194" s="173"/>
      <c r="M194" s="173" t="s">
        <v>238</v>
      </c>
      <c r="N194" s="173">
        <v>812008359</v>
      </c>
      <c r="O194" s="175">
        <v>3360504</v>
      </c>
      <c r="P194" s="7"/>
      <c r="Q1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4" s="9">
        <f>+IFERROR(VLOOKUP(Tabla3[[#This Row],[Cliente factura]],Tabla4[[NIT]:[TOTAL CREDITO]],6,FALSE),0)</f>
        <v>0</v>
      </c>
      <c r="S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4" s="10" t="str">
        <f>VLOOKUP(Tabla3[[#This Row],[Razón social cliente factura]]&amp;Tabla3[[#This Row],[Desc. ciudad]],'Estandar de Rutas'!$C$1:$E$553,2,FALSE)</f>
        <v>9.2</v>
      </c>
      <c r="U194" s="130">
        <f>IFERROR(VLOOKUP(Tabla3[[#This Row],[Referencia]]&amp;Tabla3[[#This Row],[Desc detalle ext 1]],Tabla1[[Referencia-Color]:[Disponibilidad]],3,FALSE),0)</f>
        <v>24</v>
      </c>
      <c r="V194" s="13"/>
      <c r="W194" s="17">
        <f>+Tabla3[[#This Row],[Cant. Programada]]*Tabla3[[#This Row],[Precio unit]]</f>
        <v>0</v>
      </c>
      <c r="X194" s="8"/>
      <c r="Y194" s="8"/>
      <c r="Z194" s="8" t="str">
        <f>+Tabla3[[#This Row],[Referencia]]&amp;Tabla3[[#This Row],[Desc detalle ext 1]]</f>
        <v xml:space="preserve">*CB-110                                           GRIS MET </v>
      </c>
      <c r="AA194" s="128" t="e">
        <f>+VLOOKUP(Tabla3[[#This Row],[CODIGO2]],ESTANDAR!$B$3:$C$9,2,FALSE)</f>
        <v>#N/A</v>
      </c>
      <c r="AB194" s="128" t="str">
        <f>+MID(Tabla3[[#This Row],['# Viaje]],10,1)</f>
        <v/>
      </c>
    </row>
    <row r="195" spans="1:28" ht="15" hidden="1" customHeight="1">
      <c r="A195" s="173" t="s">
        <v>1495</v>
      </c>
      <c r="B195" s="174">
        <v>42948</v>
      </c>
      <c r="C195" s="173" t="s">
        <v>1231</v>
      </c>
      <c r="D195" s="173" t="s">
        <v>1487</v>
      </c>
      <c r="E195" s="173" t="s">
        <v>1232</v>
      </c>
      <c r="F195" s="173">
        <v>2</v>
      </c>
      <c r="G195" s="173" t="s">
        <v>140</v>
      </c>
      <c r="H195" s="173">
        <v>2</v>
      </c>
      <c r="I195" s="173" t="s">
        <v>1496</v>
      </c>
      <c r="J195" s="173" t="s">
        <v>14</v>
      </c>
      <c r="K195" s="173" t="s">
        <v>15</v>
      </c>
      <c r="L195" s="173"/>
      <c r="M195" s="173" t="s">
        <v>238</v>
      </c>
      <c r="N195" s="173">
        <v>812008359</v>
      </c>
      <c r="O195" s="175">
        <v>3360504</v>
      </c>
      <c r="P195" s="7"/>
      <c r="Q1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5" s="9">
        <f>+IFERROR(VLOOKUP(Tabla3[[#This Row],[Cliente factura]],Tabla4[[NIT]:[TOTAL CREDITO]],6,FALSE),0)</f>
        <v>0</v>
      </c>
      <c r="S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5" s="10" t="str">
        <f>VLOOKUP(Tabla3[[#This Row],[Razón social cliente factura]]&amp;Tabla3[[#This Row],[Desc. ciudad]],'Estandar de Rutas'!$C$1:$E$553,2,FALSE)</f>
        <v>9.2</v>
      </c>
      <c r="U195" s="130">
        <f>IFERROR(VLOOKUP(Tabla3[[#This Row],[Referencia]]&amp;Tabla3[[#This Row],[Desc detalle ext 1]],Tabla1[[Referencia-Color]:[Disponibilidad]],3,FALSE),0)</f>
        <v>99</v>
      </c>
      <c r="V195" s="13"/>
      <c r="W195" s="17">
        <f>+Tabla3[[#This Row],[Cant. Programada]]*Tabla3[[#This Row],[Precio unit]]</f>
        <v>0</v>
      </c>
      <c r="X195" s="8"/>
      <c r="Y195" s="8"/>
      <c r="Z195" s="8" t="str">
        <f>+Tabla3[[#This Row],[Referencia]]&amp;Tabla3[[#This Row],[Desc detalle ext 1]]</f>
        <v>*CB-110                                           AZUL FIJI</v>
      </c>
      <c r="AA195" s="128" t="e">
        <f>+VLOOKUP(Tabla3[[#This Row],[CODIGO2]],ESTANDAR!$B$3:$C$9,2,FALSE)</f>
        <v>#N/A</v>
      </c>
      <c r="AB195" s="128" t="str">
        <f>+MID(Tabla3[[#This Row],['# Viaje]],10,1)</f>
        <v/>
      </c>
    </row>
    <row r="196" spans="1:28" ht="15" hidden="1" customHeight="1">
      <c r="A196" s="173" t="s">
        <v>1495</v>
      </c>
      <c r="B196" s="174">
        <v>42948</v>
      </c>
      <c r="C196" s="173" t="s">
        <v>1231</v>
      </c>
      <c r="D196" s="173" t="s">
        <v>1487</v>
      </c>
      <c r="E196" s="173" t="s">
        <v>1232</v>
      </c>
      <c r="F196" s="173">
        <v>5</v>
      </c>
      <c r="G196" s="173" t="s">
        <v>140</v>
      </c>
      <c r="H196" s="173">
        <v>5</v>
      </c>
      <c r="I196" s="173" t="s">
        <v>1496</v>
      </c>
      <c r="J196" s="173" t="s">
        <v>14</v>
      </c>
      <c r="K196" s="173" t="s">
        <v>16</v>
      </c>
      <c r="L196" s="173"/>
      <c r="M196" s="173" t="s">
        <v>238</v>
      </c>
      <c r="N196" s="173">
        <v>812008359</v>
      </c>
      <c r="O196" s="175">
        <v>3360504</v>
      </c>
      <c r="P196" s="7"/>
      <c r="Q1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6" s="9">
        <f>+IFERROR(VLOOKUP(Tabla3[[#This Row],[Cliente factura]],Tabla4[[NIT]:[TOTAL CREDITO]],6,FALSE),0)</f>
        <v>0</v>
      </c>
      <c r="S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6" s="10" t="str">
        <f>VLOOKUP(Tabla3[[#This Row],[Razón social cliente factura]]&amp;Tabla3[[#This Row],[Desc. ciudad]],'Estandar de Rutas'!$C$1:$E$553,2,FALSE)</f>
        <v>9.2</v>
      </c>
      <c r="U196" s="130">
        <f>IFERROR(VLOOKUP(Tabla3[[#This Row],[Referencia]]&amp;Tabla3[[#This Row],[Desc detalle ext 1]],Tabla1[[Referencia-Color]:[Disponibilidad]],3,FALSE),0)</f>
        <v>83</v>
      </c>
      <c r="V196" s="13"/>
      <c r="W196" s="17">
        <f>+Tabla3[[#This Row],[Cant. Programada]]*Tabla3[[#This Row],[Precio unit]]</f>
        <v>0</v>
      </c>
      <c r="X196" s="8"/>
      <c r="Y196" s="8"/>
      <c r="Z196" s="8" t="str">
        <f>+Tabla3[[#This Row],[Referencia]]&amp;Tabla3[[#This Row],[Desc detalle ext 1]]</f>
        <v xml:space="preserve">*CB-110                                           NEGRO    </v>
      </c>
      <c r="AA196" s="128" t="e">
        <f>+VLOOKUP(Tabla3[[#This Row],[CODIGO2]],ESTANDAR!$B$3:$C$9,2,FALSE)</f>
        <v>#N/A</v>
      </c>
      <c r="AB196" s="128" t="str">
        <f>+MID(Tabla3[[#This Row],['# Viaje]],10,1)</f>
        <v/>
      </c>
    </row>
    <row r="197" spans="1:28" ht="15" hidden="1" customHeight="1">
      <c r="A197" s="173" t="s">
        <v>1495</v>
      </c>
      <c r="B197" s="174">
        <v>42948</v>
      </c>
      <c r="C197" s="173" t="s">
        <v>1231</v>
      </c>
      <c r="D197" s="173" t="s">
        <v>1487</v>
      </c>
      <c r="E197" s="173" t="s">
        <v>1232</v>
      </c>
      <c r="F197" s="173">
        <v>1</v>
      </c>
      <c r="G197" s="173" t="s">
        <v>140</v>
      </c>
      <c r="H197" s="173">
        <v>1</v>
      </c>
      <c r="I197" s="173" t="s">
        <v>1496</v>
      </c>
      <c r="J197" s="173" t="s">
        <v>27</v>
      </c>
      <c r="K197" s="173" t="s">
        <v>26</v>
      </c>
      <c r="L197" s="173"/>
      <c r="M197" s="173" t="s">
        <v>238</v>
      </c>
      <c r="N197" s="173">
        <v>812008359</v>
      </c>
      <c r="O197" s="175">
        <v>5789916</v>
      </c>
      <c r="P197" s="7"/>
      <c r="Q1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7" s="9">
        <f>+IFERROR(VLOOKUP(Tabla3[[#This Row],[Cliente factura]],Tabla4[[NIT]:[TOTAL CREDITO]],6,FALSE),0)</f>
        <v>0</v>
      </c>
      <c r="S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7" s="10" t="str">
        <f>VLOOKUP(Tabla3[[#This Row],[Razón social cliente factura]]&amp;Tabla3[[#This Row],[Desc. ciudad]],'Estandar de Rutas'!$C$1:$E$553,2,FALSE)</f>
        <v>9.2</v>
      </c>
      <c r="U197" s="130">
        <f>IFERROR(VLOOKUP(Tabla3[[#This Row],[Referencia]]&amp;Tabla3[[#This Row],[Desc detalle ext 1]],Tabla1[[Referencia-Color]:[Disponibilidad]],3,FALSE),0)</f>
        <v>59</v>
      </c>
      <c r="V197" s="13"/>
      <c r="W197" s="17">
        <f>+Tabla3[[#This Row],[Cant. Programada]]*Tabla3[[#This Row],[Precio unit]]</f>
        <v>0</v>
      </c>
      <c r="X197" s="8"/>
      <c r="Y197" s="8"/>
      <c r="Z197" s="8" t="str">
        <f>+Tabla3[[#This Row],[Referencia]]&amp;Tabla3[[#This Row],[Desc detalle ext 1]]</f>
        <v>*XR 150L                                          NEGRO BLA</v>
      </c>
      <c r="AA197" s="128" t="e">
        <f>+VLOOKUP(Tabla3[[#This Row],[CODIGO2]],ESTANDAR!$B$3:$C$9,2,FALSE)</f>
        <v>#N/A</v>
      </c>
      <c r="AB197" s="128" t="str">
        <f>+MID(Tabla3[[#This Row],['# Viaje]],10,1)</f>
        <v/>
      </c>
    </row>
    <row r="198" spans="1:28" ht="15" hidden="1" customHeight="1">
      <c r="A198" s="173" t="s">
        <v>1495</v>
      </c>
      <c r="B198" s="174">
        <v>42948</v>
      </c>
      <c r="C198" s="173" t="s">
        <v>1231</v>
      </c>
      <c r="D198" s="173" t="s">
        <v>1487</v>
      </c>
      <c r="E198" s="173" t="s">
        <v>1232</v>
      </c>
      <c r="F198" s="173">
        <v>4</v>
      </c>
      <c r="G198" s="173" t="s">
        <v>140</v>
      </c>
      <c r="H198" s="173">
        <v>4</v>
      </c>
      <c r="I198" s="173" t="s">
        <v>1496</v>
      </c>
      <c r="J198" s="173" t="s">
        <v>27</v>
      </c>
      <c r="K198" s="173" t="s">
        <v>32</v>
      </c>
      <c r="L198" s="173"/>
      <c r="M198" s="173" t="s">
        <v>238</v>
      </c>
      <c r="N198" s="173">
        <v>812008359</v>
      </c>
      <c r="O198" s="175">
        <v>5789916</v>
      </c>
      <c r="P198" s="7"/>
      <c r="Q1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8" s="9">
        <f>+IFERROR(VLOOKUP(Tabla3[[#This Row],[Cliente factura]],Tabla4[[NIT]:[TOTAL CREDITO]],6,FALSE),0)</f>
        <v>0</v>
      </c>
      <c r="S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8" s="10" t="str">
        <f>VLOOKUP(Tabla3[[#This Row],[Razón social cliente factura]]&amp;Tabla3[[#This Row],[Desc. ciudad]],'Estandar de Rutas'!$C$1:$E$553,2,FALSE)</f>
        <v>9.2</v>
      </c>
      <c r="U198" s="130">
        <f>IFERROR(VLOOKUP(Tabla3[[#This Row],[Referencia]]&amp;Tabla3[[#This Row],[Desc detalle ext 1]],Tabla1[[Referencia-Color]:[Disponibilidad]],3,FALSE),0)</f>
        <v>7</v>
      </c>
      <c r="V198" s="13"/>
      <c r="W198" s="17">
        <f>+Tabla3[[#This Row],[Cant. Programada]]*Tabla3[[#This Row],[Precio unit]]</f>
        <v>0</v>
      </c>
      <c r="X198" s="8"/>
      <c r="Y198" s="8"/>
      <c r="Z198" s="8" t="str">
        <f>+Tabla3[[#This Row],[Referencia]]&amp;Tabla3[[#This Row],[Desc detalle ext 1]]</f>
        <v>*XR 150L                                          NEGRO ROJ</v>
      </c>
      <c r="AA198" s="128" t="e">
        <f>+VLOOKUP(Tabla3[[#This Row],[CODIGO2]],ESTANDAR!$B$3:$C$9,2,FALSE)</f>
        <v>#N/A</v>
      </c>
      <c r="AB198" s="128" t="str">
        <f>+MID(Tabla3[[#This Row],['# Viaje]],10,1)</f>
        <v/>
      </c>
    </row>
    <row r="199" spans="1:28" ht="15" hidden="1" customHeight="1">
      <c r="A199" s="173" t="s">
        <v>1495</v>
      </c>
      <c r="B199" s="174">
        <v>42948</v>
      </c>
      <c r="C199" s="173" t="s">
        <v>1231</v>
      </c>
      <c r="D199" s="173" t="s">
        <v>1487</v>
      </c>
      <c r="E199" s="173" t="s">
        <v>1232</v>
      </c>
      <c r="F199" s="173">
        <v>2</v>
      </c>
      <c r="G199" s="173" t="s">
        <v>140</v>
      </c>
      <c r="H199" s="173">
        <v>2</v>
      </c>
      <c r="I199" s="173" t="s">
        <v>1496</v>
      </c>
      <c r="J199" s="173" t="s">
        <v>27</v>
      </c>
      <c r="K199" s="173" t="s">
        <v>16</v>
      </c>
      <c r="L199" s="173"/>
      <c r="M199" s="173" t="s">
        <v>238</v>
      </c>
      <c r="N199" s="173">
        <v>812008359</v>
      </c>
      <c r="O199" s="175">
        <v>5789916</v>
      </c>
      <c r="P199" s="7"/>
      <c r="Q1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9" s="9">
        <f>+IFERROR(VLOOKUP(Tabla3[[#This Row],[Cliente factura]],Tabla4[[NIT]:[TOTAL CREDITO]],6,FALSE),0)</f>
        <v>0</v>
      </c>
      <c r="S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9" s="10" t="str">
        <f>VLOOKUP(Tabla3[[#This Row],[Razón social cliente factura]]&amp;Tabla3[[#This Row],[Desc. ciudad]],'Estandar de Rutas'!$C$1:$E$553,2,FALSE)</f>
        <v>9.2</v>
      </c>
      <c r="U199" s="130">
        <f>IFERROR(VLOOKUP(Tabla3[[#This Row],[Referencia]]&amp;Tabla3[[#This Row],[Desc detalle ext 1]],Tabla1[[Referencia-Color]:[Disponibilidad]],3,FALSE),0)</f>
        <v>3</v>
      </c>
      <c r="V199" s="13"/>
      <c r="W199" s="17">
        <f>+Tabla3[[#This Row],[Cant. Programada]]*Tabla3[[#This Row],[Precio unit]]</f>
        <v>0</v>
      </c>
      <c r="X199" s="8"/>
      <c r="Y199" s="8"/>
      <c r="Z199" s="8" t="str">
        <f>+Tabla3[[#This Row],[Referencia]]&amp;Tabla3[[#This Row],[Desc detalle ext 1]]</f>
        <v xml:space="preserve">*XR 150L                                          NEGRO    </v>
      </c>
      <c r="AA199" s="128" t="e">
        <f>+VLOOKUP(Tabla3[[#This Row],[CODIGO2]],ESTANDAR!$B$3:$C$9,2,FALSE)</f>
        <v>#N/A</v>
      </c>
      <c r="AB199" s="128" t="str">
        <f>+MID(Tabla3[[#This Row],['# Viaje]],10,1)</f>
        <v/>
      </c>
    </row>
    <row r="200" spans="1:28" ht="15" hidden="1" customHeight="1">
      <c r="A200" s="173" t="s">
        <v>1495</v>
      </c>
      <c r="B200" s="174">
        <v>42948</v>
      </c>
      <c r="C200" s="173" t="s">
        <v>1231</v>
      </c>
      <c r="D200" s="173" t="s">
        <v>1487</v>
      </c>
      <c r="E200" s="173" t="s">
        <v>1232</v>
      </c>
      <c r="F200" s="173">
        <v>1</v>
      </c>
      <c r="G200" s="173" t="s">
        <v>140</v>
      </c>
      <c r="H200" s="173">
        <v>1</v>
      </c>
      <c r="I200" s="173" t="s">
        <v>1496</v>
      </c>
      <c r="J200" s="173" t="s">
        <v>10</v>
      </c>
      <c r="K200" s="173" t="s">
        <v>11</v>
      </c>
      <c r="L200" s="173"/>
      <c r="M200" s="173" t="s">
        <v>238</v>
      </c>
      <c r="N200" s="173">
        <v>812008359</v>
      </c>
      <c r="O200" s="175">
        <v>7554622</v>
      </c>
      <c r="P200" s="7"/>
      <c r="Q2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0" s="9">
        <f>+IFERROR(VLOOKUP(Tabla3[[#This Row],[Cliente factura]],Tabla4[[NIT]:[TOTAL CREDITO]],6,FALSE),0)</f>
        <v>0</v>
      </c>
      <c r="S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0" s="10" t="str">
        <f>VLOOKUP(Tabla3[[#This Row],[Razón social cliente factura]]&amp;Tabla3[[#This Row],[Desc. ciudad]],'Estandar de Rutas'!$C$1:$E$553,2,FALSE)</f>
        <v>9.2</v>
      </c>
      <c r="U200" s="130">
        <f>IFERROR(VLOOKUP(Tabla3[[#This Row],[Referencia]]&amp;Tabla3[[#This Row],[Desc detalle ext 1]],Tabla1[[Referencia-Color]:[Disponibilidad]],3,FALSE),0)</f>
        <v>0</v>
      </c>
      <c r="V200" s="13"/>
      <c r="W200" s="17">
        <f>+Tabla3[[#This Row],[Cant. Programada]]*Tabla3[[#This Row],[Precio unit]]</f>
        <v>0</v>
      </c>
      <c r="X200" s="130"/>
      <c r="Y200" s="8"/>
      <c r="Z200" s="8" t="str">
        <f>+Tabla3[[#This Row],[Referencia]]&amp;Tabla3[[#This Row],[Desc detalle ext 1]]</f>
        <v>CB 190R                                           NEGRO ONI</v>
      </c>
      <c r="AA200" s="128" t="e">
        <f>+VLOOKUP(Tabla3[[#This Row],[CODIGO2]],ESTANDAR!$B$3:$C$9,2,FALSE)</f>
        <v>#N/A</v>
      </c>
      <c r="AB200" s="128" t="str">
        <f>+MID(Tabla3[[#This Row],['# Viaje]],10,1)</f>
        <v/>
      </c>
    </row>
    <row r="201" spans="1:28" ht="15" hidden="1" customHeight="1">
      <c r="A201" s="173" t="s">
        <v>1495</v>
      </c>
      <c r="B201" s="174">
        <v>42948</v>
      </c>
      <c r="C201" s="173" t="s">
        <v>1231</v>
      </c>
      <c r="D201" s="173" t="s">
        <v>1487</v>
      </c>
      <c r="E201" s="173" t="s">
        <v>1232</v>
      </c>
      <c r="F201" s="173">
        <v>1</v>
      </c>
      <c r="G201" s="173" t="s">
        <v>140</v>
      </c>
      <c r="H201" s="173">
        <v>1</v>
      </c>
      <c r="I201" s="173" t="s">
        <v>1496</v>
      </c>
      <c r="J201" s="173" t="s">
        <v>1425</v>
      </c>
      <c r="K201" s="173" t="s">
        <v>1426</v>
      </c>
      <c r="L201" s="173"/>
      <c r="M201" s="173" t="s">
        <v>238</v>
      </c>
      <c r="N201" s="173">
        <v>812008359</v>
      </c>
      <c r="O201" s="175">
        <v>7730252</v>
      </c>
      <c r="P201" s="7"/>
      <c r="Q2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1" s="9">
        <f>+IFERROR(VLOOKUP(Tabla3[[#This Row],[Cliente factura]],Tabla4[[NIT]:[TOTAL CREDITO]],6,FALSE),0)</f>
        <v>0</v>
      </c>
      <c r="S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1" s="10" t="str">
        <f>VLOOKUP(Tabla3[[#This Row],[Razón social cliente factura]]&amp;Tabla3[[#This Row],[Desc. ciudad]],'Estandar de Rutas'!$C$1:$E$553,2,FALSE)</f>
        <v>9.2</v>
      </c>
      <c r="U201" s="130">
        <f>IFERROR(VLOOKUP(Tabla3[[#This Row],[Referencia]]&amp;Tabla3[[#This Row],[Desc detalle ext 1]],Tabla1[[Referencia-Color]:[Disponibilidad]],3,FALSE),0)</f>
        <v>104</v>
      </c>
      <c r="V201" s="13"/>
      <c r="W201" s="17">
        <f>+Tabla3[[#This Row],[Cant. Programada]]*Tabla3[[#This Row],[Precio unit]]</f>
        <v>0</v>
      </c>
      <c r="X201" s="130"/>
      <c r="Y201" s="129"/>
      <c r="Z201" s="8" t="str">
        <f>+Tabla3[[#This Row],[Referencia]]&amp;Tabla3[[#This Row],[Desc detalle ext 1]]</f>
        <v>CB 190 REPSOL                                     NARANJA B</v>
      </c>
      <c r="AA201" s="128" t="e">
        <f>+VLOOKUP(Tabla3[[#This Row],[CODIGO2]],ESTANDAR!$B$3:$C$9,2,FALSE)</f>
        <v>#N/A</v>
      </c>
      <c r="AB201" s="128" t="str">
        <f>+MID(Tabla3[[#This Row],['# Viaje]],10,1)</f>
        <v/>
      </c>
    </row>
    <row r="202" spans="1:28" ht="15" hidden="1" customHeight="1">
      <c r="A202" s="173" t="s">
        <v>1495</v>
      </c>
      <c r="B202" s="174">
        <v>42948</v>
      </c>
      <c r="C202" s="173" t="s">
        <v>1231</v>
      </c>
      <c r="D202" s="173" t="s">
        <v>1487</v>
      </c>
      <c r="E202" s="173" t="s">
        <v>1232</v>
      </c>
      <c r="F202" s="173">
        <v>1</v>
      </c>
      <c r="G202" s="173" t="s">
        <v>140</v>
      </c>
      <c r="H202" s="173">
        <v>1</v>
      </c>
      <c r="I202" s="173" t="s">
        <v>1496</v>
      </c>
      <c r="J202" s="173" t="s">
        <v>354</v>
      </c>
      <c r="K202" s="173" t="s">
        <v>474</v>
      </c>
      <c r="L202" s="173"/>
      <c r="M202" s="173" t="s">
        <v>238</v>
      </c>
      <c r="N202" s="173">
        <v>812008359</v>
      </c>
      <c r="O202" s="175">
        <v>6133613</v>
      </c>
      <c r="P202" s="7"/>
      <c r="Q2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2" s="9">
        <f>+IFERROR(VLOOKUP(Tabla3[[#This Row],[Cliente factura]],Tabla4[[NIT]:[TOTAL CREDITO]],6,FALSE),0)</f>
        <v>0</v>
      </c>
      <c r="S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2" s="10" t="str">
        <f>VLOOKUP(Tabla3[[#This Row],[Razón social cliente factura]]&amp;Tabla3[[#This Row],[Desc. ciudad]],'Estandar de Rutas'!$C$1:$E$553,2,FALSE)</f>
        <v>9.2</v>
      </c>
      <c r="U202" s="130">
        <f>IFERROR(VLOOKUP(Tabla3[[#This Row],[Referencia]]&amp;Tabla3[[#This Row],[Desc detalle ext 1]],Tabla1[[Referencia-Color]:[Disponibilidad]],3,FALSE),0)</f>
        <v>3</v>
      </c>
      <c r="V202" s="13"/>
      <c r="W202" s="17">
        <f>+Tabla3[[#This Row],[Cant. Programada]]*Tabla3[[#This Row],[Precio unit]]</f>
        <v>0</v>
      </c>
      <c r="X202" s="8"/>
      <c r="Y202" s="8"/>
      <c r="Z202" s="8" t="str">
        <f>+Tabla3[[#This Row],[Referencia]]&amp;Tabla3[[#This Row],[Desc detalle ext 1]]</f>
        <v>CB 160F DLX                                       NARANJA N</v>
      </c>
      <c r="AA202" s="128" t="e">
        <f>+VLOOKUP(Tabla3[[#This Row],[CODIGO2]],ESTANDAR!$B$3:$C$9,2,FALSE)</f>
        <v>#N/A</v>
      </c>
      <c r="AB202" s="128" t="str">
        <f>+MID(Tabla3[[#This Row],['# Viaje]],10,1)</f>
        <v/>
      </c>
    </row>
    <row r="203" spans="1:28" ht="15" hidden="1" customHeight="1">
      <c r="A203" s="173" t="s">
        <v>1495</v>
      </c>
      <c r="B203" s="174">
        <v>42948</v>
      </c>
      <c r="C203" s="173" t="s">
        <v>1231</v>
      </c>
      <c r="D203" s="173" t="s">
        <v>1487</v>
      </c>
      <c r="E203" s="173" t="s">
        <v>1232</v>
      </c>
      <c r="F203" s="173">
        <v>1</v>
      </c>
      <c r="G203" s="173" t="s">
        <v>140</v>
      </c>
      <c r="H203" s="173">
        <v>1</v>
      </c>
      <c r="I203" s="173" t="s">
        <v>1496</v>
      </c>
      <c r="J203" s="173" t="s">
        <v>1433</v>
      </c>
      <c r="K203" s="173" t="s">
        <v>1434</v>
      </c>
      <c r="L203" s="173"/>
      <c r="M203" s="173" t="s">
        <v>238</v>
      </c>
      <c r="N203" s="173">
        <v>812008359</v>
      </c>
      <c r="O203" s="175">
        <v>3521008</v>
      </c>
      <c r="P203" s="7"/>
      <c r="Q2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3" s="9">
        <f>+IFERROR(VLOOKUP(Tabla3[[#This Row],[Cliente factura]],Tabla4[[NIT]:[TOTAL CREDITO]],6,FALSE),0)</f>
        <v>0</v>
      </c>
      <c r="S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3" s="10" t="str">
        <f>VLOOKUP(Tabla3[[#This Row],[Razón social cliente factura]]&amp;Tabla3[[#This Row],[Desc. ciudad]],'Estandar de Rutas'!$C$1:$E$553,2,FALSE)</f>
        <v>9.2</v>
      </c>
      <c r="U203" s="130">
        <f>IFERROR(VLOOKUP(Tabla3[[#This Row],[Referencia]]&amp;Tabla3[[#This Row],[Desc detalle ext 1]],Tabla1[[Referencia-Color]:[Disponibilidad]],3,FALSE),0)</f>
        <v>23</v>
      </c>
      <c r="V203" s="13"/>
      <c r="W203" s="17">
        <f>+Tabla3[[#This Row],[Cant. Programada]]*Tabla3[[#This Row],[Precio unit]]</f>
        <v>0</v>
      </c>
      <c r="X203" s="130"/>
      <c r="Y203" s="129"/>
      <c r="Z203" s="8" t="str">
        <f>+Tabla3[[#This Row],[Referencia]]&amp;Tabla3[[#This Row],[Desc detalle ext 1]]</f>
        <v>DIO  110                                          BLANCO NE</v>
      </c>
      <c r="AA203" s="128" t="e">
        <f>+VLOOKUP(Tabla3[[#This Row],[CODIGO2]],ESTANDAR!$B$3:$C$9,2,FALSE)</f>
        <v>#N/A</v>
      </c>
      <c r="AB203" s="128" t="str">
        <f>+MID(Tabla3[[#This Row],['# Viaje]],10,1)</f>
        <v/>
      </c>
    </row>
    <row r="204" spans="1:28" ht="15" hidden="1" customHeight="1">
      <c r="A204" s="173" t="s">
        <v>1495</v>
      </c>
      <c r="B204" s="174">
        <v>42948</v>
      </c>
      <c r="C204" s="173" t="s">
        <v>1231</v>
      </c>
      <c r="D204" s="173" t="s">
        <v>1487</v>
      </c>
      <c r="E204" s="173" t="s">
        <v>1232</v>
      </c>
      <c r="F204" s="173">
        <v>2</v>
      </c>
      <c r="G204" s="173" t="s">
        <v>140</v>
      </c>
      <c r="H204" s="173">
        <v>2</v>
      </c>
      <c r="I204" s="173" t="s">
        <v>1496</v>
      </c>
      <c r="J204" s="173" t="s">
        <v>1433</v>
      </c>
      <c r="K204" s="173" t="s">
        <v>1431</v>
      </c>
      <c r="L204" s="173"/>
      <c r="M204" s="173" t="s">
        <v>238</v>
      </c>
      <c r="N204" s="173">
        <v>812008359</v>
      </c>
      <c r="O204" s="175">
        <v>3521008</v>
      </c>
      <c r="P204" s="7"/>
      <c r="Q2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4" s="9">
        <f>+IFERROR(VLOOKUP(Tabla3[[#This Row],[Cliente factura]],Tabla4[[NIT]:[TOTAL CREDITO]],6,FALSE),0)</f>
        <v>0</v>
      </c>
      <c r="S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4" s="10" t="str">
        <f>VLOOKUP(Tabla3[[#This Row],[Razón social cliente factura]]&amp;Tabla3[[#This Row],[Desc. ciudad]],'Estandar de Rutas'!$C$1:$E$553,2,FALSE)</f>
        <v>9.2</v>
      </c>
      <c r="U204" s="130">
        <f>IFERROR(VLOOKUP(Tabla3[[#This Row],[Referencia]]&amp;Tabla3[[#This Row],[Desc detalle ext 1]],Tabla1[[Referencia-Color]:[Disponibilidad]],3,FALSE),0)</f>
        <v>0</v>
      </c>
      <c r="V204" s="13"/>
      <c r="W204" s="17">
        <f>+Tabla3[[#This Row],[Cant. Programada]]*Tabla3[[#This Row],[Precio unit]]</f>
        <v>0</v>
      </c>
      <c r="X204" s="130"/>
      <c r="Y204" s="129"/>
      <c r="Z204" s="8" t="str">
        <f>+Tabla3[[#This Row],[Referencia]]&amp;Tabla3[[#This Row],[Desc detalle ext 1]]</f>
        <v xml:space="preserve">DIO  110                                          ROJO     </v>
      </c>
      <c r="AA204" s="128" t="e">
        <f>+VLOOKUP(Tabla3[[#This Row],[CODIGO2]],ESTANDAR!$B$3:$C$9,2,FALSE)</f>
        <v>#N/A</v>
      </c>
      <c r="AB204" s="128" t="str">
        <f>+MID(Tabla3[[#This Row],['# Viaje]],10,1)</f>
        <v/>
      </c>
    </row>
    <row r="205" spans="1:28" ht="15" hidden="1" customHeight="1">
      <c r="A205" s="173" t="s">
        <v>1495</v>
      </c>
      <c r="B205" s="174">
        <v>42948</v>
      </c>
      <c r="C205" s="173" t="s">
        <v>1231</v>
      </c>
      <c r="D205" s="173" t="s">
        <v>1487</v>
      </c>
      <c r="E205" s="173" t="s">
        <v>1232</v>
      </c>
      <c r="F205" s="173">
        <v>1</v>
      </c>
      <c r="G205" s="173" t="s">
        <v>140</v>
      </c>
      <c r="H205" s="173">
        <v>1</v>
      </c>
      <c r="I205" s="173" t="s">
        <v>1496</v>
      </c>
      <c r="J205" s="173" t="s">
        <v>1453</v>
      </c>
      <c r="K205" s="173" t="s">
        <v>11</v>
      </c>
      <c r="L205" s="173"/>
      <c r="M205" s="173" t="s">
        <v>238</v>
      </c>
      <c r="N205" s="173">
        <v>812008359</v>
      </c>
      <c r="O205" s="175">
        <v>7730252</v>
      </c>
      <c r="P205" s="7"/>
      <c r="Q2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5" s="9">
        <f>+IFERROR(VLOOKUP(Tabla3[[#This Row],[Cliente factura]],Tabla4[[NIT]:[TOTAL CREDITO]],6,FALSE),0)</f>
        <v>0</v>
      </c>
      <c r="S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5" s="10" t="str">
        <f>VLOOKUP(Tabla3[[#This Row],[Razón social cliente factura]]&amp;Tabla3[[#This Row],[Desc. ciudad]],'Estandar de Rutas'!$C$1:$E$553,2,FALSE)</f>
        <v>9.2</v>
      </c>
      <c r="U205" s="130">
        <f>IFERROR(VLOOKUP(Tabla3[[#This Row],[Referencia]]&amp;Tabla3[[#This Row],[Desc detalle ext 1]],Tabla1[[Referencia-Color]:[Disponibilidad]],3,FALSE),0)</f>
        <v>0</v>
      </c>
      <c r="V205" s="13"/>
      <c r="W205" s="17">
        <f>+Tabla3[[#This Row],[Cant. Programada]]*Tabla3[[#This Row],[Precio unit]]</f>
        <v>0</v>
      </c>
      <c r="X205" s="129"/>
      <c r="Y205" s="8"/>
      <c r="Z205" s="8" t="str">
        <f>+Tabla3[[#This Row],[Referencia]]&amp;Tabla3[[#This Row],[Desc detalle ext 1]]</f>
        <v>CB 190R INSTINTO R                                NEGRO ONI</v>
      </c>
      <c r="AA205" s="128" t="e">
        <f>+VLOOKUP(Tabla3[[#This Row],[CODIGO2]],ESTANDAR!$B$3:$C$9,2,FALSE)</f>
        <v>#N/A</v>
      </c>
      <c r="AB205" s="128" t="str">
        <f>+MID(Tabla3[[#This Row],['# Viaje]],10,1)</f>
        <v/>
      </c>
    </row>
    <row r="206" spans="1:28" ht="15" hidden="1" customHeight="1">
      <c r="A206" s="173" t="s">
        <v>1495</v>
      </c>
      <c r="B206" s="174">
        <v>42948</v>
      </c>
      <c r="C206" s="173" t="s">
        <v>1231</v>
      </c>
      <c r="D206" s="173" t="s">
        <v>1487</v>
      </c>
      <c r="E206" s="173" t="s">
        <v>1232</v>
      </c>
      <c r="F206" s="173">
        <v>8</v>
      </c>
      <c r="G206" s="173" t="s">
        <v>140</v>
      </c>
      <c r="H206" s="173">
        <v>8</v>
      </c>
      <c r="I206" s="173" t="s">
        <v>1496</v>
      </c>
      <c r="J206" s="173" t="s">
        <v>1428</v>
      </c>
      <c r="K206" s="173" t="s">
        <v>1461</v>
      </c>
      <c r="L206" s="173"/>
      <c r="M206" s="173" t="s">
        <v>238</v>
      </c>
      <c r="N206" s="173">
        <v>812008359</v>
      </c>
      <c r="O206" s="175">
        <v>3067227</v>
      </c>
      <c r="P206" s="7"/>
      <c r="Q2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6" s="9">
        <f>+IFERROR(VLOOKUP(Tabla3[[#This Row],[Cliente factura]],Tabla4[[NIT]:[TOTAL CREDITO]],6,FALSE),0)</f>
        <v>0</v>
      </c>
      <c r="S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6" s="10" t="str">
        <f>VLOOKUP(Tabla3[[#This Row],[Razón social cliente factura]]&amp;Tabla3[[#This Row],[Desc. ciudad]],'Estandar de Rutas'!$C$1:$E$553,2,FALSE)</f>
        <v>9.2</v>
      </c>
      <c r="U206" s="130">
        <f>IFERROR(VLOOKUP(Tabla3[[#This Row],[Referencia]]&amp;Tabla3[[#This Row],[Desc detalle ext 1]],Tabla1[[Referencia-Color]:[Disponibilidad]],3,FALSE),0)</f>
        <v>0</v>
      </c>
      <c r="V206" s="13"/>
      <c r="W206" s="17">
        <f>+Tabla3[[#This Row],[Cant. Programada]]*Tabla3[[#This Row],[Precio unit]]</f>
        <v>0</v>
      </c>
      <c r="X206" s="130"/>
      <c r="Y206" s="129"/>
      <c r="Z206" s="8" t="str">
        <f>+Tabla3[[#This Row],[Referencia]]&amp;Tabla3[[#This Row],[Desc detalle ext 1]]</f>
        <v>DREAM  NEO                                        ROJO ALFA</v>
      </c>
      <c r="AA206" s="128" t="e">
        <f>+VLOOKUP(Tabla3[[#This Row],[CODIGO2]],ESTANDAR!$B$3:$C$9,2,FALSE)</f>
        <v>#N/A</v>
      </c>
      <c r="AB206" s="128" t="str">
        <f>+MID(Tabla3[[#This Row],['# Viaje]],10,1)</f>
        <v/>
      </c>
    </row>
    <row r="207" spans="1:28" ht="15" hidden="1" customHeight="1">
      <c r="A207" s="173" t="s">
        <v>1495</v>
      </c>
      <c r="B207" s="174">
        <v>42948</v>
      </c>
      <c r="C207" s="173" t="s">
        <v>1231</v>
      </c>
      <c r="D207" s="173" t="s">
        <v>1487</v>
      </c>
      <c r="E207" s="173" t="s">
        <v>1232</v>
      </c>
      <c r="F207" s="173">
        <v>15</v>
      </c>
      <c r="G207" s="173" t="s">
        <v>140</v>
      </c>
      <c r="H207" s="173">
        <v>15</v>
      </c>
      <c r="I207" s="173" t="s">
        <v>1496</v>
      </c>
      <c r="J207" s="173" t="s">
        <v>1428</v>
      </c>
      <c r="K207" s="173" t="s">
        <v>32</v>
      </c>
      <c r="L207" s="173"/>
      <c r="M207" s="173" t="s">
        <v>238</v>
      </c>
      <c r="N207" s="173">
        <v>812008359</v>
      </c>
      <c r="O207" s="175">
        <v>3067227</v>
      </c>
      <c r="P207" s="7"/>
      <c r="Q2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7" s="9">
        <f>+IFERROR(VLOOKUP(Tabla3[[#This Row],[Cliente factura]],Tabla4[[NIT]:[TOTAL CREDITO]],6,FALSE),0)</f>
        <v>0</v>
      </c>
      <c r="S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7" s="10" t="str">
        <f>VLOOKUP(Tabla3[[#This Row],[Razón social cliente factura]]&amp;Tabla3[[#This Row],[Desc. ciudad]],'Estandar de Rutas'!$C$1:$E$553,2,FALSE)</f>
        <v>9.2</v>
      </c>
      <c r="U207" s="130">
        <f>IFERROR(VLOOKUP(Tabla3[[#This Row],[Referencia]]&amp;Tabla3[[#This Row],[Desc detalle ext 1]],Tabla1[[Referencia-Color]:[Disponibilidad]],3,FALSE),0)</f>
        <v>0</v>
      </c>
      <c r="V207" s="13"/>
      <c r="W207" s="17">
        <f>+Tabla3[[#This Row],[Cant. Programada]]*Tabla3[[#This Row],[Precio unit]]</f>
        <v>0</v>
      </c>
      <c r="X207" s="8"/>
      <c r="Y207" s="8"/>
      <c r="Z207" s="8" t="str">
        <f>+Tabla3[[#This Row],[Referencia]]&amp;Tabla3[[#This Row],[Desc detalle ext 1]]</f>
        <v>DREAM  NEO                                        NEGRO ROJ</v>
      </c>
      <c r="AA207" s="128" t="e">
        <f>+VLOOKUP(Tabla3[[#This Row],[CODIGO2]],ESTANDAR!$B$3:$C$9,2,FALSE)</f>
        <v>#N/A</v>
      </c>
      <c r="AB207" s="128" t="str">
        <f>+MID(Tabla3[[#This Row],['# Viaje]],10,1)</f>
        <v/>
      </c>
    </row>
    <row r="208" spans="1:28" ht="15" hidden="1" customHeight="1">
      <c r="A208" s="173" t="s">
        <v>1495</v>
      </c>
      <c r="B208" s="174">
        <v>42948</v>
      </c>
      <c r="C208" s="173" t="s">
        <v>1231</v>
      </c>
      <c r="D208" s="173" t="s">
        <v>1487</v>
      </c>
      <c r="E208" s="173" t="s">
        <v>1232</v>
      </c>
      <c r="F208" s="173">
        <v>27</v>
      </c>
      <c r="G208" s="173" t="s">
        <v>140</v>
      </c>
      <c r="H208" s="173">
        <v>27</v>
      </c>
      <c r="I208" s="173" t="s">
        <v>1496</v>
      </c>
      <c r="J208" s="173" t="s">
        <v>1428</v>
      </c>
      <c r="K208" s="173" t="s">
        <v>1429</v>
      </c>
      <c r="L208" s="173"/>
      <c r="M208" s="173" t="s">
        <v>238</v>
      </c>
      <c r="N208" s="173">
        <v>812008359</v>
      </c>
      <c r="O208" s="175">
        <v>3067227</v>
      </c>
      <c r="P208" s="7"/>
      <c r="Q2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8" s="9">
        <f>+IFERROR(VLOOKUP(Tabla3[[#This Row],[Cliente factura]],Tabla4[[NIT]:[TOTAL CREDITO]],6,FALSE),0)</f>
        <v>0</v>
      </c>
      <c r="S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8" s="10" t="str">
        <f>VLOOKUP(Tabla3[[#This Row],[Razón social cliente factura]]&amp;Tabla3[[#This Row],[Desc. ciudad]],'Estandar de Rutas'!$C$1:$E$553,2,FALSE)</f>
        <v>9.2</v>
      </c>
      <c r="U208" s="130">
        <f>IFERROR(VLOOKUP(Tabla3[[#This Row],[Referencia]]&amp;Tabla3[[#This Row],[Desc detalle ext 1]],Tabla1[[Referencia-Color]:[Disponibilidad]],3,FALSE),0)</f>
        <v>0</v>
      </c>
      <c r="V208" s="13"/>
      <c r="W208" s="17">
        <f>+Tabla3[[#This Row],[Cant. Programada]]*Tabla3[[#This Row],[Precio unit]]</f>
        <v>0</v>
      </c>
      <c r="X208" s="8"/>
      <c r="Y208" s="8"/>
      <c r="Z208" s="8" t="str">
        <f>+Tabla3[[#This Row],[Referencia]]&amp;Tabla3[[#This Row],[Desc detalle ext 1]]</f>
        <v>DREAM  NEO                                        NEGRO AZU</v>
      </c>
      <c r="AA208" s="128" t="e">
        <f>+VLOOKUP(Tabla3[[#This Row],[CODIGO2]],ESTANDAR!$B$3:$C$9,2,FALSE)</f>
        <v>#N/A</v>
      </c>
      <c r="AB208" s="128" t="str">
        <f>+MID(Tabla3[[#This Row],['# Viaje]],10,1)</f>
        <v/>
      </c>
    </row>
    <row r="209" spans="1:28" ht="15" hidden="1" customHeight="1">
      <c r="A209" s="173" t="s">
        <v>1495</v>
      </c>
      <c r="B209" s="174">
        <v>42948</v>
      </c>
      <c r="C209" s="173" t="s">
        <v>1231</v>
      </c>
      <c r="D209" s="173" t="s">
        <v>1487</v>
      </c>
      <c r="E209" s="173" t="s">
        <v>1232</v>
      </c>
      <c r="F209" s="173">
        <v>1</v>
      </c>
      <c r="G209" s="173" t="s">
        <v>140</v>
      </c>
      <c r="H209" s="173">
        <v>1</v>
      </c>
      <c r="I209" s="173" t="s">
        <v>1496</v>
      </c>
      <c r="J209" s="173" t="s">
        <v>1430</v>
      </c>
      <c r="K209" s="173" t="s">
        <v>1431</v>
      </c>
      <c r="L209" s="173"/>
      <c r="M209" s="173" t="s">
        <v>238</v>
      </c>
      <c r="N209" s="173">
        <v>812008359</v>
      </c>
      <c r="O209" s="175">
        <v>3941176</v>
      </c>
      <c r="P209" s="7"/>
      <c r="Q2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9" s="9">
        <f>+IFERROR(VLOOKUP(Tabla3[[#This Row],[Cliente factura]],Tabla4[[NIT]:[TOTAL CREDITO]],6,FALSE),0)</f>
        <v>0</v>
      </c>
      <c r="S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9" s="10" t="str">
        <f>VLOOKUP(Tabla3[[#This Row],[Razón social cliente factura]]&amp;Tabla3[[#This Row],[Desc. ciudad]],'Estandar de Rutas'!$C$1:$E$553,2,FALSE)</f>
        <v>9.2</v>
      </c>
      <c r="U209" s="130">
        <f>IFERROR(VLOOKUP(Tabla3[[#This Row],[Referencia]]&amp;Tabla3[[#This Row],[Desc detalle ext 1]],Tabla1[[Referencia-Color]:[Disponibilidad]],3,FALSE),0)</f>
        <v>0</v>
      </c>
      <c r="V209" s="13"/>
      <c r="W209" s="17">
        <f>+Tabla3[[#This Row],[Cant. Programada]]*Tabla3[[#This Row],[Precio unit]]</f>
        <v>0</v>
      </c>
      <c r="X209" s="130"/>
      <c r="Y209" s="129"/>
      <c r="Z209" s="8" t="str">
        <f>+Tabla3[[#This Row],[Referencia]]&amp;Tabla3[[#This Row],[Desc detalle ext 1]]</f>
        <v xml:space="preserve">WAVE 110S                                         ROJO     </v>
      </c>
      <c r="AA209" s="128" t="e">
        <f>+VLOOKUP(Tabla3[[#This Row],[CODIGO2]],ESTANDAR!$B$3:$C$9,2,FALSE)</f>
        <v>#N/A</v>
      </c>
      <c r="AB209" s="128" t="str">
        <f>+MID(Tabla3[[#This Row],['# Viaje]],10,1)</f>
        <v/>
      </c>
    </row>
    <row r="210" spans="1:28" ht="15" hidden="1" customHeight="1">
      <c r="A210" s="173" t="s">
        <v>1495</v>
      </c>
      <c r="B210" s="174">
        <v>42948</v>
      </c>
      <c r="C210" s="173" t="s">
        <v>1231</v>
      </c>
      <c r="D210" s="173" t="s">
        <v>1487</v>
      </c>
      <c r="E210" s="173" t="s">
        <v>1232</v>
      </c>
      <c r="F210" s="173">
        <v>1</v>
      </c>
      <c r="G210" s="173" t="s">
        <v>140</v>
      </c>
      <c r="H210" s="173">
        <v>1</v>
      </c>
      <c r="I210" s="173" t="s">
        <v>1496</v>
      </c>
      <c r="J210" s="173" t="s">
        <v>1430</v>
      </c>
      <c r="K210" s="173" t="s">
        <v>1432</v>
      </c>
      <c r="L210" s="173"/>
      <c r="M210" s="173" t="s">
        <v>238</v>
      </c>
      <c r="N210" s="173">
        <v>812008359</v>
      </c>
      <c r="O210" s="175">
        <v>3941176</v>
      </c>
      <c r="P210" s="7"/>
      <c r="Q2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0" s="9">
        <f>+IFERROR(VLOOKUP(Tabla3[[#This Row],[Cliente factura]],Tabla4[[NIT]:[TOTAL CREDITO]],6,FALSE),0)</f>
        <v>0</v>
      </c>
      <c r="S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0" s="10" t="str">
        <f>VLOOKUP(Tabla3[[#This Row],[Razón social cliente factura]]&amp;Tabla3[[#This Row],[Desc. ciudad]],'Estandar de Rutas'!$C$1:$E$553,2,FALSE)</f>
        <v>9.2</v>
      </c>
      <c r="U210" s="130">
        <f>IFERROR(VLOOKUP(Tabla3[[#This Row],[Referencia]]&amp;Tabla3[[#This Row],[Desc detalle ext 1]],Tabla1[[Referencia-Color]:[Disponibilidad]],3,FALSE),0)</f>
        <v>23</v>
      </c>
      <c r="V210" s="13"/>
      <c r="W210" s="17">
        <f>+Tabla3[[#This Row],[Cant. Programada]]*Tabla3[[#This Row],[Precio unit]]</f>
        <v>0</v>
      </c>
      <c r="X210" s="130"/>
      <c r="Y210" s="129"/>
      <c r="Z210" s="8" t="str">
        <f>+Tabla3[[#This Row],[Referencia]]&amp;Tabla3[[#This Row],[Desc detalle ext 1]]</f>
        <v xml:space="preserve">WAVE 110S                                         BLANCO   </v>
      </c>
      <c r="AA210" s="128" t="e">
        <f>+VLOOKUP(Tabla3[[#This Row],[CODIGO2]],ESTANDAR!$B$3:$C$9,2,FALSE)</f>
        <v>#N/A</v>
      </c>
      <c r="AB210" s="128" t="str">
        <f>+MID(Tabla3[[#This Row],['# Viaje]],10,1)</f>
        <v/>
      </c>
    </row>
    <row r="211" spans="1:28" ht="15" hidden="1" customHeight="1">
      <c r="A211" s="173" t="s">
        <v>1495</v>
      </c>
      <c r="B211" s="174">
        <v>42948</v>
      </c>
      <c r="C211" s="173" t="s">
        <v>1231</v>
      </c>
      <c r="D211" s="173" t="s">
        <v>1487</v>
      </c>
      <c r="E211" s="173" t="s">
        <v>1232</v>
      </c>
      <c r="F211" s="173">
        <v>1</v>
      </c>
      <c r="G211" s="173" t="s">
        <v>140</v>
      </c>
      <c r="H211" s="173">
        <v>1</v>
      </c>
      <c r="I211" s="173" t="s">
        <v>1496</v>
      </c>
      <c r="J211" s="173" t="s">
        <v>1234</v>
      </c>
      <c r="K211" s="173" t="s">
        <v>355</v>
      </c>
      <c r="L211" s="173"/>
      <c r="M211" s="173" t="s">
        <v>238</v>
      </c>
      <c r="N211" s="173">
        <v>812008359</v>
      </c>
      <c r="O211" s="175">
        <v>5453782</v>
      </c>
      <c r="P211" s="7"/>
      <c r="Q2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1" s="9">
        <f>+IFERROR(VLOOKUP(Tabla3[[#This Row],[Cliente factura]],Tabla4[[NIT]:[TOTAL CREDITO]],6,FALSE),0)</f>
        <v>0</v>
      </c>
      <c r="S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1" s="10" t="str">
        <f>VLOOKUP(Tabla3[[#This Row],[Razón social cliente factura]]&amp;Tabla3[[#This Row],[Desc. ciudad]],'Estandar de Rutas'!$C$1:$E$553,2,FALSE)</f>
        <v>9.2</v>
      </c>
      <c r="U211" s="130">
        <f>IFERROR(VLOOKUP(Tabla3[[#This Row],[Referencia]]&amp;Tabla3[[#This Row],[Desc detalle ext 1]],Tabla1[[Referencia-Color]:[Disponibilidad]],3,FALSE),0)</f>
        <v>0</v>
      </c>
      <c r="V211" s="13"/>
      <c r="W211" s="17">
        <f>+Tabla3[[#This Row],[Cant. Programada]]*Tabla3[[#This Row],[Precio unit]]</f>
        <v>0</v>
      </c>
      <c r="X211" s="8"/>
      <c r="Y211" s="8"/>
      <c r="Z211" s="8" t="str">
        <f>+Tabla3[[#This Row],[Referencia]]&amp;Tabla3[[#This Row],[Desc detalle ext 1]]</f>
        <v>CB 160F STD                                       NEGRO PER</v>
      </c>
      <c r="AA211" s="128" t="e">
        <f>+VLOOKUP(Tabla3[[#This Row],[CODIGO2]],ESTANDAR!$B$3:$C$9,2,FALSE)</f>
        <v>#N/A</v>
      </c>
      <c r="AB211" s="128" t="str">
        <f>+MID(Tabla3[[#This Row],['# Viaje]],10,1)</f>
        <v/>
      </c>
    </row>
    <row r="212" spans="1:28" ht="15" hidden="1" customHeight="1">
      <c r="A212" s="173" t="s">
        <v>1495</v>
      </c>
      <c r="B212" s="174">
        <v>42948</v>
      </c>
      <c r="C212" s="173" t="s">
        <v>1231</v>
      </c>
      <c r="D212" s="173" t="s">
        <v>1487</v>
      </c>
      <c r="E212" s="173" t="s">
        <v>1232</v>
      </c>
      <c r="F212" s="173">
        <v>3</v>
      </c>
      <c r="G212" s="173" t="s">
        <v>140</v>
      </c>
      <c r="H212" s="173">
        <v>3</v>
      </c>
      <c r="I212" s="173" t="s">
        <v>1496</v>
      </c>
      <c r="J212" s="173" t="s">
        <v>1451</v>
      </c>
      <c r="K212" s="173" t="s">
        <v>1449</v>
      </c>
      <c r="L212" s="173"/>
      <c r="M212" s="173" t="s">
        <v>238</v>
      </c>
      <c r="N212" s="173">
        <v>812008359</v>
      </c>
      <c r="O212" s="175">
        <v>3696639</v>
      </c>
      <c r="P212" s="7"/>
      <c r="Q2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2" s="9">
        <f>+IFERROR(VLOOKUP(Tabla3[[#This Row],[Cliente factura]],Tabla4[[NIT]:[TOTAL CREDITO]],6,FALSE),0)</f>
        <v>0</v>
      </c>
      <c r="S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2" s="10" t="str">
        <f>VLOOKUP(Tabla3[[#This Row],[Razón social cliente factura]]&amp;Tabla3[[#This Row],[Desc. ciudad]],'Estandar de Rutas'!$C$1:$E$553,2,FALSE)</f>
        <v>9.2</v>
      </c>
      <c r="U212" s="130">
        <f>IFERROR(VLOOKUP(Tabla3[[#This Row],[Referencia]]&amp;Tabla3[[#This Row],[Desc detalle ext 1]],Tabla1[[Referencia-Color]:[Disponibilidad]],3,FALSE),0)</f>
        <v>24</v>
      </c>
      <c r="V212" s="13"/>
      <c r="W212" s="17">
        <f>+Tabla3[[#This Row],[Cant. Programada]]*Tabla3[[#This Row],[Precio unit]]</f>
        <v>0</v>
      </c>
      <c r="X212" s="130"/>
      <c r="Y212" s="129"/>
      <c r="Z212" s="8" t="str">
        <f>+Tabla3[[#This Row],[Referencia]]&amp;Tabla3[[#This Row],[Desc detalle ext 1]]</f>
        <v xml:space="preserve">CB 110 DLX                                        GRIS     </v>
      </c>
      <c r="AA212" s="128" t="e">
        <f>+VLOOKUP(Tabla3[[#This Row],[CODIGO2]],ESTANDAR!$B$3:$C$9,2,FALSE)</f>
        <v>#N/A</v>
      </c>
      <c r="AB212" s="128" t="str">
        <f>+MID(Tabla3[[#This Row],['# Viaje]],10,1)</f>
        <v/>
      </c>
    </row>
    <row r="213" spans="1:28" ht="15" hidden="1" customHeight="1">
      <c r="A213" s="173" t="s">
        <v>1495</v>
      </c>
      <c r="B213" s="174">
        <v>42948</v>
      </c>
      <c r="C213" s="173" t="s">
        <v>1231</v>
      </c>
      <c r="D213" s="173" t="s">
        <v>1487</v>
      </c>
      <c r="E213" s="173" t="s">
        <v>1232</v>
      </c>
      <c r="F213" s="173">
        <v>2</v>
      </c>
      <c r="G213" s="173" t="s">
        <v>140</v>
      </c>
      <c r="H213" s="173">
        <v>2</v>
      </c>
      <c r="I213" s="173" t="s">
        <v>1496</v>
      </c>
      <c r="J213" s="173" t="s">
        <v>1451</v>
      </c>
      <c r="K213" s="173" t="s">
        <v>1452</v>
      </c>
      <c r="L213" s="173"/>
      <c r="M213" s="173" t="s">
        <v>238</v>
      </c>
      <c r="N213" s="173">
        <v>812008359</v>
      </c>
      <c r="O213" s="175">
        <v>3696639</v>
      </c>
      <c r="P213" s="7"/>
      <c r="Q2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3" s="9">
        <f>+IFERROR(VLOOKUP(Tabla3[[#This Row],[Cliente factura]],Tabla4[[NIT]:[TOTAL CREDITO]],6,FALSE),0)</f>
        <v>0</v>
      </c>
      <c r="S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3" s="10" t="str">
        <f>VLOOKUP(Tabla3[[#This Row],[Razón social cliente factura]]&amp;Tabla3[[#This Row],[Desc. ciudad]],'Estandar de Rutas'!$C$1:$E$553,2,FALSE)</f>
        <v>9.2</v>
      </c>
      <c r="U213" s="130">
        <f>IFERROR(VLOOKUP(Tabla3[[#This Row],[Referencia]]&amp;Tabla3[[#This Row],[Desc detalle ext 1]],Tabla1[[Referencia-Color]:[Disponibilidad]],3,FALSE),0)</f>
        <v>21</v>
      </c>
      <c r="V213" s="13"/>
      <c r="W213" s="17">
        <f>+Tabla3[[#This Row],[Cant. Programada]]*Tabla3[[#This Row],[Precio unit]]</f>
        <v>0</v>
      </c>
      <c r="X213" s="130"/>
      <c r="Y213" s="129"/>
      <c r="Z213" s="8" t="str">
        <f>+Tabla3[[#This Row],[Referencia]]&amp;Tabla3[[#This Row],[Desc detalle ext 1]]</f>
        <v xml:space="preserve">CB 110 DLX                                        AZUL     </v>
      </c>
      <c r="AA213" s="128" t="e">
        <f>+VLOOKUP(Tabla3[[#This Row],[CODIGO2]],ESTANDAR!$B$3:$C$9,2,FALSE)</f>
        <v>#N/A</v>
      </c>
      <c r="AB213" s="128" t="str">
        <f>+MID(Tabla3[[#This Row],['# Viaje]],10,1)</f>
        <v/>
      </c>
    </row>
    <row r="214" spans="1:28" ht="15" hidden="1" customHeight="1">
      <c r="A214" s="173" t="s">
        <v>1495</v>
      </c>
      <c r="B214" s="174">
        <v>42948</v>
      </c>
      <c r="C214" s="173" t="s">
        <v>1231</v>
      </c>
      <c r="D214" s="173" t="s">
        <v>1487</v>
      </c>
      <c r="E214" s="173" t="s">
        <v>1232</v>
      </c>
      <c r="F214" s="173">
        <v>5</v>
      </c>
      <c r="G214" s="173" t="s">
        <v>140</v>
      </c>
      <c r="H214" s="173">
        <v>5</v>
      </c>
      <c r="I214" s="173" t="s">
        <v>1496</v>
      </c>
      <c r="J214" s="173" t="s">
        <v>1451</v>
      </c>
      <c r="K214" s="173" t="s">
        <v>16</v>
      </c>
      <c r="L214" s="173"/>
      <c r="M214" s="173" t="s">
        <v>238</v>
      </c>
      <c r="N214" s="173">
        <v>812008359</v>
      </c>
      <c r="O214" s="175">
        <v>3696639</v>
      </c>
      <c r="P214" s="7"/>
      <c r="Q2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4" s="9">
        <f>+IFERROR(VLOOKUP(Tabla3[[#This Row],[Cliente factura]],Tabla4[[NIT]:[TOTAL CREDITO]],6,FALSE),0)</f>
        <v>0</v>
      </c>
      <c r="S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4" s="10" t="str">
        <f>VLOOKUP(Tabla3[[#This Row],[Razón social cliente factura]]&amp;Tabla3[[#This Row],[Desc. ciudad]],'Estandar de Rutas'!$C$1:$E$553,2,FALSE)</f>
        <v>9.2</v>
      </c>
      <c r="U214" s="130">
        <f>IFERROR(VLOOKUP(Tabla3[[#This Row],[Referencia]]&amp;Tabla3[[#This Row],[Desc detalle ext 1]],Tabla1[[Referencia-Color]:[Disponibilidad]],3,FALSE),0)</f>
        <v>3</v>
      </c>
      <c r="V214" s="13"/>
      <c r="W214" s="17">
        <f>+Tabla3[[#This Row],[Cant. Programada]]*Tabla3[[#This Row],[Precio unit]]</f>
        <v>0</v>
      </c>
      <c r="X214" s="8"/>
      <c r="Y214" s="8"/>
      <c r="Z214" s="8" t="str">
        <f>+Tabla3[[#This Row],[Referencia]]&amp;Tabla3[[#This Row],[Desc detalle ext 1]]</f>
        <v xml:space="preserve">CB 110 DLX                                        NEGRO    </v>
      </c>
      <c r="AA214" s="128" t="e">
        <f>+VLOOKUP(Tabla3[[#This Row],[CODIGO2]],ESTANDAR!$B$3:$C$9,2,FALSE)</f>
        <v>#N/A</v>
      </c>
      <c r="AB214" s="128" t="str">
        <f>+MID(Tabla3[[#This Row],['# Viaje]],10,1)</f>
        <v/>
      </c>
    </row>
    <row r="215" spans="1:28" ht="15" hidden="1" customHeight="1">
      <c r="A215" s="173" t="s">
        <v>1497</v>
      </c>
      <c r="B215" s="174">
        <v>42948</v>
      </c>
      <c r="C215" s="173" t="s">
        <v>1231</v>
      </c>
      <c r="D215" s="173" t="s">
        <v>1478</v>
      </c>
      <c r="E215" s="173" t="s">
        <v>1232</v>
      </c>
      <c r="F215" s="173">
        <v>2</v>
      </c>
      <c r="G215" s="173" t="s">
        <v>52</v>
      </c>
      <c r="H215" s="173">
        <v>2</v>
      </c>
      <c r="I215" s="173" t="s">
        <v>1498</v>
      </c>
      <c r="J215" s="173" t="s">
        <v>14</v>
      </c>
      <c r="K215" s="173" t="s">
        <v>16</v>
      </c>
      <c r="L215" s="173"/>
      <c r="M215" s="173" t="s">
        <v>206</v>
      </c>
      <c r="N215" s="173">
        <v>816008547</v>
      </c>
      <c r="O215" s="175">
        <v>3360504</v>
      </c>
      <c r="P215" s="7"/>
      <c r="Q2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5" s="9">
        <f>+IFERROR(VLOOKUP(Tabla3[[#This Row],[Cliente factura]],Tabla4[[NIT]:[TOTAL CREDITO]],6,FALSE),0)</f>
        <v>0</v>
      </c>
      <c r="S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5" s="10" t="str">
        <f>VLOOKUP(Tabla3[[#This Row],[Razón social cliente factura]]&amp;Tabla3[[#This Row],[Desc. ciudad]],'Estandar de Rutas'!$C$1:$E$553,2,FALSE)</f>
        <v>4.1.A</v>
      </c>
      <c r="U215" s="130">
        <f>IFERROR(VLOOKUP(Tabla3[[#This Row],[Referencia]]&amp;Tabla3[[#This Row],[Desc detalle ext 1]],Tabla1[[Referencia-Color]:[Disponibilidad]],3,FALSE),0)</f>
        <v>83</v>
      </c>
      <c r="V215" s="13"/>
      <c r="W215" s="17">
        <f>+Tabla3[[#This Row],[Cant. Programada]]*Tabla3[[#This Row],[Precio unit]]</f>
        <v>0</v>
      </c>
      <c r="X215" s="130"/>
      <c r="Y215" s="129"/>
      <c r="Z215" s="8" t="str">
        <f>+Tabla3[[#This Row],[Referencia]]&amp;Tabla3[[#This Row],[Desc detalle ext 1]]</f>
        <v xml:space="preserve">*CB-110                                           NEGRO    </v>
      </c>
      <c r="AA215" s="128" t="e">
        <f>+VLOOKUP(Tabla3[[#This Row],[CODIGO2]],ESTANDAR!$B$3:$C$9,2,FALSE)</f>
        <v>#N/A</v>
      </c>
      <c r="AB215" s="128" t="str">
        <f>+MID(Tabla3[[#This Row],['# Viaje]],10,1)</f>
        <v/>
      </c>
    </row>
    <row r="216" spans="1:28" ht="15" hidden="1" customHeight="1">
      <c r="A216" s="173" t="s">
        <v>1497</v>
      </c>
      <c r="B216" s="174">
        <v>42948</v>
      </c>
      <c r="C216" s="173" t="s">
        <v>1231</v>
      </c>
      <c r="D216" s="173" t="s">
        <v>1478</v>
      </c>
      <c r="E216" s="173" t="s">
        <v>1232</v>
      </c>
      <c r="F216" s="173">
        <v>2</v>
      </c>
      <c r="G216" s="173" t="s">
        <v>52</v>
      </c>
      <c r="H216" s="173">
        <v>2</v>
      </c>
      <c r="I216" s="173" t="s">
        <v>1498</v>
      </c>
      <c r="J216" s="173" t="s">
        <v>27</v>
      </c>
      <c r="K216" s="173" t="s">
        <v>32</v>
      </c>
      <c r="L216" s="173"/>
      <c r="M216" s="173" t="s">
        <v>206</v>
      </c>
      <c r="N216" s="173">
        <v>816008547</v>
      </c>
      <c r="O216" s="175">
        <v>5789916</v>
      </c>
      <c r="P216" s="7"/>
      <c r="Q2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6" s="9">
        <f>+IFERROR(VLOOKUP(Tabla3[[#This Row],[Cliente factura]],Tabla4[[NIT]:[TOTAL CREDITO]],6,FALSE),0)</f>
        <v>0</v>
      </c>
      <c r="S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6" s="10" t="str">
        <f>VLOOKUP(Tabla3[[#This Row],[Razón social cliente factura]]&amp;Tabla3[[#This Row],[Desc. ciudad]],'Estandar de Rutas'!$C$1:$E$553,2,FALSE)</f>
        <v>4.1.A</v>
      </c>
      <c r="U216" s="130">
        <f>IFERROR(VLOOKUP(Tabla3[[#This Row],[Referencia]]&amp;Tabla3[[#This Row],[Desc detalle ext 1]],Tabla1[[Referencia-Color]:[Disponibilidad]],3,FALSE),0)</f>
        <v>7</v>
      </c>
      <c r="V216" s="13"/>
      <c r="W216" s="17">
        <f>+Tabla3[[#This Row],[Cant. Programada]]*Tabla3[[#This Row],[Precio unit]]</f>
        <v>0</v>
      </c>
      <c r="X216" s="130"/>
      <c r="Y216" s="129"/>
      <c r="Z216" s="8" t="str">
        <f>+Tabla3[[#This Row],[Referencia]]&amp;Tabla3[[#This Row],[Desc detalle ext 1]]</f>
        <v>*XR 150L                                          NEGRO ROJ</v>
      </c>
      <c r="AA216" s="128" t="e">
        <f>+VLOOKUP(Tabla3[[#This Row],[CODIGO2]],ESTANDAR!$B$3:$C$9,2,FALSE)</f>
        <v>#N/A</v>
      </c>
      <c r="AB216" s="128" t="str">
        <f>+MID(Tabla3[[#This Row],['# Viaje]],10,1)</f>
        <v/>
      </c>
    </row>
    <row r="217" spans="1:28" ht="15" hidden="1" customHeight="1">
      <c r="A217" s="173" t="s">
        <v>1497</v>
      </c>
      <c r="B217" s="174">
        <v>42948</v>
      </c>
      <c r="C217" s="173" t="s">
        <v>1231</v>
      </c>
      <c r="D217" s="173" t="s">
        <v>1478</v>
      </c>
      <c r="E217" s="173" t="s">
        <v>1232</v>
      </c>
      <c r="F217" s="173">
        <v>3</v>
      </c>
      <c r="G217" s="173" t="s">
        <v>52</v>
      </c>
      <c r="H217" s="173">
        <v>3</v>
      </c>
      <c r="I217" s="173" t="s">
        <v>1498</v>
      </c>
      <c r="J217" s="173" t="s">
        <v>27</v>
      </c>
      <c r="K217" s="173" t="s">
        <v>26</v>
      </c>
      <c r="L217" s="173"/>
      <c r="M217" s="173" t="s">
        <v>206</v>
      </c>
      <c r="N217" s="173">
        <v>816008547</v>
      </c>
      <c r="O217" s="175">
        <v>5789916</v>
      </c>
      <c r="P217" s="7"/>
      <c r="Q2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7" s="9">
        <f>+IFERROR(VLOOKUP(Tabla3[[#This Row],[Cliente factura]],Tabla4[[NIT]:[TOTAL CREDITO]],6,FALSE),0)</f>
        <v>0</v>
      </c>
      <c r="S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7" s="10" t="str">
        <f>VLOOKUP(Tabla3[[#This Row],[Razón social cliente factura]]&amp;Tabla3[[#This Row],[Desc. ciudad]],'Estandar de Rutas'!$C$1:$E$553,2,FALSE)</f>
        <v>4.1.A</v>
      </c>
      <c r="U217" s="130">
        <f>IFERROR(VLOOKUP(Tabla3[[#This Row],[Referencia]]&amp;Tabla3[[#This Row],[Desc detalle ext 1]],Tabla1[[Referencia-Color]:[Disponibilidad]],3,FALSE),0)</f>
        <v>59</v>
      </c>
      <c r="V217" s="13"/>
      <c r="W217" s="17">
        <f>+Tabla3[[#This Row],[Cant. Programada]]*Tabla3[[#This Row],[Precio unit]]</f>
        <v>0</v>
      </c>
      <c r="X217" s="130"/>
      <c r="Y217" s="129"/>
      <c r="Z217" s="8" t="str">
        <f>+Tabla3[[#This Row],[Referencia]]&amp;Tabla3[[#This Row],[Desc detalle ext 1]]</f>
        <v>*XR 150L                                          NEGRO BLA</v>
      </c>
      <c r="AA217" s="128" t="e">
        <f>+VLOOKUP(Tabla3[[#This Row],[CODIGO2]],ESTANDAR!$B$3:$C$9,2,FALSE)</f>
        <v>#N/A</v>
      </c>
      <c r="AB217" s="128" t="str">
        <f>+MID(Tabla3[[#This Row],['# Viaje]],10,1)</f>
        <v/>
      </c>
    </row>
    <row r="218" spans="1:28" ht="15" hidden="1" customHeight="1">
      <c r="A218" s="173" t="s">
        <v>1497</v>
      </c>
      <c r="B218" s="174">
        <v>42948</v>
      </c>
      <c r="C218" s="173" t="s">
        <v>1231</v>
      </c>
      <c r="D218" s="173" t="s">
        <v>1478</v>
      </c>
      <c r="E218" s="173" t="s">
        <v>1232</v>
      </c>
      <c r="F218" s="173">
        <v>3</v>
      </c>
      <c r="G218" s="173" t="s">
        <v>52</v>
      </c>
      <c r="H218" s="173">
        <v>3</v>
      </c>
      <c r="I218" s="173" t="s">
        <v>1498</v>
      </c>
      <c r="J218" s="173" t="s">
        <v>27</v>
      </c>
      <c r="K218" s="173" t="s">
        <v>16</v>
      </c>
      <c r="L218" s="173"/>
      <c r="M218" s="173" t="s">
        <v>206</v>
      </c>
      <c r="N218" s="173">
        <v>816008547</v>
      </c>
      <c r="O218" s="175">
        <v>5789916</v>
      </c>
      <c r="P218" s="7"/>
      <c r="Q2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8" s="9">
        <f>+IFERROR(VLOOKUP(Tabla3[[#This Row],[Cliente factura]],Tabla4[[NIT]:[TOTAL CREDITO]],6,FALSE),0)</f>
        <v>0</v>
      </c>
      <c r="S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8" s="10" t="str">
        <f>VLOOKUP(Tabla3[[#This Row],[Razón social cliente factura]]&amp;Tabla3[[#This Row],[Desc. ciudad]],'Estandar de Rutas'!$C$1:$E$553,2,FALSE)</f>
        <v>4.1.A</v>
      </c>
      <c r="U218" s="130">
        <f>IFERROR(VLOOKUP(Tabla3[[#This Row],[Referencia]]&amp;Tabla3[[#This Row],[Desc detalle ext 1]],Tabla1[[Referencia-Color]:[Disponibilidad]],3,FALSE),0)</f>
        <v>3</v>
      </c>
      <c r="V218" s="13"/>
      <c r="W218" s="17">
        <f>+Tabla3[[#This Row],[Cant. Programada]]*Tabla3[[#This Row],[Precio unit]]</f>
        <v>0</v>
      </c>
      <c r="X218" s="130"/>
      <c r="Y218" s="129"/>
      <c r="Z218" s="8" t="str">
        <f>+Tabla3[[#This Row],[Referencia]]&amp;Tabla3[[#This Row],[Desc detalle ext 1]]</f>
        <v xml:space="preserve">*XR 150L                                          NEGRO    </v>
      </c>
      <c r="AA218" s="128" t="e">
        <f>+VLOOKUP(Tabla3[[#This Row],[CODIGO2]],ESTANDAR!$B$3:$C$9,2,FALSE)</f>
        <v>#N/A</v>
      </c>
      <c r="AB218" s="128" t="str">
        <f>+MID(Tabla3[[#This Row],['# Viaje]],10,1)</f>
        <v/>
      </c>
    </row>
    <row r="219" spans="1:28" ht="15" hidden="1" customHeight="1">
      <c r="A219" s="173" t="s">
        <v>1497</v>
      </c>
      <c r="B219" s="174">
        <v>42948</v>
      </c>
      <c r="C219" s="173" t="s">
        <v>1231</v>
      </c>
      <c r="D219" s="173" t="s">
        <v>1478</v>
      </c>
      <c r="E219" s="173" t="s">
        <v>1232</v>
      </c>
      <c r="F219" s="173">
        <v>3</v>
      </c>
      <c r="G219" s="173" t="s">
        <v>52</v>
      </c>
      <c r="H219" s="173">
        <v>3</v>
      </c>
      <c r="I219" s="173" t="s">
        <v>1498</v>
      </c>
      <c r="J219" s="173" t="s">
        <v>10</v>
      </c>
      <c r="K219" s="173" t="s">
        <v>11</v>
      </c>
      <c r="L219" s="173"/>
      <c r="M219" s="173" t="s">
        <v>206</v>
      </c>
      <c r="N219" s="173">
        <v>816008547</v>
      </c>
      <c r="O219" s="175">
        <v>7554622</v>
      </c>
      <c r="P219" s="7"/>
      <c r="Q2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9" s="9">
        <f>+IFERROR(VLOOKUP(Tabla3[[#This Row],[Cliente factura]],Tabla4[[NIT]:[TOTAL CREDITO]],6,FALSE),0)</f>
        <v>0</v>
      </c>
      <c r="S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9" s="10" t="str">
        <f>VLOOKUP(Tabla3[[#This Row],[Razón social cliente factura]]&amp;Tabla3[[#This Row],[Desc. ciudad]],'Estandar de Rutas'!$C$1:$E$553,2,FALSE)</f>
        <v>4.1.A</v>
      </c>
      <c r="U219" s="130">
        <f>IFERROR(VLOOKUP(Tabla3[[#This Row],[Referencia]]&amp;Tabla3[[#This Row],[Desc detalle ext 1]],Tabla1[[Referencia-Color]:[Disponibilidad]],3,FALSE),0)</f>
        <v>0</v>
      </c>
      <c r="V219" s="13"/>
      <c r="W219" s="17">
        <f>+Tabla3[[#This Row],[Cant. Programada]]*Tabla3[[#This Row],[Precio unit]]</f>
        <v>0</v>
      </c>
      <c r="X219" s="130"/>
      <c r="Y219" s="129"/>
      <c r="Z219" s="8" t="str">
        <f>+Tabla3[[#This Row],[Referencia]]&amp;Tabla3[[#This Row],[Desc detalle ext 1]]</f>
        <v>CB 190R                                           NEGRO ONI</v>
      </c>
      <c r="AA219" s="128" t="e">
        <f>+VLOOKUP(Tabla3[[#This Row],[CODIGO2]],ESTANDAR!$B$3:$C$9,2,FALSE)</f>
        <v>#N/A</v>
      </c>
      <c r="AB219" s="128" t="str">
        <f>+MID(Tabla3[[#This Row],['# Viaje]],10,1)</f>
        <v/>
      </c>
    </row>
    <row r="220" spans="1:28" ht="15" hidden="1" customHeight="1">
      <c r="A220" s="173" t="s">
        <v>1497</v>
      </c>
      <c r="B220" s="174">
        <v>42948</v>
      </c>
      <c r="C220" s="173" t="s">
        <v>1231</v>
      </c>
      <c r="D220" s="173" t="s">
        <v>1478</v>
      </c>
      <c r="E220" s="173" t="s">
        <v>1232</v>
      </c>
      <c r="F220" s="173">
        <v>3</v>
      </c>
      <c r="G220" s="173" t="s">
        <v>52</v>
      </c>
      <c r="H220" s="173">
        <v>3</v>
      </c>
      <c r="I220" s="173" t="s">
        <v>1498</v>
      </c>
      <c r="J220" s="173" t="s">
        <v>1425</v>
      </c>
      <c r="K220" s="173" t="s">
        <v>1426</v>
      </c>
      <c r="L220" s="173"/>
      <c r="M220" s="173" t="s">
        <v>206</v>
      </c>
      <c r="N220" s="173">
        <v>816008547</v>
      </c>
      <c r="O220" s="175">
        <v>7730252</v>
      </c>
      <c r="P220" s="7"/>
      <c r="Q2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0" s="9">
        <f>+IFERROR(VLOOKUP(Tabla3[[#This Row],[Cliente factura]],Tabla4[[NIT]:[TOTAL CREDITO]],6,FALSE),0)</f>
        <v>0</v>
      </c>
      <c r="S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0" s="10" t="str">
        <f>VLOOKUP(Tabla3[[#This Row],[Razón social cliente factura]]&amp;Tabla3[[#This Row],[Desc. ciudad]],'Estandar de Rutas'!$C$1:$E$553,2,FALSE)</f>
        <v>4.1.A</v>
      </c>
      <c r="U220" s="130">
        <f>IFERROR(VLOOKUP(Tabla3[[#This Row],[Referencia]]&amp;Tabla3[[#This Row],[Desc detalle ext 1]],Tabla1[[Referencia-Color]:[Disponibilidad]],3,FALSE),0)</f>
        <v>104</v>
      </c>
      <c r="V220" s="13"/>
      <c r="W220" s="17">
        <f>+Tabla3[[#This Row],[Cant. Programada]]*Tabla3[[#This Row],[Precio unit]]</f>
        <v>0</v>
      </c>
      <c r="X220" s="130"/>
      <c r="Y220" s="129"/>
      <c r="Z220" s="8" t="str">
        <f>+Tabla3[[#This Row],[Referencia]]&amp;Tabla3[[#This Row],[Desc detalle ext 1]]</f>
        <v>CB 190 REPSOL                                     NARANJA B</v>
      </c>
      <c r="AA220" s="128" t="e">
        <f>+VLOOKUP(Tabla3[[#This Row],[CODIGO2]],ESTANDAR!$B$3:$C$9,2,FALSE)</f>
        <v>#N/A</v>
      </c>
      <c r="AB220" s="128" t="str">
        <f>+MID(Tabla3[[#This Row],['# Viaje]],10,1)</f>
        <v/>
      </c>
    </row>
    <row r="221" spans="1:28" ht="15" hidden="1" customHeight="1">
      <c r="A221" s="173" t="s">
        <v>1497</v>
      </c>
      <c r="B221" s="174">
        <v>42948</v>
      </c>
      <c r="C221" s="173" t="s">
        <v>1231</v>
      </c>
      <c r="D221" s="173" t="s">
        <v>1478</v>
      </c>
      <c r="E221" s="173" t="s">
        <v>1232</v>
      </c>
      <c r="F221" s="173">
        <v>2</v>
      </c>
      <c r="G221" s="173" t="s">
        <v>52</v>
      </c>
      <c r="H221" s="173">
        <v>2</v>
      </c>
      <c r="I221" s="173" t="s">
        <v>1498</v>
      </c>
      <c r="J221" s="173" t="s">
        <v>354</v>
      </c>
      <c r="K221" s="173" t="s">
        <v>474</v>
      </c>
      <c r="L221" s="173"/>
      <c r="M221" s="173" t="s">
        <v>206</v>
      </c>
      <c r="N221" s="173">
        <v>816008547</v>
      </c>
      <c r="O221" s="175">
        <v>6133613</v>
      </c>
      <c r="P221" s="7"/>
      <c r="Q2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1" s="9">
        <f>+IFERROR(VLOOKUP(Tabla3[[#This Row],[Cliente factura]],Tabla4[[NIT]:[TOTAL CREDITO]],6,FALSE),0)</f>
        <v>0</v>
      </c>
      <c r="S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1" s="10" t="str">
        <f>VLOOKUP(Tabla3[[#This Row],[Razón social cliente factura]]&amp;Tabla3[[#This Row],[Desc. ciudad]],'Estandar de Rutas'!$C$1:$E$553,2,FALSE)</f>
        <v>4.1.A</v>
      </c>
      <c r="U221" s="130">
        <f>IFERROR(VLOOKUP(Tabla3[[#This Row],[Referencia]]&amp;Tabla3[[#This Row],[Desc detalle ext 1]],Tabla1[[Referencia-Color]:[Disponibilidad]],3,FALSE),0)</f>
        <v>3</v>
      </c>
      <c r="V221" s="13"/>
      <c r="W221" s="17">
        <f>+Tabla3[[#This Row],[Cant. Programada]]*Tabla3[[#This Row],[Precio unit]]</f>
        <v>0</v>
      </c>
      <c r="X221" s="8"/>
      <c r="Y221" s="8"/>
      <c r="Z221" s="8" t="str">
        <f>+Tabla3[[#This Row],[Referencia]]&amp;Tabla3[[#This Row],[Desc detalle ext 1]]</f>
        <v>CB 160F DLX                                       NARANJA N</v>
      </c>
      <c r="AA221" s="128" t="e">
        <f>+VLOOKUP(Tabla3[[#This Row],[CODIGO2]],ESTANDAR!$B$3:$C$9,2,FALSE)</f>
        <v>#N/A</v>
      </c>
      <c r="AB221" s="128" t="str">
        <f>+MID(Tabla3[[#This Row],['# Viaje]],10,1)</f>
        <v/>
      </c>
    </row>
    <row r="222" spans="1:28" ht="15" hidden="1" customHeight="1">
      <c r="A222" s="173" t="s">
        <v>1497</v>
      </c>
      <c r="B222" s="174">
        <v>42948</v>
      </c>
      <c r="C222" s="173" t="s">
        <v>1231</v>
      </c>
      <c r="D222" s="173" t="s">
        <v>1478</v>
      </c>
      <c r="E222" s="173" t="s">
        <v>1232</v>
      </c>
      <c r="F222" s="173">
        <v>5</v>
      </c>
      <c r="G222" s="173" t="s">
        <v>52</v>
      </c>
      <c r="H222" s="173">
        <v>5</v>
      </c>
      <c r="I222" s="173" t="s">
        <v>1498</v>
      </c>
      <c r="J222" s="173" t="s">
        <v>354</v>
      </c>
      <c r="K222" s="173" t="s">
        <v>355</v>
      </c>
      <c r="L222" s="173"/>
      <c r="M222" s="173" t="s">
        <v>206</v>
      </c>
      <c r="N222" s="173">
        <v>816008547</v>
      </c>
      <c r="O222" s="175">
        <v>6133613</v>
      </c>
      <c r="P222" s="7"/>
      <c r="Q2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2" s="9">
        <f>+IFERROR(VLOOKUP(Tabla3[[#This Row],[Cliente factura]],Tabla4[[NIT]:[TOTAL CREDITO]],6,FALSE),0)</f>
        <v>0</v>
      </c>
      <c r="S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2" s="10" t="str">
        <f>VLOOKUP(Tabla3[[#This Row],[Razón social cliente factura]]&amp;Tabla3[[#This Row],[Desc. ciudad]],'Estandar de Rutas'!$C$1:$E$553,2,FALSE)</f>
        <v>4.1.A</v>
      </c>
      <c r="U222" s="130">
        <f>IFERROR(VLOOKUP(Tabla3[[#This Row],[Referencia]]&amp;Tabla3[[#This Row],[Desc detalle ext 1]],Tabla1[[Referencia-Color]:[Disponibilidad]],3,FALSE),0)</f>
        <v>0</v>
      </c>
      <c r="V222" s="13"/>
      <c r="W222" s="17">
        <f>+Tabla3[[#This Row],[Cant. Programada]]*Tabla3[[#This Row],[Precio unit]]</f>
        <v>0</v>
      </c>
      <c r="X222" s="130"/>
      <c r="Y222" s="129"/>
      <c r="Z222" s="8" t="str">
        <f>+Tabla3[[#This Row],[Referencia]]&amp;Tabla3[[#This Row],[Desc detalle ext 1]]</f>
        <v>CB 160F DLX                                       NEGRO PER</v>
      </c>
      <c r="AA222" s="128" t="e">
        <f>+VLOOKUP(Tabla3[[#This Row],[CODIGO2]],ESTANDAR!$B$3:$C$9,2,FALSE)</f>
        <v>#N/A</v>
      </c>
      <c r="AB222" s="128" t="str">
        <f>+MID(Tabla3[[#This Row],['# Viaje]],10,1)</f>
        <v/>
      </c>
    </row>
    <row r="223" spans="1:28" ht="15" hidden="1" customHeight="1">
      <c r="A223" s="173" t="s">
        <v>1497</v>
      </c>
      <c r="B223" s="174">
        <v>42948</v>
      </c>
      <c r="C223" s="173" t="s">
        <v>1231</v>
      </c>
      <c r="D223" s="173" t="s">
        <v>1478</v>
      </c>
      <c r="E223" s="173" t="s">
        <v>1232</v>
      </c>
      <c r="F223" s="173">
        <v>1</v>
      </c>
      <c r="G223" s="173" t="s">
        <v>52</v>
      </c>
      <c r="H223" s="173">
        <v>1</v>
      </c>
      <c r="I223" s="173" t="s">
        <v>1498</v>
      </c>
      <c r="J223" s="173" t="s">
        <v>1433</v>
      </c>
      <c r="K223" s="173" t="s">
        <v>1452</v>
      </c>
      <c r="L223" s="173"/>
      <c r="M223" s="173" t="s">
        <v>206</v>
      </c>
      <c r="N223" s="173">
        <v>816008547</v>
      </c>
      <c r="O223" s="175">
        <v>3521008</v>
      </c>
      <c r="P223" s="7"/>
      <c r="Q2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3" s="9">
        <f>+IFERROR(VLOOKUP(Tabla3[[#This Row],[Cliente factura]],Tabla4[[NIT]:[TOTAL CREDITO]],6,FALSE),0)</f>
        <v>0</v>
      </c>
      <c r="S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3" s="10" t="str">
        <f>VLOOKUP(Tabla3[[#This Row],[Razón social cliente factura]]&amp;Tabla3[[#This Row],[Desc. ciudad]],'Estandar de Rutas'!$C$1:$E$553,2,FALSE)</f>
        <v>4.1.A</v>
      </c>
      <c r="U223" s="130">
        <f>IFERROR(VLOOKUP(Tabla3[[#This Row],[Referencia]]&amp;Tabla3[[#This Row],[Desc detalle ext 1]],Tabla1[[Referencia-Color]:[Disponibilidad]],3,FALSE),0)</f>
        <v>0</v>
      </c>
      <c r="V223" s="13"/>
      <c r="W223" s="17">
        <f>+Tabla3[[#This Row],[Cant. Programada]]*Tabla3[[#This Row],[Precio unit]]</f>
        <v>0</v>
      </c>
      <c r="X223" s="8"/>
      <c r="Y223" s="8"/>
      <c r="Z223" s="8" t="str">
        <f>+Tabla3[[#This Row],[Referencia]]&amp;Tabla3[[#This Row],[Desc detalle ext 1]]</f>
        <v xml:space="preserve">DIO  110                                          AZUL     </v>
      </c>
      <c r="AA223" s="128" t="e">
        <f>+VLOOKUP(Tabla3[[#This Row],[CODIGO2]],ESTANDAR!$B$3:$C$9,2,FALSE)</f>
        <v>#N/A</v>
      </c>
      <c r="AB223" s="128" t="str">
        <f>+MID(Tabla3[[#This Row],['# Viaje]],10,1)</f>
        <v/>
      </c>
    </row>
    <row r="224" spans="1:28" ht="15" hidden="1" customHeight="1">
      <c r="A224" s="173" t="s">
        <v>1497</v>
      </c>
      <c r="B224" s="174">
        <v>42948</v>
      </c>
      <c r="C224" s="173" t="s">
        <v>1231</v>
      </c>
      <c r="D224" s="173" t="s">
        <v>1478</v>
      </c>
      <c r="E224" s="173" t="s">
        <v>1232</v>
      </c>
      <c r="F224" s="173">
        <v>1</v>
      </c>
      <c r="G224" s="173" t="s">
        <v>52</v>
      </c>
      <c r="H224" s="173">
        <v>1</v>
      </c>
      <c r="I224" s="173" t="s">
        <v>1498</v>
      </c>
      <c r="J224" s="173" t="s">
        <v>1433</v>
      </c>
      <c r="K224" s="173" t="s">
        <v>1431</v>
      </c>
      <c r="L224" s="173"/>
      <c r="M224" s="173" t="s">
        <v>206</v>
      </c>
      <c r="N224" s="173">
        <v>816008547</v>
      </c>
      <c r="O224" s="175">
        <v>3521008</v>
      </c>
      <c r="P224" s="7"/>
      <c r="Q2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4" s="9">
        <f>+IFERROR(VLOOKUP(Tabla3[[#This Row],[Cliente factura]],Tabla4[[NIT]:[TOTAL CREDITO]],6,FALSE),0)</f>
        <v>0</v>
      </c>
      <c r="S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4" s="10" t="str">
        <f>VLOOKUP(Tabla3[[#This Row],[Razón social cliente factura]]&amp;Tabla3[[#This Row],[Desc. ciudad]],'Estandar de Rutas'!$C$1:$E$553,2,FALSE)</f>
        <v>4.1.A</v>
      </c>
      <c r="U224" s="130">
        <f>IFERROR(VLOOKUP(Tabla3[[#This Row],[Referencia]]&amp;Tabla3[[#This Row],[Desc detalle ext 1]],Tabla1[[Referencia-Color]:[Disponibilidad]],3,FALSE),0)</f>
        <v>0</v>
      </c>
      <c r="V224" s="13"/>
      <c r="W224" s="17">
        <f>+Tabla3[[#This Row],[Cant. Programada]]*Tabla3[[#This Row],[Precio unit]]</f>
        <v>0</v>
      </c>
      <c r="X224" s="8"/>
      <c r="Y224" s="8"/>
      <c r="Z224" s="8" t="str">
        <f>+Tabla3[[#This Row],[Referencia]]&amp;Tabla3[[#This Row],[Desc detalle ext 1]]</f>
        <v xml:space="preserve">DIO  110                                          ROJO     </v>
      </c>
      <c r="AA224" s="128" t="e">
        <f>+VLOOKUP(Tabla3[[#This Row],[CODIGO2]],ESTANDAR!$B$3:$C$9,2,FALSE)</f>
        <v>#N/A</v>
      </c>
      <c r="AB224" s="128" t="str">
        <f>+MID(Tabla3[[#This Row],['# Viaje]],10,1)</f>
        <v/>
      </c>
    </row>
    <row r="225" spans="1:28" ht="15" hidden="1" customHeight="1">
      <c r="A225" s="173" t="s">
        <v>1497</v>
      </c>
      <c r="B225" s="174">
        <v>42948</v>
      </c>
      <c r="C225" s="173" t="s">
        <v>1231</v>
      </c>
      <c r="D225" s="173" t="s">
        <v>1478</v>
      </c>
      <c r="E225" s="173" t="s">
        <v>1232</v>
      </c>
      <c r="F225" s="173">
        <v>3</v>
      </c>
      <c r="G225" s="173" t="s">
        <v>52</v>
      </c>
      <c r="H225" s="173">
        <v>3</v>
      </c>
      <c r="I225" s="173" t="s">
        <v>1498</v>
      </c>
      <c r="J225" s="173" t="s">
        <v>1428</v>
      </c>
      <c r="K225" s="173" t="s">
        <v>1429</v>
      </c>
      <c r="L225" s="173"/>
      <c r="M225" s="173" t="s">
        <v>206</v>
      </c>
      <c r="N225" s="173">
        <v>816008547</v>
      </c>
      <c r="O225" s="175">
        <v>3067227</v>
      </c>
      <c r="P225" s="7"/>
      <c r="Q2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5" s="9">
        <f>+IFERROR(VLOOKUP(Tabla3[[#This Row],[Cliente factura]],Tabla4[[NIT]:[TOTAL CREDITO]],6,FALSE),0)</f>
        <v>0</v>
      </c>
      <c r="S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5" s="10" t="str">
        <f>VLOOKUP(Tabla3[[#This Row],[Razón social cliente factura]]&amp;Tabla3[[#This Row],[Desc. ciudad]],'Estandar de Rutas'!$C$1:$E$553,2,FALSE)</f>
        <v>4.1.A</v>
      </c>
      <c r="U225" s="130">
        <f>IFERROR(VLOOKUP(Tabla3[[#This Row],[Referencia]]&amp;Tabla3[[#This Row],[Desc detalle ext 1]],Tabla1[[Referencia-Color]:[Disponibilidad]],3,FALSE),0)</f>
        <v>0</v>
      </c>
      <c r="V225" s="13"/>
      <c r="W225" s="17">
        <f>+Tabla3[[#This Row],[Cant. Programada]]*Tabla3[[#This Row],[Precio unit]]</f>
        <v>0</v>
      </c>
      <c r="X225" s="130"/>
      <c r="Y225" s="129"/>
      <c r="Z225" s="8" t="str">
        <f>+Tabla3[[#This Row],[Referencia]]&amp;Tabla3[[#This Row],[Desc detalle ext 1]]</f>
        <v>DREAM  NEO                                        NEGRO AZU</v>
      </c>
      <c r="AA225" s="128" t="e">
        <f>+VLOOKUP(Tabla3[[#This Row],[CODIGO2]],ESTANDAR!$B$3:$C$9,2,FALSE)</f>
        <v>#N/A</v>
      </c>
      <c r="AB225" s="128" t="str">
        <f>+MID(Tabla3[[#This Row],['# Viaje]],10,1)</f>
        <v/>
      </c>
    </row>
    <row r="226" spans="1:28" ht="15" hidden="1" customHeight="1">
      <c r="A226" s="173" t="s">
        <v>1497</v>
      </c>
      <c r="B226" s="174">
        <v>42948</v>
      </c>
      <c r="C226" s="173" t="s">
        <v>1231</v>
      </c>
      <c r="D226" s="173" t="s">
        <v>1478</v>
      </c>
      <c r="E226" s="173" t="s">
        <v>1232</v>
      </c>
      <c r="F226" s="173">
        <v>2</v>
      </c>
      <c r="G226" s="173" t="s">
        <v>52</v>
      </c>
      <c r="H226" s="173">
        <v>2</v>
      </c>
      <c r="I226" s="173" t="s">
        <v>1498</v>
      </c>
      <c r="J226" s="173" t="s">
        <v>1428</v>
      </c>
      <c r="K226" s="173" t="s">
        <v>32</v>
      </c>
      <c r="L226" s="173"/>
      <c r="M226" s="173" t="s">
        <v>206</v>
      </c>
      <c r="N226" s="173">
        <v>816008547</v>
      </c>
      <c r="O226" s="175">
        <v>3067227</v>
      </c>
      <c r="P226" s="7"/>
      <c r="Q2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6" s="9">
        <f>+IFERROR(VLOOKUP(Tabla3[[#This Row],[Cliente factura]],Tabla4[[NIT]:[TOTAL CREDITO]],6,FALSE),0)</f>
        <v>0</v>
      </c>
      <c r="S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6" s="10" t="str">
        <f>VLOOKUP(Tabla3[[#This Row],[Razón social cliente factura]]&amp;Tabla3[[#This Row],[Desc. ciudad]],'Estandar de Rutas'!$C$1:$E$553,2,FALSE)</f>
        <v>4.1.A</v>
      </c>
      <c r="U226" s="130">
        <f>IFERROR(VLOOKUP(Tabla3[[#This Row],[Referencia]]&amp;Tabla3[[#This Row],[Desc detalle ext 1]],Tabla1[[Referencia-Color]:[Disponibilidad]],3,FALSE),0)</f>
        <v>0</v>
      </c>
      <c r="V226" s="13"/>
      <c r="W226" s="17">
        <f>+Tabla3[[#This Row],[Cant. Programada]]*Tabla3[[#This Row],[Precio unit]]</f>
        <v>0</v>
      </c>
      <c r="X226" s="8"/>
      <c r="Y226" s="8"/>
      <c r="Z226" s="8" t="str">
        <f>+Tabla3[[#This Row],[Referencia]]&amp;Tabla3[[#This Row],[Desc detalle ext 1]]</f>
        <v>DREAM  NEO                                        NEGRO ROJ</v>
      </c>
      <c r="AA226" s="128" t="e">
        <f>+VLOOKUP(Tabla3[[#This Row],[CODIGO2]],ESTANDAR!$B$3:$C$9,2,FALSE)</f>
        <v>#N/A</v>
      </c>
      <c r="AB226" s="128" t="str">
        <f>+MID(Tabla3[[#This Row],['# Viaje]],10,1)</f>
        <v/>
      </c>
    </row>
    <row r="227" spans="1:28" ht="15" hidden="1" customHeight="1">
      <c r="A227" s="173" t="s">
        <v>1497</v>
      </c>
      <c r="B227" s="174">
        <v>42948</v>
      </c>
      <c r="C227" s="173" t="s">
        <v>1231</v>
      </c>
      <c r="D227" s="173" t="s">
        <v>1478</v>
      </c>
      <c r="E227" s="173" t="s">
        <v>1232</v>
      </c>
      <c r="F227" s="173">
        <v>2</v>
      </c>
      <c r="G227" s="173" t="s">
        <v>52</v>
      </c>
      <c r="H227" s="173">
        <v>2</v>
      </c>
      <c r="I227" s="173" t="s">
        <v>1498</v>
      </c>
      <c r="J227" s="173" t="s">
        <v>1430</v>
      </c>
      <c r="K227" s="173" t="s">
        <v>1431</v>
      </c>
      <c r="L227" s="173"/>
      <c r="M227" s="173" t="s">
        <v>206</v>
      </c>
      <c r="N227" s="173">
        <v>816008547</v>
      </c>
      <c r="O227" s="175">
        <v>3941176</v>
      </c>
      <c r="P227" s="7"/>
      <c r="Q2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7" s="9">
        <f>+IFERROR(VLOOKUP(Tabla3[[#This Row],[Cliente factura]],Tabla4[[NIT]:[TOTAL CREDITO]],6,FALSE),0)</f>
        <v>0</v>
      </c>
      <c r="S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7" s="10" t="str">
        <f>VLOOKUP(Tabla3[[#This Row],[Razón social cliente factura]]&amp;Tabla3[[#This Row],[Desc. ciudad]],'Estandar de Rutas'!$C$1:$E$553,2,FALSE)</f>
        <v>4.1.A</v>
      </c>
      <c r="U227" s="130">
        <f>IFERROR(VLOOKUP(Tabla3[[#This Row],[Referencia]]&amp;Tabla3[[#This Row],[Desc detalle ext 1]],Tabla1[[Referencia-Color]:[Disponibilidad]],3,FALSE),0)</f>
        <v>0</v>
      </c>
      <c r="V227" s="13"/>
      <c r="W227" s="17">
        <f>+Tabla3[[#This Row],[Cant. Programada]]*Tabla3[[#This Row],[Precio unit]]</f>
        <v>0</v>
      </c>
      <c r="X227" s="129"/>
      <c r="Y227" s="129"/>
      <c r="Z227" s="8" t="str">
        <f>+Tabla3[[#This Row],[Referencia]]&amp;Tabla3[[#This Row],[Desc detalle ext 1]]</f>
        <v xml:space="preserve">WAVE 110S                                         ROJO     </v>
      </c>
      <c r="AA227" s="128" t="e">
        <f>+VLOOKUP(Tabla3[[#This Row],[CODIGO2]],ESTANDAR!$B$3:$C$9,2,FALSE)</f>
        <v>#N/A</v>
      </c>
      <c r="AB227" s="128" t="str">
        <f>+MID(Tabla3[[#This Row],['# Viaje]],10,1)</f>
        <v/>
      </c>
    </row>
    <row r="228" spans="1:28" hidden="1">
      <c r="A228" s="173" t="s">
        <v>1497</v>
      </c>
      <c r="B228" s="174">
        <v>42948</v>
      </c>
      <c r="C228" s="173" t="s">
        <v>1231</v>
      </c>
      <c r="D228" s="173" t="s">
        <v>1478</v>
      </c>
      <c r="E228" s="173" t="s">
        <v>1232</v>
      </c>
      <c r="F228" s="173">
        <v>2</v>
      </c>
      <c r="G228" s="173" t="s">
        <v>52</v>
      </c>
      <c r="H228" s="173">
        <v>2</v>
      </c>
      <c r="I228" s="173" t="s">
        <v>1498</v>
      </c>
      <c r="J228" s="173" t="s">
        <v>1234</v>
      </c>
      <c r="K228" s="173" t="s">
        <v>355</v>
      </c>
      <c r="L228" s="173"/>
      <c r="M228" s="173" t="s">
        <v>206</v>
      </c>
      <c r="N228" s="173">
        <v>816008547</v>
      </c>
      <c r="O228" s="175">
        <v>5453782</v>
      </c>
      <c r="P228" s="7"/>
      <c r="Q2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8" s="9">
        <f>+IFERROR(VLOOKUP(Tabla3[[#This Row],[Cliente factura]],Tabla4[[NIT]:[TOTAL CREDITO]],6,FALSE),0)</f>
        <v>0</v>
      </c>
      <c r="S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8" s="10" t="str">
        <f>VLOOKUP(Tabla3[[#This Row],[Razón social cliente factura]]&amp;Tabla3[[#This Row],[Desc. ciudad]],'Estandar de Rutas'!$C$1:$E$553,2,FALSE)</f>
        <v>4.1.A</v>
      </c>
      <c r="U228" s="130">
        <f>IFERROR(VLOOKUP(Tabla3[[#This Row],[Referencia]]&amp;Tabla3[[#This Row],[Desc detalle ext 1]],Tabla1[[Referencia-Color]:[Disponibilidad]],3,FALSE),0)</f>
        <v>0</v>
      </c>
      <c r="V228" s="13"/>
      <c r="W228" s="17">
        <f>+Tabla3[[#This Row],[Cant. Programada]]*Tabla3[[#This Row],[Precio unit]]</f>
        <v>0</v>
      </c>
      <c r="X228" s="129"/>
      <c r="Y228" s="129"/>
      <c r="Z228" s="8" t="str">
        <f>+Tabla3[[#This Row],[Referencia]]&amp;Tabla3[[#This Row],[Desc detalle ext 1]]</f>
        <v>CB 160F STD                                       NEGRO PER</v>
      </c>
      <c r="AA228" s="128" t="e">
        <f>+VLOOKUP(Tabla3[[#This Row],[CODIGO2]],ESTANDAR!$B$3:$C$9,2,FALSE)</f>
        <v>#N/A</v>
      </c>
      <c r="AB228" s="128" t="str">
        <f>+MID(Tabla3[[#This Row],['# Viaje]],10,1)</f>
        <v/>
      </c>
    </row>
    <row r="229" spans="1:28" ht="15" hidden="1" customHeight="1">
      <c r="A229" s="173" t="s">
        <v>1497</v>
      </c>
      <c r="B229" s="174">
        <v>42948</v>
      </c>
      <c r="C229" s="173" t="s">
        <v>1231</v>
      </c>
      <c r="D229" s="173" t="s">
        <v>1478</v>
      </c>
      <c r="E229" s="173" t="s">
        <v>1232</v>
      </c>
      <c r="F229" s="173">
        <v>1</v>
      </c>
      <c r="G229" s="173" t="s">
        <v>52</v>
      </c>
      <c r="H229" s="173">
        <v>1</v>
      </c>
      <c r="I229" s="173" t="s">
        <v>1498</v>
      </c>
      <c r="J229" s="173" t="s">
        <v>1234</v>
      </c>
      <c r="K229" s="173" t="s">
        <v>44</v>
      </c>
      <c r="L229" s="173"/>
      <c r="M229" s="173" t="s">
        <v>206</v>
      </c>
      <c r="N229" s="173">
        <v>816008547</v>
      </c>
      <c r="O229" s="175">
        <v>5453782</v>
      </c>
      <c r="P229" s="7"/>
      <c r="Q2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9" s="9">
        <f>+IFERROR(VLOOKUP(Tabla3[[#This Row],[Cliente factura]],Tabla4[[NIT]:[TOTAL CREDITO]],6,FALSE),0)</f>
        <v>0</v>
      </c>
      <c r="S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9" s="10" t="str">
        <f>VLOOKUP(Tabla3[[#This Row],[Razón social cliente factura]]&amp;Tabla3[[#This Row],[Desc. ciudad]],'Estandar de Rutas'!$C$1:$E$553,2,FALSE)</f>
        <v>4.1.A</v>
      </c>
      <c r="U229" s="130">
        <f>IFERROR(VLOOKUP(Tabla3[[#This Row],[Referencia]]&amp;Tabla3[[#This Row],[Desc detalle ext 1]],Tabla1[[Referencia-Color]:[Disponibilidad]],3,FALSE),0)</f>
        <v>1</v>
      </c>
      <c r="V229" s="13"/>
      <c r="W229" s="17">
        <f>+Tabla3[[#This Row],[Cant. Programada]]*Tabla3[[#This Row],[Precio unit]]</f>
        <v>0</v>
      </c>
      <c r="X229" s="129"/>
      <c r="Y229" s="129"/>
      <c r="Z229" s="8" t="str">
        <f>+Tabla3[[#This Row],[Referencia]]&amp;Tabla3[[#This Row],[Desc detalle ext 1]]</f>
        <v>CB 160F STD                                       BLANCO PE</v>
      </c>
      <c r="AA229" s="128" t="e">
        <f>+VLOOKUP(Tabla3[[#This Row],[CODIGO2]],ESTANDAR!$B$3:$C$9,2,FALSE)</f>
        <v>#N/A</v>
      </c>
      <c r="AB229" s="128" t="str">
        <f>+MID(Tabla3[[#This Row],['# Viaje]],10,1)</f>
        <v/>
      </c>
    </row>
    <row r="230" spans="1:28" ht="15" hidden="1" customHeight="1">
      <c r="A230" s="173" t="s">
        <v>1497</v>
      </c>
      <c r="B230" s="174">
        <v>42948</v>
      </c>
      <c r="C230" s="173" t="s">
        <v>1231</v>
      </c>
      <c r="D230" s="173" t="s">
        <v>1478</v>
      </c>
      <c r="E230" s="173" t="s">
        <v>1232</v>
      </c>
      <c r="F230" s="173">
        <v>4</v>
      </c>
      <c r="G230" s="173" t="s">
        <v>52</v>
      </c>
      <c r="H230" s="173">
        <v>4</v>
      </c>
      <c r="I230" s="173" t="s">
        <v>1498</v>
      </c>
      <c r="J230" s="173" t="s">
        <v>1451</v>
      </c>
      <c r="K230" s="173" t="s">
        <v>16</v>
      </c>
      <c r="L230" s="173"/>
      <c r="M230" s="173" t="s">
        <v>206</v>
      </c>
      <c r="N230" s="173">
        <v>816008547</v>
      </c>
      <c r="O230" s="175">
        <v>3696639</v>
      </c>
      <c r="P230" s="7"/>
      <c r="Q2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0" s="9">
        <f>+IFERROR(VLOOKUP(Tabla3[[#This Row],[Cliente factura]],Tabla4[[NIT]:[TOTAL CREDITO]],6,FALSE),0)</f>
        <v>0</v>
      </c>
      <c r="S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0" s="10" t="str">
        <f>VLOOKUP(Tabla3[[#This Row],[Razón social cliente factura]]&amp;Tabla3[[#This Row],[Desc. ciudad]],'Estandar de Rutas'!$C$1:$E$553,2,FALSE)</f>
        <v>4.1.A</v>
      </c>
      <c r="U230" s="130">
        <f>IFERROR(VLOOKUP(Tabla3[[#This Row],[Referencia]]&amp;Tabla3[[#This Row],[Desc detalle ext 1]],Tabla1[[Referencia-Color]:[Disponibilidad]],3,FALSE),0)</f>
        <v>3</v>
      </c>
      <c r="V230" s="13"/>
      <c r="W230" s="17">
        <f>+Tabla3[[#This Row],[Cant. Programada]]*Tabla3[[#This Row],[Precio unit]]</f>
        <v>0</v>
      </c>
      <c r="X230" s="8"/>
      <c r="Y230" s="8"/>
      <c r="Z230" s="8" t="str">
        <f>+Tabla3[[#This Row],[Referencia]]&amp;Tabla3[[#This Row],[Desc detalle ext 1]]</f>
        <v xml:space="preserve">CB 110 DLX                                        NEGRO    </v>
      </c>
      <c r="AA230" s="128" t="e">
        <f>+VLOOKUP(Tabla3[[#This Row],[CODIGO2]],ESTANDAR!$B$3:$C$9,2,FALSE)</f>
        <v>#N/A</v>
      </c>
      <c r="AB230" s="128" t="str">
        <f>+MID(Tabla3[[#This Row],['# Viaje]],10,1)</f>
        <v/>
      </c>
    </row>
    <row r="231" spans="1:28" ht="15" hidden="1" customHeight="1">
      <c r="A231" s="173" t="s">
        <v>1499</v>
      </c>
      <c r="B231" s="174">
        <v>42948</v>
      </c>
      <c r="C231" s="173" t="s">
        <v>1231</v>
      </c>
      <c r="D231" s="173" t="s">
        <v>1478</v>
      </c>
      <c r="E231" s="173" t="s">
        <v>1232</v>
      </c>
      <c r="F231" s="173">
        <v>1</v>
      </c>
      <c r="G231" s="173" t="s">
        <v>43</v>
      </c>
      <c r="H231" s="173">
        <v>1</v>
      </c>
      <c r="I231" s="173" t="s">
        <v>1219</v>
      </c>
      <c r="J231" s="173" t="s">
        <v>1421</v>
      </c>
      <c r="K231" s="173" t="s">
        <v>16</v>
      </c>
      <c r="L231" s="173"/>
      <c r="M231" s="173" t="s">
        <v>42</v>
      </c>
      <c r="N231" s="173">
        <v>890330584</v>
      </c>
      <c r="O231" s="175">
        <v>11496063</v>
      </c>
      <c r="P231" s="7"/>
      <c r="Q231" s="16">
        <f>+IF(IFERROR(VLOOKUP(Tabla3[[#This Row],[Cliente factura]],Tabla4[[NIT]:[TOTAL CREDITO]],3,FALSE),0)="",0,IFERROR(VLOOKUP(Tabla3[[#This Row],[Cliente factura]],Tabla4[[NIT]:[TOTAL CREDITO]],3,FALSE),0))</f>
        <v>802084041</v>
      </c>
      <c r="R231" s="9">
        <f>+IFERROR(VLOOKUP(Tabla3[[#This Row],[Cliente factura]],Tabla4[[NIT]:[TOTAL CREDITO]],6,FALSE),0)</f>
        <v>0</v>
      </c>
      <c r="S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1" s="10" t="str">
        <f>VLOOKUP(Tabla3[[#This Row],[Razón social cliente factura]]&amp;Tabla3[[#This Row],[Desc. ciudad]],'Estandar de Rutas'!$C$1:$E$553,2,FALSE)</f>
        <v>1.3</v>
      </c>
      <c r="U231" s="130">
        <f>IFERROR(VLOOKUP(Tabla3[[#This Row],[Referencia]]&amp;Tabla3[[#This Row],[Desc detalle ext 1]],Tabla1[[Referencia-Color]:[Disponibilidad]],3,FALSE),0)</f>
        <v>0</v>
      </c>
      <c r="V231" s="13"/>
      <c r="W231" s="17">
        <f>+Tabla3[[#This Row],[Cant. Programada]]*Tabla3[[#This Row],[Precio unit]]</f>
        <v>0</v>
      </c>
      <c r="X231" s="8"/>
      <c r="Y231" s="8"/>
      <c r="Z231" s="8" t="str">
        <f>+Tabla3[[#This Row],[Referencia]]&amp;Tabla3[[#This Row],[Desc detalle ext 1]]</f>
        <v xml:space="preserve">*XR-250 TORNADO pt MD34                           NEGRO    </v>
      </c>
      <c r="AA231" s="128" t="e">
        <f>+VLOOKUP(Tabla3[[#This Row],[CODIGO2]],ESTANDAR!$B$3:$C$9,2,FALSE)</f>
        <v>#N/A</v>
      </c>
      <c r="AB231" s="128" t="str">
        <f>+MID(Tabla3[[#This Row],['# Viaje]],10,1)</f>
        <v/>
      </c>
    </row>
    <row r="232" spans="1:28" ht="15" hidden="1" customHeight="1">
      <c r="A232" s="173" t="s">
        <v>1499</v>
      </c>
      <c r="B232" s="174">
        <v>42948</v>
      </c>
      <c r="C232" s="173" t="s">
        <v>1231</v>
      </c>
      <c r="D232" s="173" t="s">
        <v>1478</v>
      </c>
      <c r="E232" s="173" t="s">
        <v>1232</v>
      </c>
      <c r="F232" s="173">
        <v>1</v>
      </c>
      <c r="G232" s="173" t="s">
        <v>43</v>
      </c>
      <c r="H232" s="173">
        <v>1</v>
      </c>
      <c r="I232" s="173" t="s">
        <v>1219</v>
      </c>
      <c r="J232" s="173" t="s">
        <v>27</v>
      </c>
      <c r="K232" s="173" t="s">
        <v>26</v>
      </c>
      <c r="L232" s="173"/>
      <c r="M232" s="173" t="s">
        <v>42</v>
      </c>
      <c r="N232" s="173">
        <v>890330584</v>
      </c>
      <c r="O232" s="175">
        <v>5789916</v>
      </c>
      <c r="P232" s="7"/>
      <c r="Q232" s="16">
        <f>+IF(IFERROR(VLOOKUP(Tabla3[[#This Row],[Cliente factura]],Tabla4[[NIT]:[TOTAL CREDITO]],3,FALSE),0)="",0,IFERROR(VLOOKUP(Tabla3[[#This Row],[Cliente factura]],Tabla4[[NIT]:[TOTAL CREDITO]],3,FALSE),0))</f>
        <v>802084041</v>
      </c>
      <c r="R232" s="9">
        <f>+IFERROR(VLOOKUP(Tabla3[[#This Row],[Cliente factura]],Tabla4[[NIT]:[TOTAL CREDITO]],6,FALSE),0)</f>
        <v>0</v>
      </c>
      <c r="S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2" s="10" t="str">
        <f>VLOOKUP(Tabla3[[#This Row],[Razón social cliente factura]]&amp;Tabla3[[#This Row],[Desc. ciudad]],'Estandar de Rutas'!$C$1:$E$553,2,FALSE)</f>
        <v>1.3</v>
      </c>
      <c r="U232" s="130">
        <f>IFERROR(VLOOKUP(Tabla3[[#This Row],[Referencia]]&amp;Tabla3[[#This Row],[Desc detalle ext 1]],Tabla1[[Referencia-Color]:[Disponibilidad]],3,FALSE),0)</f>
        <v>59</v>
      </c>
      <c r="V232" s="13"/>
      <c r="W232" s="17">
        <f>+Tabla3[[#This Row],[Cant. Programada]]*Tabla3[[#This Row],[Precio unit]]</f>
        <v>0</v>
      </c>
      <c r="X232" s="8"/>
      <c r="Y232" s="8"/>
      <c r="Z232" s="8" t="str">
        <f>+Tabla3[[#This Row],[Referencia]]&amp;Tabla3[[#This Row],[Desc detalle ext 1]]</f>
        <v>*XR 150L                                          NEGRO BLA</v>
      </c>
      <c r="AA232" s="128" t="e">
        <f>+VLOOKUP(Tabla3[[#This Row],[CODIGO2]],ESTANDAR!$B$3:$C$9,2,FALSE)</f>
        <v>#N/A</v>
      </c>
      <c r="AB232" s="128" t="str">
        <f>+MID(Tabla3[[#This Row],['# Viaje]],10,1)</f>
        <v/>
      </c>
    </row>
    <row r="233" spans="1:28" ht="15" hidden="1" customHeight="1">
      <c r="A233" s="173" t="s">
        <v>1499</v>
      </c>
      <c r="B233" s="174">
        <v>42948</v>
      </c>
      <c r="C233" s="173" t="s">
        <v>1231</v>
      </c>
      <c r="D233" s="173" t="s">
        <v>1478</v>
      </c>
      <c r="E233" s="173" t="s">
        <v>1232</v>
      </c>
      <c r="F233" s="173">
        <v>1</v>
      </c>
      <c r="G233" s="173" t="s">
        <v>43</v>
      </c>
      <c r="H233" s="173">
        <v>1</v>
      </c>
      <c r="I233" s="173" t="s">
        <v>1219</v>
      </c>
      <c r="J233" s="173" t="s">
        <v>10</v>
      </c>
      <c r="K233" s="173" t="s">
        <v>11</v>
      </c>
      <c r="L233" s="173"/>
      <c r="M233" s="173" t="s">
        <v>42</v>
      </c>
      <c r="N233" s="173">
        <v>890330584</v>
      </c>
      <c r="O233" s="175">
        <v>7554622</v>
      </c>
      <c r="P233" s="7"/>
      <c r="Q233" s="16">
        <f>+IF(IFERROR(VLOOKUP(Tabla3[[#This Row],[Cliente factura]],Tabla4[[NIT]:[TOTAL CREDITO]],3,FALSE),0)="",0,IFERROR(VLOOKUP(Tabla3[[#This Row],[Cliente factura]],Tabla4[[NIT]:[TOTAL CREDITO]],3,FALSE),0))</f>
        <v>802084041</v>
      </c>
      <c r="R233" s="9">
        <f>+IFERROR(VLOOKUP(Tabla3[[#This Row],[Cliente factura]],Tabla4[[NIT]:[TOTAL CREDITO]],6,FALSE),0)</f>
        <v>0</v>
      </c>
      <c r="S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3" s="10" t="str">
        <f>VLOOKUP(Tabla3[[#This Row],[Razón social cliente factura]]&amp;Tabla3[[#This Row],[Desc. ciudad]],'Estandar de Rutas'!$C$1:$E$553,2,FALSE)</f>
        <v>1.3</v>
      </c>
      <c r="U233" s="130">
        <f>IFERROR(VLOOKUP(Tabla3[[#This Row],[Referencia]]&amp;Tabla3[[#This Row],[Desc detalle ext 1]],Tabla1[[Referencia-Color]:[Disponibilidad]],3,FALSE),0)</f>
        <v>0</v>
      </c>
      <c r="V233" s="13"/>
      <c r="W233" s="17">
        <f>+Tabla3[[#This Row],[Cant. Programada]]*Tabla3[[#This Row],[Precio unit]]</f>
        <v>0</v>
      </c>
      <c r="X233" s="8"/>
      <c r="Y233" s="8"/>
      <c r="Z233" s="8" t="str">
        <f>+Tabla3[[#This Row],[Referencia]]&amp;Tabla3[[#This Row],[Desc detalle ext 1]]</f>
        <v>CB 190R                                           NEGRO ONI</v>
      </c>
      <c r="AA233" s="128" t="e">
        <f>+VLOOKUP(Tabla3[[#This Row],[CODIGO2]],ESTANDAR!$B$3:$C$9,2,FALSE)</f>
        <v>#N/A</v>
      </c>
      <c r="AB233" s="128" t="str">
        <f>+MID(Tabla3[[#This Row],['# Viaje]],10,1)</f>
        <v/>
      </c>
    </row>
    <row r="234" spans="1:28" hidden="1">
      <c r="A234" s="173" t="s">
        <v>1499</v>
      </c>
      <c r="B234" s="174">
        <v>42948</v>
      </c>
      <c r="C234" s="173" t="s">
        <v>1231</v>
      </c>
      <c r="D234" s="173" t="s">
        <v>1478</v>
      </c>
      <c r="E234" s="173" t="s">
        <v>1232</v>
      </c>
      <c r="F234" s="173">
        <v>1</v>
      </c>
      <c r="G234" s="173" t="s">
        <v>43</v>
      </c>
      <c r="H234" s="173">
        <v>1</v>
      </c>
      <c r="I234" s="173" t="s">
        <v>1219</v>
      </c>
      <c r="J234" s="173" t="s">
        <v>25</v>
      </c>
      <c r="K234" s="173" t="s">
        <v>26</v>
      </c>
      <c r="L234" s="173"/>
      <c r="M234" s="173" t="s">
        <v>42</v>
      </c>
      <c r="N234" s="173">
        <v>890330584</v>
      </c>
      <c r="O234" s="175">
        <v>3521008</v>
      </c>
      <c r="P234" s="7"/>
      <c r="Q234" s="16">
        <f>+IF(IFERROR(VLOOKUP(Tabla3[[#This Row],[Cliente factura]],Tabla4[[NIT]:[TOTAL CREDITO]],3,FALSE),0)="",0,IFERROR(VLOOKUP(Tabla3[[#This Row],[Cliente factura]],Tabla4[[NIT]:[TOTAL CREDITO]],3,FALSE),0))</f>
        <v>802084041</v>
      </c>
      <c r="R234" s="9">
        <f>+IFERROR(VLOOKUP(Tabla3[[#This Row],[Cliente factura]],Tabla4[[NIT]:[TOTAL CREDITO]],6,FALSE),0)</f>
        <v>0</v>
      </c>
      <c r="S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4" s="10" t="str">
        <f>VLOOKUP(Tabla3[[#This Row],[Razón social cliente factura]]&amp;Tabla3[[#This Row],[Desc. ciudad]],'Estandar de Rutas'!$C$1:$E$553,2,FALSE)</f>
        <v>1.3</v>
      </c>
      <c r="U234" s="130">
        <f>IFERROR(VLOOKUP(Tabla3[[#This Row],[Referencia]]&amp;Tabla3[[#This Row],[Desc detalle ext 1]],Tabla1[[Referencia-Color]:[Disponibilidad]],3,FALSE),0)</f>
        <v>15</v>
      </c>
      <c r="V234" s="13"/>
      <c r="W234" s="17">
        <f>+Tabla3[[#This Row],[Cant. Programada]]*Tabla3[[#This Row],[Precio unit]]</f>
        <v>0</v>
      </c>
      <c r="X234" s="8"/>
      <c r="Y234" s="8"/>
      <c r="Z234" s="8" t="str">
        <f>+Tabla3[[#This Row],[Referencia]]&amp;Tabla3[[#This Row],[Desc detalle ext 1]]</f>
        <v>DIO 110                                           NEGRO BLA</v>
      </c>
      <c r="AA234" s="128" t="e">
        <f>+VLOOKUP(Tabla3[[#This Row],[CODIGO2]],ESTANDAR!$B$3:$C$9,2,FALSE)</f>
        <v>#N/A</v>
      </c>
      <c r="AB234" s="128" t="str">
        <f>+MID(Tabla3[[#This Row],['# Viaje]],10,1)</f>
        <v/>
      </c>
    </row>
    <row r="235" spans="1:28" ht="15" hidden="1" customHeight="1">
      <c r="A235" s="173" t="s">
        <v>1499</v>
      </c>
      <c r="B235" s="174">
        <v>42948</v>
      </c>
      <c r="C235" s="173" t="s">
        <v>1231</v>
      </c>
      <c r="D235" s="173" t="s">
        <v>1478</v>
      </c>
      <c r="E235" s="173" t="s">
        <v>1232</v>
      </c>
      <c r="F235" s="173">
        <v>2</v>
      </c>
      <c r="G235" s="173" t="s">
        <v>43</v>
      </c>
      <c r="H235" s="173">
        <v>2</v>
      </c>
      <c r="I235" s="173" t="s">
        <v>1219</v>
      </c>
      <c r="J235" s="173" t="s">
        <v>1451</v>
      </c>
      <c r="K235" s="173" t="s">
        <v>1449</v>
      </c>
      <c r="L235" s="173"/>
      <c r="M235" s="173" t="s">
        <v>42</v>
      </c>
      <c r="N235" s="173">
        <v>890330584</v>
      </c>
      <c r="O235" s="175">
        <v>3696639</v>
      </c>
      <c r="P235" s="7"/>
      <c r="Q235" s="16">
        <f>+IF(IFERROR(VLOOKUP(Tabla3[[#This Row],[Cliente factura]],Tabla4[[NIT]:[TOTAL CREDITO]],3,FALSE),0)="",0,IFERROR(VLOOKUP(Tabla3[[#This Row],[Cliente factura]],Tabla4[[NIT]:[TOTAL CREDITO]],3,FALSE),0))</f>
        <v>802084041</v>
      </c>
      <c r="R235" s="9">
        <f>+IFERROR(VLOOKUP(Tabla3[[#This Row],[Cliente factura]],Tabla4[[NIT]:[TOTAL CREDITO]],6,FALSE),0)</f>
        <v>0</v>
      </c>
      <c r="S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5" s="10" t="str">
        <f>VLOOKUP(Tabla3[[#This Row],[Razón social cliente factura]]&amp;Tabla3[[#This Row],[Desc. ciudad]],'Estandar de Rutas'!$C$1:$E$553,2,FALSE)</f>
        <v>1.3</v>
      </c>
      <c r="U235" s="130">
        <f>IFERROR(VLOOKUP(Tabla3[[#This Row],[Referencia]]&amp;Tabla3[[#This Row],[Desc detalle ext 1]],Tabla1[[Referencia-Color]:[Disponibilidad]],3,FALSE),0)</f>
        <v>24</v>
      </c>
      <c r="V235" s="13"/>
      <c r="W235" s="17">
        <f>+Tabla3[[#This Row],[Cant. Programada]]*Tabla3[[#This Row],[Precio unit]]</f>
        <v>0</v>
      </c>
      <c r="X235" s="8"/>
      <c r="Y235" s="8"/>
      <c r="Z235" s="8" t="str">
        <f>+Tabla3[[#This Row],[Referencia]]&amp;Tabla3[[#This Row],[Desc detalle ext 1]]</f>
        <v xml:space="preserve">CB 110 DLX                                        GRIS     </v>
      </c>
      <c r="AA235" s="128" t="e">
        <f>+VLOOKUP(Tabla3[[#This Row],[CODIGO2]],ESTANDAR!$B$3:$C$9,2,FALSE)</f>
        <v>#N/A</v>
      </c>
      <c r="AB235" s="128" t="str">
        <f>+MID(Tabla3[[#This Row],['# Viaje]],10,1)</f>
        <v/>
      </c>
    </row>
    <row r="236" spans="1:28" ht="15" hidden="1" customHeight="1">
      <c r="A236" s="173" t="s">
        <v>1499</v>
      </c>
      <c r="B236" s="174">
        <v>42948</v>
      </c>
      <c r="C236" s="173" t="s">
        <v>1231</v>
      </c>
      <c r="D236" s="173" t="s">
        <v>1478</v>
      </c>
      <c r="E236" s="173" t="s">
        <v>1232</v>
      </c>
      <c r="F236" s="173">
        <v>3</v>
      </c>
      <c r="G236" s="173" t="s">
        <v>43</v>
      </c>
      <c r="H236" s="173">
        <v>3</v>
      </c>
      <c r="I236" s="173" t="s">
        <v>1219</v>
      </c>
      <c r="J236" s="173" t="s">
        <v>1451</v>
      </c>
      <c r="K236" s="173" t="s">
        <v>16</v>
      </c>
      <c r="L236" s="173"/>
      <c r="M236" s="173" t="s">
        <v>42</v>
      </c>
      <c r="N236" s="173">
        <v>890330584</v>
      </c>
      <c r="O236" s="175">
        <v>3696639</v>
      </c>
      <c r="P236" s="7"/>
      <c r="Q236" s="16">
        <f>+IF(IFERROR(VLOOKUP(Tabla3[[#This Row],[Cliente factura]],Tabla4[[NIT]:[TOTAL CREDITO]],3,FALSE),0)="",0,IFERROR(VLOOKUP(Tabla3[[#This Row],[Cliente factura]],Tabla4[[NIT]:[TOTAL CREDITO]],3,FALSE),0))</f>
        <v>802084041</v>
      </c>
      <c r="R236" s="9">
        <f>+IFERROR(VLOOKUP(Tabla3[[#This Row],[Cliente factura]],Tabla4[[NIT]:[TOTAL CREDITO]],6,FALSE),0)</f>
        <v>0</v>
      </c>
      <c r="S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6" s="10" t="str">
        <f>VLOOKUP(Tabla3[[#This Row],[Razón social cliente factura]]&amp;Tabla3[[#This Row],[Desc. ciudad]],'Estandar de Rutas'!$C$1:$E$553,2,FALSE)</f>
        <v>1.3</v>
      </c>
      <c r="U236" s="130">
        <f>IFERROR(VLOOKUP(Tabla3[[#This Row],[Referencia]]&amp;Tabla3[[#This Row],[Desc detalle ext 1]],Tabla1[[Referencia-Color]:[Disponibilidad]],3,FALSE),0)</f>
        <v>3</v>
      </c>
      <c r="V236" s="13"/>
      <c r="W236" s="17">
        <f>+Tabla3[[#This Row],[Cant. Programada]]*Tabla3[[#This Row],[Precio unit]]</f>
        <v>0</v>
      </c>
      <c r="X236" s="8"/>
      <c r="Y236" s="8"/>
      <c r="Z236" s="8" t="str">
        <f>+Tabla3[[#This Row],[Referencia]]&amp;Tabla3[[#This Row],[Desc detalle ext 1]]</f>
        <v xml:space="preserve">CB 110 DLX                                        NEGRO    </v>
      </c>
      <c r="AA236" s="128" t="e">
        <f>+VLOOKUP(Tabla3[[#This Row],[CODIGO2]],ESTANDAR!$B$3:$C$9,2,FALSE)</f>
        <v>#N/A</v>
      </c>
      <c r="AB236" s="128" t="str">
        <f>+MID(Tabla3[[#This Row],['# Viaje]],10,1)</f>
        <v/>
      </c>
    </row>
    <row r="237" spans="1:28" ht="15" hidden="1" customHeight="1">
      <c r="A237" s="173" t="s">
        <v>1500</v>
      </c>
      <c r="B237" s="174">
        <v>42948</v>
      </c>
      <c r="C237" s="173" t="s">
        <v>1231</v>
      </c>
      <c r="D237" s="173" t="s">
        <v>1487</v>
      </c>
      <c r="E237" s="173" t="s">
        <v>1232</v>
      </c>
      <c r="F237" s="173">
        <v>3</v>
      </c>
      <c r="G237" s="173" t="s">
        <v>140</v>
      </c>
      <c r="H237" s="173">
        <v>3</v>
      </c>
      <c r="I237" s="173" t="s">
        <v>1501</v>
      </c>
      <c r="J237" s="173" t="s">
        <v>14</v>
      </c>
      <c r="K237" s="173" t="s">
        <v>1417</v>
      </c>
      <c r="L237" s="173"/>
      <c r="M237" s="173" t="s">
        <v>139</v>
      </c>
      <c r="N237" s="173">
        <v>812008359</v>
      </c>
      <c r="O237" s="175">
        <v>3360504</v>
      </c>
      <c r="P237" s="7"/>
      <c r="Q2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7" s="9">
        <f>+IFERROR(VLOOKUP(Tabla3[[#This Row],[Cliente factura]],Tabla4[[NIT]:[TOTAL CREDITO]],6,FALSE),0)</f>
        <v>0</v>
      </c>
      <c r="S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7" s="10" t="str">
        <f>VLOOKUP(Tabla3[[#This Row],[Razón social cliente factura]]&amp;Tabla3[[#This Row],[Desc. ciudad]],'Estandar de Rutas'!$C$1:$E$553,2,FALSE)</f>
        <v>10.1</v>
      </c>
      <c r="U237" s="130">
        <f>IFERROR(VLOOKUP(Tabla3[[#This Row],[Referencia]]&amp;Tabla3[[#This Row],[Desc detalle ext 1]],Tabla1[[Referencia-Color]:[Disponibilidad]],3,FALSE),0)</f>
        <v>24</v>
      </c>
      <c r="V237" s="13"/>
      <c r="W237" s="17">
        <f>+Tabla3[[#This Row],[Cant. Programada]]*Tabla3[[#This Row],[Precio unit]]</f>
        <v>0</v>
      </c>
      <c r="X237" s="8"/>
      <c r="Y237" s="8"/>
      <c r="Z237" s="8" t="str">
        <f>+Tabla3[[#This Row],[Referencia]]&amp;Tabla3[[#This Row],[Desc detalle ext 1]]</f>
        <v xml:space="preserve">*CB-110                                           GRIS MET </v>
      </c>
      <c r="AA237" s="128" t="e">
        <f>+VLOOKUP(Tabla3[[#This Row],[CODIGO2]],ESTANDAR!$B$3:$C$9,2,FALSE)</f>
        <v>#N/A</v>
      </c>
      <c r="AB237" s="128" t="str">
        <f>+MID(Tabla3[[#This Row],['# Viaje]],10,1)</f>
        <v/>
      </c>
    </row>
    <row r="238" spans="1:28" ht="15" hidden="1" customHeight="1">
      <c r="A238" s="173" t="s">
        <v>1500</v>
      </c>
      <c r="B238" s="174">
        <v>42948</v>
      </c>
      <c r="C238" s="173" t="s">
        <v>1231</v>
      </c>
      <c r="D238" s="173" t="s">
        <v>1487</v>
      </c>
      <c r="E238" s="173" t="s">
        <v>1232</v>
      </c>
      <c r="F238" s="173">
        <v>2</v>
      </c>
      <c r="G238" s="173" t="s">
        <v>140</v>
      </c>
      <c r="H238" s="173">
        <v>2</v>
      </c>
      <c r="I238" s="173" t="s">
        <v>1501</v>
      </c>
      <c r="J238" s="173" t="s">
        <v>14</v>
      </c>
      <c r="K238" s="173" t="s">
        <v>17</v>
      </c>
      <c r="L238" s="173"/>
      <c r="M238" s="173" t="s">
        <v>139</v>
      </c>
      <c r="N238" s="173">
        <v>812008359</v>
      </c>
      <c r="O238" s="175">
        <v>3360504</v>
      </c>
      <c r="P238" s="7"/>
      <c r="Q2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8" s="9">
        <f>+IFERROR(VLOOKUP(Tabla3[[#This Row],[Cliente factura]],Tabla4[[NIT]:[TOTAL CREDITO]],6,FALSE),0)</f>
        <v>0</v>
      </c>
      <c r="S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8" s="10" t="str">
        <f>VLOOKUP(Tabla3[[#This Row],[Razón social cliente factura]]&amp;Tabla3[[#This Row],[Desc. ciudad]],'Estandar de Rutas'!$C$1:$E$553,2,FALSE)</f>
        <v>10.1</v>
      </c>
      <c r="U238" s="130">
        <f>IFERROR(VLOOKUP(Tabla3[[#This Row],[Referencia]]&amp;Tabla3[[#This Row],[Desc detalle ext 1]],Tabla1[[Referencia-Color]:[Disponibilidad]],3,FALSE),0)</f>
        <v>38</v>
      </c>
      <c r="V238" s="13"/>
      <c r="W238" s="17">
        <f>+Tabla3[[#This Row],[Cant. Programada]]*Tabla3[[#This Row],[Precio unit]]</f>
        <v>0</v>
      </c>
      <c r="X238" s="8"/>
      <c r="Y238" s="8"/>
      <c r="Z238" s="8" t="str">
        <f>+Tabla3[[#This Row],[Referencia]]&amp;Tabla3[[#This Row],[Desc detalle ext 1]]</f>
        <v>*CB-110                                           ROJO SPOR</v>
      </c>
      <c r="AA238" s="128" t="e">
        <f>+VLOOKUP(Tabla3[[#This Row],[CODIGO2]],ESTANDAR!$B$3:$C$9,2,FALSE)</f>
        <v>#N/A</v>
      </c>
      <c r="AB238" s="128" t="str">
        <f>+MID(Tabla3[[#This Row],['# Viaje]],10,1)</f>
        <v/>
      </c>
    </row>
    <row r="239" spans="1:28" ht="15" hidden="1" customHeight="1">
      <c r="A239" s="173" t="s">
        <v>1500</v>
      </c>
      <c r="B239" s="174">
        <v>42948</v>
      </c>
      <c r="C239" s="173" t="s">
        <v>1231</v>
      </c>
      <c r="D239" s="173" t="s">
        <v>1487</v>
      </c>
      <c r="E239" s="173" t="s">
        <v>1232</v>
      </c>
      <c r="F239" s="173">
        <v>1</v>
      </c>
      <c r="G239" s="173" t="s">
        <v>140</v>
      </c>
      <c r="H239" s="173">
        <v>1</v>
      </c>
      <c r="I239" s="173" t="s">
        <v>1501</v>
      </c>
      <c r="J239" s="173" t="s">
        <v>14</v>
      </c>
      <c r="K239" s="173" t="s">
        <v>15</v>
      </c>
      <c r="L239" s="173"/>
      <c r="M239" s="173" t="s">
        <v>139</v>
      </c>
      <c r="N239" s="173">
        <v>812008359</v>
      </c>
      <c r="O239" s="175">
        <v>3360504</v>
      </c>
      <c r="P239" s="7"/>
      <c r="Q2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9" s="9">
        <f>+IFERROR(VLOOKUP(Tabla3[[#This Row],[Cliente factura]],Tabla4[[NIT]:[TOTAL CREDITO]],6,FALSE),0)</f>
        <v>0</v>
      </c>
      <c r="S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9" s="10" t="str">
        <f>VLOOKUP(Tabla3[[#This Row],[Razón social cliente factura]]&amp;Tabla3[[#This Row],[Desc. ciudad]],'Estandar de Rutas'!$C$1:$E$553,2,FALSE)</f>
        <v>10.1</v>
      </c>
      <c r="U239" s="130">
        <f>IFERROR(VLOOKUP(Tabla3[[#This Row],[Referencia]]&amp;Tabla3[[#This Row],[Desc detalle ext 1]],Tabla1[[Referencia-Color]:[Disponibilidad]],3,FALSE),0)</f>
        <v>99</v>
      </c>
      <c r="V239" s="13"/>
      <c r="W239" s="17">
        <f>+Tabla3[[#This Row],[Cant. Programada]]*Tabla3[[#This Row],[Precio unit]]</f>
        <v>0</v>
      </c>
      <c r="X239" s="8"/>
      <c r="Y239" s="8"/>
      <c r="Z239" s="8" t="str">
        <f>+Tabla3[[#This Row],[Referencia]]&amp;Tabla3[[#This Row],[Desc detalle ext 1]]</f>
        <v>*CB-110                                           AZUL FIJI</v>
      </c>
      <c r="AA239" s="128" t="e">
        <f>+VLOOKUP(Tabla3[[#This Row],[CODIGO2]],ESTANDAR!$B$3:$C$9,2,FALSE)</f>
        <v>#N/A</v>
      </c>
      <c r="AB239" s="128" t="str">
        <f>+MID(Tabla3[[#This Row],['# Viaje]],10,1)</f>
        <v/>
      </c>
    </row>
    <row r="240" spans="1:28" ht="15" hidden="1" customHeight="1">
      <c r="A240" s="173" t="s">
        <v>1500</v>
      </c>
      <c r="B240" s="174">
        <v>42948</v>
      </c>
      <c r="C240" s="173" t="s">
        <v>1231</v>
      </c>
      <c r="D240" s="173" t="s">
        <v>1487</v>
      </c>
      <c r="E240" s="173" t="s">
        <v>1232</v>
      </c>
      <c r="F240" s="173">
        <v>2</v>
      </c>
      <c r="G240" s="173" t="s">
        <v>140</v>
      </c>
      <c r="H240" s="173">
        <v>2</v>
      </c>
      <c r="I240" s="173" t="s">
        <v>1501</v>
      </c>
      <c r="J240" s="173" t="s">
        <v>27</v>
      </c>
      <c r="K240" s="173" t="s">
        <v>26</v>
      </c>
      <c r="L240" s="173"/>
      <c r="M240" s="173" t="s">
        <v>139</v>
      </c>
      <c r="N240" s="173">
        <v>812008359</v>
      </c>
      <c r="O240" s="175">
        <v>5789916</v>
      </c>
      <c r="P240" s="7"/>
      <c r="Q2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0" s="9">
        <f>+IFERROR(VLOOKUP(Tabla3[[#This Row],[Cliente factura]],Tabla4[[NIT]:[TOTAL CREDITO]],6,FALSE),0)</f>
        <v>0</v>
      </c>
      <c r="S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0" s="10" t="str">
        <f>VLOOKUP(Tabla3[[#This Row],[Razón social cliente factura]]&amp;Tabla3[[#This Row],[Desc. ciudad]],'Estandar de Rutas'!$C$1:$E$553,2,FALSE)</f>
        <v>10.1</v>
      </c>
      <c r="U240" s="130">
        <f>IFERROR(VLOOKUP(Tabla3[[#This Row],[Referencia]]&amp;Tabla3[[#This Row],[Desc detalle ext 1]],Tabla1[[Referencia-Color]:[Disponibilidad]],3,FALSE),0)</f>
        <v>59</v>
      </c>
      <c r="V240" s="13"/>
      <c r="W240" s="17">
        <f>+Tabla3[[#This Row],[Cant. Programada]]*Tabla3[[#This Row],[Precio unit]]</f>
        <v>0</v>
      </c>
      <c r="X240" s="8"/>
      <c r="Y240" s="8"/>
      <c r="Z240" s="8" t="str">
        <f>+Tabla3[[#This Row],[Referencia]]&amp;Tabla3[[#This Row],[Desc detalle ext 1]]</f>
        <v>*XR 150L                                          NEGRO BLA</v>
      </c>
      <c r="AA240" s="128" t="e">
        <f>+VLOOKUP(Tabla3[[#This Row],[CODIGO2]],ESTANDAR!$B$3:$C$9,2,FALSE)</f>
        <v>#N/A</v>
      </c>
      <c r="AB240" s="128" t="str">
        <f>+MID(Tabla3[[#This Row],['# Viaje]],10,1)</f>
        <v/>
      </c>
    </row>
    <row r="241" spans="1:28" hidden="1">
      <c r="A241" s="173" t="s">
        <v>1500</v>
      </c>
      <c r="B241" s="174">
        <v>42948</v>
      </c>
      <c r="C241" s="173" t="s">
        <v>1231</v>
      </c>
      <c r="D241" s="173" t="s">
        <v>1487</v>
      </c>
      <c r="E241" s="173" t="s">
        <v>1232</v>
      </c>
      <c r="F241" s="173">
        <v>4</v>
      </c>
      <c r="G241" s="173" t="s">
        <v>140</v>
      </c>
      <c r="H241" s="173">
        <v>4</v>
      </c>
      <c r="I241" s="173" t="s">
        <v>1501</v>
      </c>
      <c r="J241" s="173" t="s">
        <v>27</v>
      </c>
      <c r="K241" s="173" t="s">
        <v>32</v>
      </c>
      <c r="L241" s="173"/>
      <c r="M241" s="173" t="s">
        <v>139</v>
      </c>
      <c r="N241" s="173">
        <v>812008359</v>
      </c>
      <c r="O241" s="175">
        <v>5789916</v>
      </c>
      <c r="P241" s="7"/>
      <c r="Q2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1" s="9">
        <f>+IFERROR(VLOOKUP(Tabla3[[#This Row],[Cliente factura]],Tabla4[[NIT]:[TOTAL CREDITO]],6,FALSE),0)</f>
        <v>0</v>
      </c>
      <c r="S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1" s="10" t="str">
        <f>VLOOKUP(Tabla3[[#This Row],[Razón social cliente factura]]&amp;Tabla3[[#This Row],[Desc. ciudad]],'Estandar de Rutas'!$C$1:$E$553,2,FALSE)</f>
        <v>10.1</v>
      </c>
      <c r="U241" s="130">
        <f>IFERROR(VLOOKUP(Tabla3[[#This Row],[Referencia]]&amp;Tabla3[[#This Row],[Desc detalle ext 1]],Tabla1[[Referencia-Color]:[Disponibilidad]],3,FALSE),0)</f>
        <v>7</v>
      </c>
      <c r="V241" s="13"/>
      <c r="W241" s="17">
        <f>+Tabla3[[#This Row],[Cant. Programada]]*Tabla3[[#This Row],[Precio unit]]</f>
        <v>0</v>
      </c>
      <c r="X241" s="8"/>
      <c r="Y241" s="8"/>
      <c r="Z241" s="8" t="str">
        <f>+Tabla3[[#This Row],[Referencia]]&amp;Tabla3[[#This Row],[Desc detalle ext 1]]</f>
        <v>*XR 150L                                          NEGRO ROJ</v>
      </c>
      <c r="AA241" s="128" t="e">
        <f>+VLOOKUP(Tabla3[[#This Row],[CODIGO2]],ESTANDAR!$B$3:$C$9,2,FALSE)</f>
        <v>#N/A</v>
      </c>
      <c r="AB241" s="128" t="str">
        <f>+MID(Tabla3[[#This Row],['# Viaje]],10,1)</f>
        <v/>
      </c>
    </row>
    <row r="242" spans="1:28" ht="15" hidden="1" customHeight="1">
      <c r="A242" s="173" t="s">
        <v>1500</v>
      </c>
      <c r="B242" s="174">
        <v>42948</v>
      </c>
      <c r="C242" s="173" t="s">
        <v>1231</v>
      </c>
      <c r="D242" s="173" t="s">
        <v>1487</v>
      </c>
      <c r="E242" s="173" t="s">
        <v>1232</v>
      </c>
      <c r="F242" s="173">
        <v>3</v>
      </c>
      <c r="G242" s="173" t="s">
        <v>140</v>
      </c>
      <c r="H242" s="173">
        <v>3</v>
      </c>
      <c r="I242" s="173" t="s">
        <v>1501</v>
      </c>
      <c r="J242" s="173" t="s">
        <v>27</v>
      </c>
      <c r="K242" s="173" t="s">
        <v>16</v>
      </c>
      <c r="L242" s="173"/>
      <c r="M242" s="173" t="s">
        <v>139</v>
      </c>
      <c r="N242" s="173">
        <v>812008359</v>
      </c>
      <c r="O242" s="175">
        <v>5789916</v>
      </c>
      <c r="P242" s="7"/>
      <c r="Q2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2" s="9">
        <f>+IFERROR(VLOOKUP(Tabla3[[#This Row],[Cliente factura]],Tabla4[[NIT]:[TOTAL CREDITO]],6,FALSE),0)</f>
        <v>0</v>
      </c>
      <c r="S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2" s="10" t="str">
        <f>VLOOKUP(Tabla3[[#This Row],[Razón social cliente factura]]&amp;Tabla3[[#This Row],[Desc. ciudad]],'Estandar de Rutas'!$C$1:$E$553,2,FALSE)</f>
        <v>10.1</v>
      </c>
      <c r="U242" s="130">
        <f>IFERROR(VLOOKUP(Tabla3[[#This Row],[Referencia]]&amp;Tabla3[[#This Row],[Desc detalle ext 1]],Tabla1[[Referencia-Color]:[Disponibilidad]],3,FALSE),0)</f>
        <v>3</v>
      </c>
      <c r="V242" s="13"/>
      <c r="W242" s="17">
        <f>+Tabla3[[#This Row],[Cant. Programada]]*Tabla3[[#This Row],[Precio unit]]</f>
        <v>0</v>
      </c>
      <c r="X242" s="130"/>
      <c r="Y242" s="8"/>
      <c r="Z242" s="8" t="str">
        <f>+Tabla3[[#This Row],[Referencia]]&amp;Tabla3[[#This Row],[Desc detalle ext 1]]</f>
        <v xml:space="preserve">*XR 150L                                          NEGRO    </v>
      </c>
      <c r="AA242" s="128" t="e">
        <f>+VLOOKUP(Tabla3[[#This Row],[CODIGO2]],ESTANDAR!$B$3:$C$9,2,FALSE)</f>
        <v>#N/A</v>
      </c>
      <c r="AB242" s="128" t="str">
        <f>+MID(Tabla3[[#This Row],['# Viaje]],10,1)</f>
        <v/>
      </c>
    </row>
    <row r="243" spans="1:28" hidden="1">
      <c r="A243" s="173" t="s">
        <v>1500</v>
      </c>
      <c r="B243" s="174">
        <v>42948</v>
      </c>
      <c r="C243" s="173" t="s">
        <v>1231</v>
      </c>
      <c r="D243" s="173" t="s">
        <v>1487</v>
      </c>
      <c r="E243" s="173" t="s">
        <v>1232</v>
      </c>
      <c r="F243" s="173">
        <v>1</v>
      </c>
      <c r="G243" s="173" t="s">
        <v>140</v>
      </c>
      <c r="H243" s="173">
        <v>1</v>
      </c>
      <c r="I243" s="173" t="s">
        <v>1501</v>
      </c>
      <c r="J243" s="173" t="s">
        <v>10</v>
      </c>
      <c r="K243" s="173" t="s">
        <v>11</v>
      </c>
      <c r="L243" s="173"/>
      <c r="M243" s="173" t="s">
        <v>139</v>
      </c>
      <c r="N243" s="173">
        <v>812008359</v>
      </c>
      <c r="O243" s="175">
        <v>7554622</v>
      </c>
      <c r="P243" s="7"/>
      <c r="Q2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3" s="9">
        <f>+IFERROR(VLOOKUP(Tabla3[[#This Row],[Cliente factura]],Tabla4[[NIT]:[TOTAL CREDITO]],6,FALSE),0)</f>
        <v>0</v>
      </c>
      <c r="S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3" s="10" t="str">
        <f>VLOOKUP(Tabla3[[#This Row],[Razón social cliente factura]]&amp;Tabla3[[#This Row],[Desc. ciudad]],'Estandar de Rutas'!$C$1:$E$553,2,FALSE)</f>
        <v>10.1</v>
      </c>
      <c r="U243" s="130">
        <f>IFERROR(VLOOKUP(Tabla3[[#This Row],[Referencia]]&amp;Tabla3[[#This Row],[Desc detalle ext 1]],Tabla1[[Referencia-Color]:[Disponibilidad]],3,FALSE),0)</f>
        <v>0</v>
      </c>
      <c r="V243" s="13"/>
      <c r="W243" s="17">
        <f>+Tabla3[[#This Row],[Cant. Programada]]*Tabla3[[#This Row],[Precio unit]]</f>
        <v>0</v>
      </c>
      <c r="X243" s="8"/>
      <c r="Y243" s="8"/>
      <c r="Z243" s="8" t="str">
        <f>+Tabla3[[#This Row],[Referencia]]&amp;Tabla3[[#This Row],[Desc detalle ext 1]]</f>
        <v>CB 190R                                           NEGRO ONI</v>
      </c>
      <c r="AA243" s="128" t="e">
        <f>+VLOOKUP(Tabla3[[#This Row],[CODIGO2]],ESTANDAR!$B$3:$C$9,2,FALSE)</f>
        <v>#N/A</v>
      </c>
      <c r="AB243" s="128" t="str">
        <f>+MID(Tabla3[[#This Row],['# Viaje]],10,1)</f>
        <v/>
      </c>
    </row>
    <row r="244" spans="1:28" hidden="1">
      <c r="A244" s="173" t="s">
        <v>1500</v>
      </c>
      <c r="B244" s="174">
        <v>42948</v>
      </c>
      <c r="C244" s="173" t="s">
        <v>1231</v>
      </c>
      <c r="D244" s="173" t="s">
        <v>1487</v>
      </c>
      <c r="E244" s="173" t="s">
        <v>1232</v>
      </c>
      <c r="F244" s="173">
        <v>1</v>
      </c>
      <c r="G244" s="173" t="s">
        <v>140</v>
      </c>
      <c r="H244" s="173">
        <v>1</v>
      </c>
      <c r="I244" s="173" t="s">
        <v>1501</v>
      </c>
      <c r="J244" s="173" t="s">
        <v>1425</v>
      </c>
      <c r="K244" s="173" t="s">
        <v>1426</v>
      </c>
      <c r="L244" s="173"/>
      <c r="M244" s="173" t="s">
        <v>139</v>
      </c>
      <c r="N244" s="173">
        <v>812008359</v>
      </c>
      <c r="O244" s="175">
        <v>7730252</v>
      </c>
      <c r="P244" s="7"/>
      <c r="Q2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4" s="9">
        <f>+IFERROR(VLOOKUP(Tabla3[[#This Row],[Cliente factura]],Tabla4[[NIT]:[TOTAL CREDITO]],6,FALSE),0)</f>
        <v>0</v>
      </c>
      <c r="S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4" s="10" t="str">
        <f>VLOOKUP(Tabla3[[#This Row],[Razón social cliente factura]]&amp;Tabla3[[#This Row],[Desc. ciudad]],'Estandar de Rutas'!$C$1:$E$553,2,FALSE)</f>
        <v>10.1</v>
      </c>
      <c r="U244" s="130">
        <f>IFERROR(VLOOKUP(Tabla3[[#This Row],[Referencia]]&amp;Tabla3[[#This Row],[Desc detalle ext 1]],Tabla1[[Referencia-Color]:[Disponibilidad]],3,FALSE),0)</f>
        <v>104</v>
      </c>
      <c r="V244" s="13"/>
      <c r="W244" s="17">
        <f>+Tabla3[[#This Row],[Cant. Programada]]*Tabla3[[#This Row],[Precio unit]]</f>
        <v>0</v>
      </c>
      <c r="X244" s="8"/>
      <c r="Y244" s="8"/>
      <c r="Z244" s="8" t="str">
        <f>+Tabla3[[#This Row],[Referencia]]&amp;Tabla3[[#This Row],[Desc detalle ext 1]]</f>
        <v>CB 190 REPSOL                                     NARANJA B</v>
      </c>
      <c r="AA244" s="128" t="e">
        <f>+VLOOKUP(Tabla3[[#This Row],[CODIGO2]],ESTANDAR!$B$3:$C$9,2,FALSE)</f>
        <v>#N/A</v>
      </c>
      <c r="AB244" s="128" t="str">
        <f>+MID(Tabla3[[#This Row],['# Viaje]],10,1)</f>
        <v/>
      </c>
    </row>
    <row r="245" spans="1:28" ht="15" hidden="1" customHeight="1">
      <c r="A245" s="173" t="s">
        <v>1500</v>
      </c>
      <c r="B245" s="174">
        <v>42948</v>
      </c>
      <c r="C245" s="173" t="s">
        <v>1231</v>
      </c>
      <c r="D245" s="173" t="s">
        <v>1487</v>
      </c>
      <c r="E245" s="173" t="s">
        <v>1232</v>
      </c>
      <c r="F245" s="173">
        <v>1</v>
      </c>
      <c r="G245" s="173" t="s">
        <v>140</v>
      </c>
      <c r="H245" s="173">
        <v>1</v>
      </c>
      <c r="I245" s="173" t="s">
        <v>1501</v>
      </c>
      <c r="J245" s="173" t="s">
        <v>354</v>
      </c>
      <c r="K245" s="173" t="s">
        <v>474</v>
      </c>
      <c r="L245" s="173"/>
      <c r="M245" s="173" t="s">
        <v>139</v>
      </c>
      <c r="N245" s="173">
        <v>812008359</v>
      </c>
      <c r="O245" s="175">
        <v>6133613</v>
      </c>
      <c r="P245" s="7"/>
      <c r="Q2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5" s="9">
        <f>+IFERROR(VLOOKUP(Tabla3[[#This Row],[Cliente factura]],Tabla4[[NIT]:[TOTAL CREDITO]],6,FALSE),0)</f>
        <v>0</v>
      </c>
      <c r="S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5" s="10" t="str">
        <f>VLOOKUP(Tabla3[[#This Row],[Razón social cliente factura]]&amp;Tabla3[[#This Row],[Desc. ciudad]],'Estandar de Rutas'!$C$1:$E$553,2,FALSE)</f>
        <v>10.1</v>
      </c>
      <c r="U245" s="130">
        <f>IFERROR(VLOOKUP(Tabla3[[#This Row],[Referencia]]&amp;Tabla3[[#This Row],[Desc detalle ext 1]],Tabla1[[Referencia-Color]:[Disponibilidad]],3,FALSE),0)</f>
        <v>3</v>
      </c>
      <c r="V245" s="13"/>
      <c r="W245" s="17">
        <f>+Tabla3[[#This Row],[Cant. Programada]]*Tabla3[[#This Row],[Precio unit]]</f>
        <v>0</v>
      </c>
      <c r="X245" s="8"/>
      <c r="Y245" s="8"/>
      <c r="Z245" s="8" t="str">
        <f>+Tabla3[[#This Row],[Referencia]]&amp;Tabla3[[#This Row],[Desc detalle ext 1]]</f>
        <v>CB 160F DLX                                       NARANJA N</v>
      </c>
      <c r="AA245" s="128" t="e">
        <f>+VLOOKUP(Tabla3[[#This Row],[CODIGO2]],ESTANDAR!$B$3:$C$9,2,FALSE)</f>
        <v>#N/A</v>
      </c>
      <c r="AB245" s="128" t="str">
        <f>+MID(Tabla3[[#This Row],['# Viaje]],10,1)</f>
        <v/>
      </c>
    </row>
    <row r="246" spans="1:28" ht="15" hidden="1" customHeight="1">
      <c r="A246" s="173" t="s">
        <v>1500</v>
      </c>
      <c r="B246" s="174">
        <v>42948</v>
      </c>
      <c r="C246" s="173" t="s">
        <v>1231</v>
      </c>
      <c r="D246" s="173" t="s">
        <v>1487</v>
      </c>
      <c r="E246" s="173" t="s">
        <v>1232</v>
      </c>
      <c r="F246" s="173">
        <v>1</v>
      </c>
      <c r="G246" s="173" t="s">
        <v>140</v>
      </c>
      <c r="H246" s="173">
        <v>1</v>
      </c>
      <c r="I246" s="173" t="s">
        <v>1501</v>
      </c>
      <c r="J246" s="173" t="s">
        <v>1433</v>
      </c>
      <c r="K246" s="173" t="s">
        <v>1434</v>
      </c>
      <c r="L246" s="173"/>
      <c r="M246" s="173" t="s">
        <v>139</v>
      </c>
      <c r="N246" s="173">
        <v>812008359</v>
      </c>
      <c r="O246" s="175">
        <v>3521008</v>
      </c>
      <c r="P246" s="7"/>
      <c r="Q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6" s="9">
        <f>+IFERROR(VLOOKUP(Tabla3[[#This Row],[Cliente factura]],Tabla4[[NIT]:[TOTAL CREDITO]],6,FALSE),0)</f>
        <v>0</v>
      </c>
      <c r="S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6" s="10" t="str">
        <f>VLOOKUP(Tabla3[[#This Row],[Razón social cliente factura]]&amp;Tabla3[[#This Row],[Desc. ciudad]],'Estandar de Rutas'!$C$1:$E$553,2,FALSE)</f>
        <v>10.1</v>
      </c>
      <c r="U246" s="130">
        <f>IFERROR(VLOOKUP(Tabla3[[#This Row],[Referencia]]&amp;Tabla3[[#This Row],[Desc detalle ext 1]],Tabla1[[Referencia-Color]:[Disponibilidad]],3,FALSE),0)</f>
        <v>23</v>
      </c>
      <c r="V246" s="13"/>
      <c r="W246" s="17">
        <f>+Tabla3[[#This Row],[Cant. Programada]]*Tabla3[[#This Row],[Precio unit]]</f>
        <v>0</v>
      </c>
      <c r="X246" s="8"/>
      <c r="Y246" s="8"/>
      <c r="Z246" s="8" t="str">
        <f>+Tabla3[[#This Row],[Referencia]]&amp;Tabla3[[#This Row],[Desc detalle ext 1]]</f>
        <v>DIO  110                                          BLANCO NE</v>
      </c>
      <c r="AA246" s="128" t="e">
        <f>+VLOOKUP(Tabla3[[#This Row],[CODIGO2]],ESTANDAR!$B$3:$C$9,2,FALSE)</f>
        <v>#N/A</v>
      </c>
      <c r="AB246" s="128" t="str">
        <f>+MID(Tabla3[[#This Row],['# Viaje]],10,1)</f>
        <v/>
      </c>
    </row>
    <row r="247" spans="1:28" ht="15" hidden="1" customHeight="1">
      <c r="A247" s="173" t="s">
        <v>1500</v>
      </c>
      <c r="B247" s="174">
        <v>42948</v>
      </c>
      <c r="C247" s="173" t="s">
        <v>1231</v>
      </c>
      <c r="D247" s="173" t="s">
        <v>1487</v>
      </c>
      <c r="E247" s="173" t="s">
        <v>1232</v>
      </c>
      <c r="F247" s="173">
        <v>1</v>
      </c>
      <c r="G247" s="173" t="s">
        <v>140</v>
      </c>
      <c r="H247" s="173">
        <v>1</v>
      </c>
      <c r="I247" s="173" t="s">
        <v>1501</v>
      </c>
      <c r="J247" s="173" t="s">
        <v>1433</v>
      </c>
      <c r="K247" s="173" t="s">
        <v>1452</v>
      </c>
      <c r="L247" s="173"/>
      <c r="M247" s="173" t="s">
        <v>139</v>
      </c>
      <c r="N247" s="173">
        <v>812008359</v>
      </c>
      <c r="O247" s="175">
        <v>3521008</v>
      </c>
      <c r="P247" s="7"/>
      <c r="Q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7" s="9">
        <f>+IFERROR(VLOOKUP(Tabla3[[#This Row],[Cliente factura]],Tabla4[[NIT]:[TOTAL CREDITO]],6,FALSE),0)</f>
        <v>0</v>
      </c>
      <c r="S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7" s="10" t="str">
        <f>VLOOKUP(Tabla3[[#This Row],[Razón social cliente factura]]&amp;Tabla3[[#This Row],[Desc. ciudad]],'Estandar de Rutas'!$C$1:$E$553,2,FALSE)</f>
        <v>10.1</v>
      </c>
      <c r="U247" s="130">
        <f>IFERROR(VLOOKUP(Tabla3[[#This Row],[Referencia]]&amp;Tabla3[[#This Row],[Desc detalle ext 1]],Tabla1[[Referencia-Color]:[Disponibilidad]],3,FALSE),0)</f>
        <v>0</v>
      </c>
      <c r="V247" s="13"/>
      <c r="W247" s="17">
        <f>+Tabla3[[#This Row],[Cant. Programada]]*Tabla3[[#This Row],[Precio unit]]</f>
        <v>0</v>
      </c>
      <c r="X247" s="8"/>
      <c r="Y247" s="8"/>
      <c r="Z247" s="8" t="str">
        <f>+Tabla3[[#This Row],[Referencia]]&amp;Tabla3[[#This Row],[Desc detalle ext 1]]</f>
        <v xml:space="preserve">DIO  110                                          AZUL     </v>
      </c>
      <c r="AA247" s="128" t="e">
        <f>+VLOOKUP(Tabla3[[#This Row],[CODIGO2]],ESTANDAR!$B$3:$C$9,2,FALSE)</f>
        <v>#N/A</v>
      </c>
      <c r="AB247" s="128" t="str">
        <f>+MID(Tabla3[[#This Row],['# Viaje]],10,1)</f>
        <v/>
      </c>
    </row>
    <row r="248" spans="1:28" ht="15" hidden="1" customHeight="1">
      <c r="A248" s="173" t="s">
        <v>1500</v>
      </c>
      <c r="B248" s="174">
        <v>42948</v>
      </c>
      <c r="C248" s="173" t="s">
        <v>1231</v>
      </c>
      <c r="D248" s="173" t="s">
        <v>1487</v>
      </c>
      <c r="E248" s="173" t="s">
        <v>1232</v>
      </c>
      <c r="F248" s="173">
        <v>2</v>
      </c>
      <c r="G248" s="173" t="s">
        <v>140</v>
      </c>
      <c r="H248" s="173">
        <v>2</v>
      </c>
      <c r="I248" s="173" t="s">
        <v>1501</v>
      </c>
      <c r="J248" s="173" t="s">
        <v>1433</v>
      </c>
      <c r="K248" s="173" t="s">
        <v>1431</v>
      </c>
      <c r="L248" s="173"/>
      <c r="M248" s="173" t="s">
        <v>139</v>
      </c>
      <c r="N248" s="173">
        <v>812008359</v>
      </c>
      <c r="O248" s="175">
        <v>3521008</v>
      </c>
      <c r="P248" s="7"/>
      <c r="Q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8" s="9">
        <f>+IFERROR(VLOOKUP(Tabla3[[#This Row],[Cliente factura]],Tabla4[[NIT]:[TOTAL CREDITO]],6,FALSE),0)</f>
        <v>0</v>
      </c>
      <c r="S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8" s="10" t="str">
        <f>VLOOKUP(Tabla3[[#This Row],[Razón social cliente factura]]&amp;Tabla3[[#This Row],[Desc. ciudad]],'Estandar de Rutas'!$C$1:$E$553,2,FALSE)</f>
        <v>10.1</v>
      </c>
      <c r="U248" s="130">
        <f>IFERROR(VLOOKUP(Tabla3[[#This Row],[Referencia]]&amp;Tabla3[[#This Row],[Desc detalle ext 1]],Tabla1[[Referencia-Color]:[Disponibilidad]],3,FALSE),0)</f>
        <v>0</v>
      </c>
      <c r="V248" s="13"/>
      <c r="W248" s="17">
        <f>+Tabla3[[#This Row],[Cant. Programada]]*Tabla3[[#This Row],[Precio unit]]</f>
        <v>0</v>
      </c>
      <c r="X248" s="129"/>
      <c r="Y248" s="129"/>
      <c r="Z248" s="8" t="str">
        <f>+Tabla3[[#This Row],[Referencia]]&amp;Tabla3[[#This Row],[Desc detalle ext 1]]</f>
        <v xml:space="preserve">DIO  110                                          ROJO     </v>
      </c>
      <c r="AA248" s="128" t="e">
        <f>+VLOOKUP(Tabla3[[#This Row],[CODIGO2]],ESTANDAR!$B$3:$C$9,2,FALSE)</f>
        <v>#N/A</v>
      </c>
      <c r="AB248" s="128" t="str">
        <f>+MID(Tabla3[[#This Row],['# Viaje]],10,1)</f>
        <v/>
      </c>
    </row>
    <row r="249" spans="1:28" hidden="1">
      <c r="A249" s="173" t="s">
        <v>1500</v>
      </c>
      <c r="B249" s="174">
        <v>42948</v>
      </c>
      <c r="C249" s="173" t="s">
        <v>1231</v>
      </c>
      <c r="D249" s="173" t="s">
        <v>1487</v>
      </c>
      <c r="E249" s="173" t="s">
        <v>1232</v>
      </c>
      <c r="F249" s="173">
        <v>1</v>
      </c>
      <c r="G249" s="173" t="s">
        <v>140</v>
      </c>
      <c r="H249" s="173">
        <v>1</v>
      </c>
      <c r="I249" s="173" t="s">
        <v>1501</v>
      </c>
      <c r="J249" s="173" t="s">
        <v>1453</v>
      </c>
      <c r="K249" s="173" t="s">
        <v>11</v>
      </c>
      <c r="L249" s="173"/>
      <c r="M249" s="173" t="s">
        <v>139</v>
      </c>
      <c r="N249" s="173">
        <v>812008359</v>
      </c>
      <c r="O249" s="175">
        <v>7730252</v>
      </c>
      <c r="P249" s="7"/>
      <c r="Q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9" s="9">
        <f>+IFERROR(VLOOKUP(Tabla3[[#This Row],[Cliente factura]],Tabla4[[NIT]:[TOTAL CREDITO]],6,FALSE),0)</f>
        <v>0</v>
      </c>
      <c r="S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9" s="10" t="str">
        <f>VLOOKUP(Tabla3[[#This Row],[Razón social cliente factura]]&amp;Tabla3[[#This Row],[Desc. ciudad]],'Estandar de Rutas'!$C$1:$E$553,2,FALSE)</f>
        <v>10.1</v>
      </c>
      <c r="U249" s="130">
        <f>IFERROR(VLOOKUP(Tabla3[[#This Row],[Referencia]]&amp;Tabla3[[#This Row],[Desc detalle ext 1]],Tabla1[[Referencia-Color]:[Disponibilidad]],3,FALSE),0)</f>
        <v>0</v>
      </c>
      <c r="V249" s="13"/>
      <c r="W249" s="17">
        <f>+Tabla3[[#This Row],[Cant. Programada]]*Tabla3[[#This Row],[Precio unit]]</f>
        <v>0</v>
      </c>
      <c r="X249" s="129"/>
      <c r="Y249" s="129"/>
      <c r="Z249" s="8" t="str">
        <f>+Tabla3[[#This Row],[Referencia]]&amp;Tabla3[[#This Row],[Desc detalle ext 1]]</f>
        <v>CB 190R INSTINTO R                                NEGRO ONI</v>
      </c>
      <c r="AA249" s="128" t="e">
        <f>+VLOOKUP(Tabla3[[#This Row],[CODIGO2]],ESTANDAR!$B$3:$C$9,2,FALSE)</f>
        <v>#N/A</v>
      </c>
      <c r="AB249" s="128" t="str">
        <f>+MID(Tabla3[[#This Row],['# Viaje]],10,1)</f>
        <v/>
      </c>
    </row>
    <row r="250" spans="1:28" ht="15" hidden="1" customHeight="1">
      <c r="A250" s="173" t="s">
        <v>1500</v>
      </c>
      <c r="B250" s="174">
        <v>42948</v>
      </c>
      <c r="C250" s="173" t="s">
        <v>1231</v>
      </c>
      <c r="D250" s="173" t="s">
        <v>1487</v>
      </c>
      <c r="E250" s="173" t="s">
        <v>1232</v>
      </c>
      <c r="F250" s="173">
        <v>3</v>
      </c>
      <c r="G250" s="173" t="s">
        <v>140</v>
      </c>
      <c r="H250" s="173">
        <v>3</v>
      </c>
      <c r="I250" s="173" t="s">
        <v>1501</v>
      </c>
      <c r="J250" s="173" t="s">
        <v>1428</v>
      </c>
      <c r="K250" s="173" t="s">
        <v>1461</v>
      </c>
      <c r="L250" s="173"/>
      <c r="M250" s="173" t="s">
        <v>139</v>
      </c>
      <c r="N250" s="173">
        <v>812008359</v>
      </c>
      <c r="O250" s="175">
        <v>3067227</v>
      </c>
      <c r="P250" s="7"/>
      <c r="Q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0" s="9">
        <f>+IFERROR(VLOOKUP(Tabla3[[#This Row],[Cliente factura]],Tabla4[[NIT]:[TOTAL CREDITO]],6,FALSE),0)</f>
        <v>0</v>
      </c>
      <c r="S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0" s="10" t="str">
        <f>VLOOKUP(Tabla3[[#This Row],[Razón social cliente factura]]&amp;Tabla3[[#This Row],[Desc. ciudad]],'Estandar de Rutas'!$C$1:$E$553,2,FALSE)</f>
        <v>10.1</v>
      </c>
      <c r="U250" s="130">
        <f>IFERROR(VLOOKUP(Tabla3[[#This Row],[Referencia]]&amp;Tabla3[[#This Row],[Desc detalle ext 1]],Tabla1[[Referencia-Color]:[Disponibilidad]],3,FALSE),0)</f>
        <v>0</v>
      </c>
      <c r="V250" s="13"/>
      <c r="W250" s="17">
        <f>+Tabla3[[#This Row],[Cant. Programada]]*Tabla3[[#This Row],[Precio unit]]</f>
        <v>0</v>
      </c>
      <c r="X250" s="129"/>
      <c r="Y250" s="129"/>
      <c r="Z250" s="8" t="str">
        <f>+Tabla3[[#This Row],[Referencia]]&amp;Tabla3[[#This Row],[Desc detalle ext 1]]</f>
        <v>DREAM  NEO                                        ROJO ALFA</v>
      </c>
      <c r="AA250" s="128" t="e">
        <f>+VLOOKUP(Tabla3[[#This Row],[CODIGO2]],ESTANDAR!$B$3:$C$9,2,FALSE)</f>
        <v>#N/A</v>
      </c>
      <c r="AB250" s="128" t="str">
        <f>+MID(Tabla3[[#This Row],['# Viaje]],10,1)</f>
        <v/>
      </c>
    </row>
    <row r="251" spans="1:28" ht="15" hidden="1" customHeight="1">
      <c r="A251" s="173" t="s">
        <v>1500</v>
      </c>
      <c r="B251" s="174">
        <v>42948</v>
      </c>
      <c r="C251" s="173" t="s">
        <v>1231</v>
      </c>
      <c r="D251" s="173" t="s">
        <v>1487</v>
      </c>
      <c r="E251" s="173" t="s">
        <v>1232</v>
      </c>
      <c r="F251" s="173">
        <v>6</v>
      </c>
      <c r="G251" s="173" t="s">
        <v>140</v>
      </c>
      <c r="H251" s="173">
        <v>6</v>
      </c>
      <c r="I251" s="173" t="s">
        <v>1501</v>
      </c>
      <c r="J251" s="173" t="s">
        <v>1428</v>
      </c>
      <c r="K251" s="173" t="s">
        <v>1429</v>
      </c>
      <c r="L251" s="173"/>
      <c r="M251" s="173" t="s">
        <v>139</v>
      </c>
      <c r="N251" s="173">
        <v>812008359</v>
      </c>
      <c r="O251" s="175">
        <v>3067227</v>
      </c>
      <c r="P251" s="7"/>
      <c r="Q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1" s="9">
        <f>+IFERROR(VLOOKUP(Tabla3[[#This Row],[Cliente factura]],Tabla4[[NIT]:[TOTAL CREDITO]],6,FALSE),0)</f>
        <v>0</v>
      </c>
      <c r="S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1" s="10" t="str">
        <f>VLOOKUP(Tabla3[[#This Row],[Razón social cliente factura]]&amp;Tabla3[[#This Row],[Desc. ciudad]],'Estandar de Rutas'!$C$1:$E$553,2,FALSE)</f>
        <v>10.1</v>
      </c>
      <c r="U251" s="130">
        <f>IFERROR(VLOOKUP(Tabla3[[#This Row],[Referencia]]&amp;Tabla3[[#This Row],[Desc detalle ext 1]],Tabla1[[Referencia-Color]:[Disponibilidad]],3,FALSE),0)</f>
        <v>0</v>
      </c>
      <c r="V251" s="13"/>
      <c r="W251" s="17">
        <f>+Tabla3[[#This Row],[Cant. Programada]]*Tabla3[[#This Row],[Precio unit]]</f>
        <v>0</v>
      </c>
      <c r="X251" s="129"/>
      <c r="Y251" s="129"/>
      <c r="Z251" s="8" t="str">
        <f>+Tabla3[[#This Row],[Referencia]]&amp;Tabla3[[#This Row],[Desc detalle ext 1]]</f>
        <v>DREAM  NEO                                        NEGRO AZU</v>
      </c>
      <c r="AA251" s="128" t="e">
        <f>+VLOOKUP(Tabla3[[#This Row],[CODIGO2]],ESTANDAR!$B$3:$C$9,2,FALSE)</f>
        <v>#N/A</v>
      </c>
      <c r="AB251" s="128" t="str">
        <f>+MID(Tabla3[[#This Row],['# Viaje]],10,1)</f>
        <v/>
      </c>
    </row>
    <row r="252" spans="1:28" ht="15" hidden="1" customHeight="1">
      <c r="A252" s="173" t="s">
        <v>1500</v>
      </c>
      <c r="B252" s="174">
        <v>42948</v>
      </c>
      <c r="C252" s="173" t="s">
        <v>1231</v>
      </c>
      <c r="D252" s="173" t="s">
        <v>1487</v>
      </c>
      <c r="E252" s="173" t="s">
        <v>1232</v>
      </c>
      <c r="F252" s="173">
        <v>2</v>
      </c>
      <c r="G252" s="173" t="s">
        <v>140</v>
      </c>
      <c r="H252" s="173">
        <v>2</v>
      </c>
      <c r="I252" s="173" t="s">
        <v>1501</v>
      </c>
      <c r="J252" s="173" t="s">
        <v>1428</v>
      </c>
      <c r="K252" s="173" t="s">
        <v>32</v>
      </c>
      <c r="L252" s="173"/>
      <c r="M252" s="173" t="s">
        <v>139</v>
      </c>
      <c r="N252" s="173">
        <v>812008359</v>
      </c>
      <c r="O252" s="175">
        <v>3067227</v>
      </c>
      <c r="P252" s="7"/>
      <c r="Q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2" s="9">
        <f>+IFERROR(VLOOKUP(Tabla3[[#This Row],[Cliente factura]],Tabla4[[NIT]:[TOTAL CREDITO]],6,FALSE),0)</f>
        <v>0</v>
      </c>
      <c r="S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2" s="10" t="str">
        <f>VLOOKUP(Tabla3[[#This Row],[Razón social cliente factura]]&amp;Tabla3[[#This Row],[Desc. ciudad]],'Estandar de Rutas'!$C$1:$E$553,2,FALSE)</f>
        <v>10.1</v>
      </c>
      <c r="U252" s="130">
        <f>IFERROR(VLOOKUP(Tabla3[[#This Row],[Referencia]]&amp;Tabla3[[#This Row],[Desc detalle ext 1]],Tabla1[[Referencia-Color]:[Disponibilidad]],3,FALSE),0)</f>
        <v>0</v>
      </c>
      <c r="V252" s="13"/>
      <c r="W252" s="17">
        <f>+Tabla3[[#This Row],[Cant. Programada]]*Tabla3[[#This Row],[Precio unit]]</f>
        <v>0</v>
      </c>
      <c r="X252" s="129"/>
      <c r="Y252" s="129"/>
      <c r="Z252" s="8" t="str">
        <f>+Tabla3[[#This Row],[Referencia]]&amp;Tabla3[[#This Row],[Desc detalle ext 1]]</f>
        <v>DREAM  NEO                                        NEGRO ROJ</v>
      </c>
      <c r="AA252" s="128" t="e">
        <f>+VLOOKUP(Tabla3[[#This Row],[CODIGO2]],ESTANDAR!$B$3:$C$9,2,FALSE)</f>
        <v>#N/A</v>
      </c>
      <c r="AB252" s="128" t="str">
        <f>+MID(Tabla3[[#This Row],['# Viaje]],10,1)</f>
        <v/>
      </c>
    </row>
    <row r="253" spans="1:28" ht="15" hidden="1" customHeight="1">
      <c r="A253" s="173" t="s">
        <v>1500</v>
      </c>
      <c r="B253" s="174">
        <v>42948</v>
      </c>
      <c r="C253" s="173" t="s">
        <v>1231</v>
      </c>
      <c r="D253" s="173" t="s">
        <v>1487</v>
      </c>
      <c r="E253" s="173" t="s">
        <v>1232</v>
      </c>
      <c r="F253" s="173">
        <v>1</v>
      </c>
      <c r="G253" s="173" t="s">
        <v>140</v>
      </c>
      <c r="H253" s="173">
        <v>1</v>
      </c>
      <c r="I253" s="173" t="s">
        <v>1501</v>
      </c>
      <c r="J253" s="173" t="s">
        <v>1430</v>
      </c>
      <c r="K253" s="173" t="s">
        <v>16</v>
      </c>
      <c r="L253" s="173"/>
      <c r="M253" s="173" t="s">
        <v>139</v>
      </c>
      <c r="N253" s="173">
        <v>812008359</v>
      </c>
      <c r="O253" s="175">
        <v>3941176</v>
      </c>
      <c r="P253" s="7"/>
      <c r="Q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3" s="9">
        <f>+IFERROR(VLOOKUP(Tabla3[[#This Row],[Cliente factura]],Tabla4[[NIT]:[TOTAL CREDITO]],6,FALSE),0)</f>
        <v>0</v>
      </c>
      <c r="S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3" s="10" t="str">
        <f>VLOOKUP(Tabla3[[#This Row],[Razón social cliente factura]]&amp;Tabla3[[#This Row],[Desc. ciudad]],'Estandar de Rutas'!$C$1:$E$553,2,FALSE)</f>
        <v>10.1</v>
      </c>
      <c r="U253" s="130">
        <f>IFERROR(VLOOKUP(Tabla3[[#This Row],[Referencia]]&amp;Tabla3[[#This Row],[Desc detalle ext 1]],Tabla1[[Referencia-Color]:[Disponibilidad]],3,FALSE),0)</f>
        <v>0</v>
      </c>
      <c r="V253" s="13"/>
      <c r="W253" s="17">
        <f>+Tabla3[[#This Row],[Cant. Programada]]*Tabla3[[#This Row],[Precio unit]]</f>
        <v>0</v>
      </c>
      <c r="X253" s="129"/>
      <c r="Y253" s="129"/>
      <c r="Z253" s="8" t="str">
        <f>+Tabla3[[#This Row],[Referencia]]&amp;Tabla3[[#This Row],[Desc detalle ext 1]]</f>
        <v xml:space="preserve">WAVE 110S                                         NEGRO    </v>
      </c>
      <c r="AA253" s="128" t="e">
        <f>+VLOOKUP(Tabla3[[#This Row],[CODIGO2]],ESTANDAR!$B$3:$C$9,2,FALSE)</f>
        <v>#N/A</v>
      </c>
      <c r="AB253" s="128" t="str">
        <f>+MID(Tabla3[[#This Row],['# Viaje]],10,1)</f>
        <v/>
      </c>
    </row>
    <row r="254" spans="1:28" ht="15" hidden="1" customHeight="1">
      <c r="A254" s="173" t="s">
        <v>1500</v>
      </c>
      <c r="B254" s="174">
        <v>42948</v>
      </c>
      <c r="C254" s="173" t="s">
        <v>1231</v>
      </c>
      <c r="D254" s="173" t="s">
        <v>1487</v>
      </c>
      <c r="E254" s="173" t="s">
        <v>1232</v>
      </c>
      <c r="F254" s="173">
        <v>1</v>
      </c>
      <c r="G254" s="173" t="s">
        <v>140</v>
      </c>
      <c r="H254" s="173">
        <v>1</v>
      </c>
      <c r="I254" s="173" t="s">
        <v>1501</v>
      </c>
      <c r="J254" s="173" t="s">
        <v>1234</v>
      </c>
      <c r="K254" s="173" t="s">
        <v>355</v>
      </c>
      <c r="L254" s="173"/>
      <c r="M254" s="173" t="s">
        <v>139</v>
      </c>
      <c r="N254" s="173">
        <v>812008359</v>
      </c>
      <c r="O254" s="175">
        <v>5453782</v>
      </c>
      <c r="P254" s="7"/>
      <c r="Q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4" s="9">
        <f>+IFERROR(VLOOKUP(Tabla3[[#This Row],[Cliente factura]],Tabla4[[NIT]:[TOTAL CREDITO]],6,FALSE),0)</f>
        <v>0</v>
      </c>
      <c r="S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4" s="10" t="str">
        <f>VLOOKUP(Tabla3[[#This Row],[Razón social cliente factura]]&amp;Tabla3[[#This Row],[Desc. ciudad]],'Estandar de Rutas'!$C$1:$E$553,2,FALSE)</f>
        <v>10.1</v>
      </c>
      <c r="U254" s="130">
        <f>IFERROR(VLOOKUP(Tabla3[[#This Row],[Referencia]]&amp;Tabla3[[#This Row],[Desc detalle ext 1]],Tabla1[[Referencia-Color]:[Disponibilidad]],3,FALSE),0)</f>
        <v>0</v>
      </c>
      <c r="V254" s="13"/>
      <c r="W254" s="17">
        <f>+Tabla3[[#This Row],[Cant. Programada]]*Tabla3[[#This Row],[Precio unit]]</f>
        <v>0</v>
      </c>
      <c r="X254" s="129"/>
      <c r="Y254" s="8"/>
      <c r="Z254" s="8" t="str">
        <f>+Tabla3[[#This Row],[Referencia]]&amp;Tabla3[[#This Row],[Desc detalle ext 1]]</f>
        <v>CB 160F STD                                       NEGRO PER</v>
      </c>
      <c r="AA254" s="128" t="e">
        <f>+VLOOKUP(Tabla3[[#This Row],[CODIGO2]],ESTANDAR!$B$3:$C$9,2,FALSE)</f>
        <v>#N/A</v>
      </c>
      <c r="AB254" s="128" t="str">
        <f>+MID(Tabla3[[#This Row],['# Viaje]],10,1)</f>
        <v/>
      </c>
    </row>
    <row r="255" spans="1:28" ht="15" hidden="1" customHeight="1">
      <c r="A255" s="173" t="s">
        <v>1500</v>
      </c>
      <c r="B255" s="174">
        <v>42948</v>
      </c>
      <c r="C255" s="173" t="s">
        <v>1231</v>
      </c>
      <c r="D255" s="173" t="s">
        <v>1487</v>
      </c>
      <c r="E255" s="173" t="s">
        <v>1232</v>
      </c>
      <c r="F255" s="173">
        <v>1</v>
      </c>
      <c r="G255" s="173" t="s">
        <v>140</v>
      </c>
      <c r="H255" s="173">
        <v>1</v>
      </c>
      <c r="I255" s="173" t="s">
        <v>1501</v>
      </c>
      <c r="J255" s="173" t="s">
        <v>1234</v>
      </c>
      <c r="K255" s="173" t="s">
        <v>44</v>
      </c>
      <c r="L255" s="173"/>
      <c r="M255" s="173" t="s">
        <v>139</v>
      </c>
      <c r="N255" s="173">
        <v>812008359</v>
      </c>
      <c r="O255" s="175">
        <v>5453782</v>
      </c>
      <c r="P255" s="7"/>
      <c r="Q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5" s="9">
        <f>+IFERROR(VLOOKUP(Tabla3[[#This Row],[Cliente factura]],Tabla4[[NIT]:[TOTAL CREDITO]],6,FALSE),0)</f>
        <v>0</v>
      </c>
      <c r="S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5" s="10" t="str">
        <f>VLOOKUP(Tabla3[[#This Row],[Razón social cliente factura]]&amp;Tabla3[[#This Row],[Desc. ciudad]],'Estandar de Rutas'!$C$1:$E$553,2,FALSE)</f>
        <v>10.1</v>
      </c>
      <c r="U255" s="130">
        <f>IFERROR(VLOOKUP(Tabla3[[#This Row],[Referencia]]&amp;Tabla3[[#This Row],[Desc detalle ext 1]],Tabla1[[Referencia-Color]:[Disponibilidad]],3,FALSE),0)</f>
        <v>1</v>
      </c>
      <c r="V255" s="13"/>
      <c r="W255" s="17">
        <f>+Tabla3[[#This Row],[Cant. Programada]]*Tabla3[[#This Row],[Precio unit]]</f>
        <v>0</v>
      </c>
      <c r="X255" s="129"/>
      <c r="Y255" s="129"/>
      <c r="Z255" s="8" t="str">
        <f>+Tabla3[[#This Row],[Referencia]]&amp;Tabla3[[#This Row],[Desc detalle ext 1]]</f>
        <v>CB 160F STD                                       BLANCO PE</v>
      </c>
      <c r="AA255" s="128" t="e">
        <f>+VLOOKUP(Tabla3[[#This Row],[CODIGO2]],ESTANDAR!$B$3:$C$9,2,FALSE)</f>
        <v>#N/A</v>
      </c>
      <c r="AB255" s="128" t="str">
        <f>+MID(Tabla3[[#This Row],['# Viaje]],10,1)</f>
        <v/>
      </c>
    </row>
    <row r="256" spans="1:28" ht="15" hidden="1" customHeight="1">
      <c r="A256" s="173" t="s">
        <v>1500</v>
      </c>
      <c r="B256" s="174">
        <v>42948</v>
      </c>
      <c r="C256" s="173" t="s">
        <v>1231</v>
      </c>
      <c r="D256" s="173" t="s">
        <v>1487</v>
      </c>
      <c r="E256" s="173" t="s">
        <v>1232</v>
      </c>
      <c r="F256" s="173">
        <v>3</v>
      </c>
      <c r="G256" s="173" t="s">
        <v>140</v>
      </c>
      <c r="H256" s="173">
        <v>3</v>
      </c>
      <c r="I256" s="173" t="s">
        <v>1501</v>
      </c>
      <c r="J256" s="173" t="s">
        <v>1451</v>
      </c>
      <c r="K256" s="173" t="s">
        <v>1449</v>
      </c>
      <c r="L256" s="173"/>
      <c r="M256" s="173" t="s">
        <v>139</v>
      </c>
      <c r="N256" s="173">
        <v>812008359</v>
      </c>
      <c r="O256" s="175">
        <v>3696639</v>
      </c>
      <c r="P256" s="7"/>
      <c r="Q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6" s="9">
        <f>+IFERROR(VLOOKUP(Tabla3[[#This Row],[Cliente factura]],Tabla4[[NIT]:[TOTAL CREDITO]],6,FALSE),0)</f>
        <v>0</v>
      </c>
      <c r="S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6" s="10" t="str">
        <f>VLOOKUP(Tabla3[[#This Row],[Razón social cliente factura]]&amp;Tabla3[[#This Row],[Desc. ciudad]],'Estandar de Rutas'!$C$1:$E$553,2,FALSE)</f>
        <v>10.1</v>
      </c>
      <c r="U256" s="130">
        <f>IFERROR(VLOOKUP(Tabla3[[#This Row],[Referencia]]&amp;Tabla3[[#This Row],[Desc detalle ext 1]],Tabla1[[Referencia-Color]:[Disponibilidad]],3,FALSE),0)</f>
        <v>24</v>
      </c>
      <c r="V256" s="13"/>
      <c r="W256" s="17">
        <f>+Tabla3[[#This Row],[Cant. Programada]]*Tabla3[[#This Row],[Precio unit]]</f>
        <v>0</v>
      </c>
      <c r="X256" s="129"/>
      <c r="Y256" s="129"/>
      <c r="Z256" s="8" t="str">
        <f>+Tabla3[[#This Row],[Referencia]]&amp;Tabla3[[#This Row],[Desc detalle ext 1]]</f>
        <v xml:space="preserve">CB 110 DLX                                        GRIS     </v>
      </c>
      <c r="AA256" s="128" t="e">
        <f>+VLOOKUP(Tabla3[[#This Row],[CODIGO2]],ESTANDAR!$B$3:$C$9,2,FALSE)</f>
        <v>#N/A</v>
      </c>
      <c r="AB256" s="128" t="str">
        <f>+MID(Tabla3[[#This Row],['# Viaje]],10,1)</f>
        <v/>
      </c>
    </row>
    <row r="257" spans="1:28" ht="15" hidden="1" customHeight="1">
      <c r="A257" s="173" t="s">
        <v>1500</v>
      </c>
      <c r="B257" s="174">
        <v>42948</v>
      </c>
      <c r="C257" s="173" t="s">
        <v>1231</v>
      </c>
      <c r="D257" s="173" t="s">
        <v>1487</v>
      </c>
      <c r="E257" s="173" t="s">
        <v>1232</v>
      </c>
      <c r="F257" s="173">
        <v>2</v>
      </c>
      <c r="G257" s="173" t="s">
        <v>140</v>
      </c>
      <c r="H257" s="173">
        <v>2</v>
      </c>
      <c r="I257" s="173" t="s">
        <v>1501</v>
      </c>
      <c r="J257" s="173" t="s">
        <v>1451</v>
      </c>
      <c r="K257" s="173" t="s">
        <v>1452</v>
      </c>
      <c r="L257" s="173"/>
      <c r="M257" s="173" t="s">
        <v>139</v>
      </c>
      <c r="N257" s="173">
        <v>812008359</v>
      </c>
      <c r="O257" s="175">
        <v>3696639</v>
      </c>
      <c r="P257" s="7"/>
      <c r="Q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7" s="9">
        <f>+IFERROR(VLOOKUP(Tabla3[[#This Row],[Cliente factura]],Tabla4[[NIT]:[TOTAL CREDITO]],6,FALSE),0)</f>
        <v>0</v>
      </c>
      <c r="S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7" s="10" t="str">
        <f>VLOOKUP(Tabla3[[#This Row],[Razón social cliente factura]]&amp;Tabla3[[#This Row],[Desc. ciudad]],'Estandar de Rutas'!$C$1:$E$553,2,FALSE)</f>
        <v>10.1</v>
      </c>
      <c r="U257" s="130">
        <f>IFERROR(VLOOKUP(Tabla3[[#This Row],[Referencia]]&amp;Tabla3[[#This Row],[Desc detalle ext 1]],Tabla1[[Referencia-Color]:[Disponibilidad]],3,FALSE),0)</f>
        <v>21</v>
      </c>
      <c r="V257" s="13"/>
      <c r="W257" s="17">
        <f>+Tabla3[[#This Row],[Cant. Programada]]*Tabla3[[#This Row],[Precio unit]]</f>
        <v>0</v>
      </c>
      <c r="X257" s="130"/>
      <c r="Y257" s="129"/>
      <c r="Z257" s="8" t="str">
        <f>+Tabla3[[#This Row],[Referencia]]&amp;Tabla3[[#This Row],[Desc detalle ext 1]]</f>
        <v xml:space="preserve">CB 110 DLX                                        AZUL     </v>
      </c>
      <c r="AA257" s="128" t="e">
        <f>+VLOOKUP(Tabla3[[#This Row],[CODIGO2]],ESTANDAR!$B$3:$C$9,2,FALSE)</f>
        <v>#N/A</v>
      </c>
      <c r="AB257" s="128" t="str">
        <f>+MID(Tabla3[[#This Row],['# Viaje]],10,1)</f>
        <v/>
      </c>
    </row>
    <row r="258" spans="1:28" ht="15" hidden="1" customHeight="1">
      <c r="A258" s="173" t="s">
        <v>1500</v>
      </c>
      <c r="B258" s="174">
        <v>42948</v>
      </c>
      <c r="C258" s="173" t="s">
        <v>1231</v>
      </c>
      <c r="D258" s="173" t="s">
        <v>1487</v>
      </c>
      <c r="E258" s="173" t="s">
        <v>1232</v>
      </c>
      <c r="F258" s="173">
        <v>8</v>
      </c>
      <c r="G258" s="173" t="s">
        <v>140</v>
      </c>
      <c r="H258" s="173">
        <v>8</v>
      </c>
      <c r="I258" s="173" t="s">
        <v>1501</v>
      </c>
      <c r="J258" s="173" t="s">
        <v>1451</v>
      </c>
      <c r="K258" s="173" t="s">
        <v>16</v>
      </c>
      <c r="L258" s="173"/>
      <c r="M258" s="173" t="s">
        <v>139</v>
      </c>
      <c r="N258" s="173">
        <v>812008359</v>
      </c>
      <c r="O258" s="175">
        <v>3696639</v>
      </c>
      <c r="P258" s="7"/>
      <c r="Q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8" s="9">
        <f>+IFERROR(VLOOKUP(Tabla3[[#This Row],[Cliente factura]],Tabla4[[NIT]:[TOTAL CREDITO]],6,FALSE),0)</f>
        <v>0</v>
      </c>
      <c r="S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8" s="10" t="str">
        <f>VLOOKUP(Tabla3[[#This Row],[Razón social cliente factura]]&amp;Tabla3[[#This Row],[Desc. ciudad]],'Estandar de Rutas'!$C$1:$E$553,2,FALSE)</f>
        <v>10.1</v>
      </c>
      <c r="U258" s="130">
        <f>IFERROR(VLOOKUP(Tabla3[[#This Row],[Referencia]]&amp;Tabla3[[#This Row],[Desc detalle ext 1]],Tabla1[[Referencia-Color]:[Disponibilidad]],3,FALSE),0)</f>
        <v>3</v>
      </c>
      <c r="V258" s="13"/>
      <c r="W258" s="17">
        <f>+Tabla3[[#This Row],[Cant. Programada]]*Tabla3[[#This Row],[Precio unit]]</f>
        <v>0</v>
      </c>
      <c r="X258" s="130"/>
      <c r="Y258" s="129"/>
      <c r="Z258" s="8" t="str">
        <f>+Tabla3[[#This Row],[Referencia]]&amp;Tabla3[[#This Row],[Desc detalle ext 1]]</f>
        <v xml:space="preserve">CB 110 DLX                                        NEGRO    </v>
      </c>
      <c r="AA258" s="128" t="e">
        <f>+VLOOKUP(Tabla3[[#This Row],[CODIGO2]],ESTANDAR!$B$3:$C$9,2,FALSE)</f>
        <v>#N/A</v>
      </c>
      <c r="AB258" s="128" t="str">
        <f>+MID(Tabla3[[#This Row],['# Viaje]],10,1)</f>
        <v/>
      </c>
    </row>
    <row r="259" spans="1:28" ht="15" hidden="1" customHeight="1">
      <c r="A259" s="173" t="s">
        <v>1502</v>
      </c>
      <c r="B259" s="174">
        <v>42948</v>
      </c>
      <c r="C259" s="173" t="s">
        <v>1231</v>
      </c>
      <c r="D259" s="173" t="s">
        <v>1478</v>
      </c>
      <c r="E259" s="173" t="s">
        <v>1232</v>
      </c>
      <c r="F259" s="173">
        <v>1</v>
      </c>
      <c r="G259" s="173" t="s">
        <v>43</v>
      </c>
      <c r="H259" s="173">
        <v>1</v>
      </c>
      <c r="I259" s="173" t="s">
        <v>1220</v>
      </c>
      <c r="J259" s="173" t="s">
        <v>1421</v>
      </c>
      <c r="K259" s="173" t="s">
        <v>1434</v>
      </c>
      <c r="L259" s="173"/>
      <c r="M259" s="173" t="s">
        <v>55</v>
      </c>
      <c r="N259" s="173">
        <v>890330584</v>
      </c>
      <c r="O259" s="175">
        <v>11496063</v>
      </c>
      <c r="P259" s="7"/>
      <c r="Q259" s="16">
        <f>+IF(IFERROR(VLOOKUP(Tabla3[[#This Row],[Cliente factura]],Tabla4[[NIT]:[TOTAL CREDITO]],3,FALSE),0)="",0,IFERROR(VLOOKUP(Tabla3[[#This Row],[Cliente factura]],Tabla4[[NIT]:[TOTAL CREDITO]],3,FALSE),0))</f>
        <v>802084041</v>
      </c>
      <c r="R259" s="9">
        <f>+IFERROR(VLOOKUP(Tabla3[[#This Row],[Cliente factura]],Tabla4[[NIT]:[TOTAL CREDITO]],6,FALSE),0)</f>
        <v>0</v>
      </c>
      <c r="S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9" s="10" t="str">
        <f>VLOOKUP(Tabla3[[#This Row],[Razón social cliente factura]]&amp;Tabla3[[#This Row],[Desc. ciudad]],'Estandar de Rutas'!$C$1:$E$553,2,FALSE)</f>
        <v>1.3.B</v>
      </c>
      <c r="U259" s="130">
        <f>IFERROR(VLOOKUP(Tabla3[[#This Row],[Referencia]]&amp;Tabla3[[#This Row],[Desc detalle ext 1]],Tabla1[[Referencia-Color]:[Disponibilidad]],3,FALSE),0)</f>
        <v>0</v>
      </c>
      <c r="V259" s="13"/>
      <c r="W259" s="17">
        <f>+Tabla3[[#This Row],[Cant. Programada]]*Tabla3[[#This Row],[Precio unit]]</f>
        <v>0</v>
      </c>
      <c r="X259" s="8"/>
      <c r="Y259" s="8"/>
      <c r="Z259" s="8" t="str">
        <f>+Tabla3[[#This Row],[Referencia]]&amp;Tabla3[[#This Row],[Desc detalle ext 1]]</f>
        <v>*XR-250 TORNADO pt MD34                           BLANCO NE</v>
      </c>
      <c r="AA259" s="128" t="e">
        <f>+VLOOKUP(Tabla3[[#This Row],[CODIGO2]],ESTANDAR!$B$3:$C$9,2,FALSE)</f>
        <v>#N/A</v>
      </c>
      <c r="AB259" s="128" t="str">
        <f>+MID(Tabla3[[#This Row],['# Viaje]],10,1)</f>
        <v/>
      </c>
    </row>
    <row r="260" spans="1:28" ht="15" hidden="1" customHeight="1">
      <c r="A260" s="173" t="s">
        <v>1502</v>
      </c>
      <c r="B260" s="174">
        <v>42948</v>
      </c>
      <c r="C260" s="173" t="s">
        <v>1231</v>
      </c>
      <c r="D260" s="173" t="s">
        <v>1478</v>
      </c>
      <c r="E260" s="173" t="s">
        <v>1232</v>
      </c>
      <c r="F260" s="173">
        <v>1</v>
      </c>
      <c r="G260" s="173" t="s">
        <v>43</v>
      </c>
      <c r="H260" s="173">
        <v>1</v>
      </c>
      <c r="I260" s="173" t="s">
        <v>1220</v>
      </c>
      <c r="J260" s="173" t="s">
        <v>27</v>
      </c>
      <c r="K260" s="173" t="s">
        <v>26</v>
      </c>
      <c r="L260" s="173"/>
      <c r="M260" s="173" t="s">
        <v>55</v>
      </c>
      <c r="N260" s="173">
        <v>890330584</v>
      </c>
      <c r="O260" s="175">
        <v>5789916</v>
      </c>
      <c r="P260" s="7"/>
      <c r="Q260" s="16">
        <f>+IF(IFERROR(VLOOKUP(Tabla3[[#This Row],[Cliente factura]],Tabla4[[NIT]:[TOTAL CREDITO]],3,FALSE),0)="",0,IFERROR(VLOOKUP(Tabla3[[#This Row],[Cliente factura]],Tabla4[[NIT]:[TOTAL CREDITO]],3,FALSE),0))</f>
        <v>802084041</v>
      </c>
      <c r="R260" s="9">
        <f>+IFERROR(VLOOKUP(Tabla3[[#This Row],[Cliente factura]],Tabla4[[NIT]:[TOTAL CREDITO]],6,FALSE),0)</f>
        <v>0</v>
      </c>
      <c r="S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0" s="10" t="str">
        <f>VLOOKUP(Tabla3[[#This Row],[Razón social cliente factura]]&amp;Tabla3[[#This Row],[Desc. ciudad]],'Estandar de Rutas'!$C$1:$E$553,2,FALSE)</f>
        <v>1.3.B</v>
      </c>
      <c r="U260" s="130">
        <f>IFERROR(VLOOKUP(Tabla3[[#This Row],[Referencia]]&amp;Tabla3[[#This Row],[Desc detalle ext 1]],Tabla1[[Referencia-Color]:[Disponibilidad]],3,FALSE),0)</f>
        <v>59</v>
      </c>
      <c r="V260" s="13"/>
      <c r="W260" s="17">
        <f>+Tabla3[[#This Row],[Cant. Programada]]*Tabla3[[#This Row],[Precio unit]]</f>
        <v>0</v>
      </c>
      <c r="X260" s="8"/>
      <c r="Y260" s="8"/>
      <c r="Z260" s="8" t="str">
        <f>+Tabla3[[#This Row],[Referencia]]&amp;Tabla3[[#This Row],[Desc detalle ext 1]]</f>
        <v>*XR 150L                                          NEGRO BLA</v>
      </c>
      <c r="AA260" s="128" t="e">
        <f>+VLOOKUP(Tabla3[[#This Row],[CODIGO2]],ESTANDAR!$B$3:$C$9,2,FALSE)</f>
        <v>#N/A</v>
      </c>
      <c r="AB260" s="128" t="str">
        <f>+MID(Tabla3[[#This Row],['# Viaje]],10,1)</f>
        <v/>
      </c>
    </row>
    <row r="261" spans="1:28" ht="15" hidden="1" customHeight="1">
      <c r="A261" s="173" t="s">
        <v>1502</v>
      </c>
      <c r="B261" s="174">
        <v>42948</v>
      </c>
      <c r="C261" s="173" t="s">
        <v>1231</v>
      </c>
      <c r="D261" s="173" t="s">
        <v>1478</v>
      </c>
      <c r="E261" s="173" t="s">
        <v>1232</v>
      </c>
      <c r="F261" s="173">
        <v>1</v>
      </c>
      <c r="G261" s="173" t="s">
        <v>43</v>
      </c>
      <c r="H261" s="173">
        <v>1</v>
      </c>
      <c r="I261" s="173" t="s">
        <v>1220</v>
      </c>
      <c r="J261" s="173" t="s">
        <v>354</v>
      </c>
      <c r="K261" s="173" t="s">
        <v>17</v>
      </c>
      <c r="L261" s="173"/>
      <c r="M261" s="173" t="s">
        <v>55</v>
      </c>
      <c r="N261" s="173">
        <v>890330584</v>
      </c>
      <c r="O261" s="175">
        <v>6133613</v>
      </c>
      <c r="P261" s="7"/>
      <c r="Q261" s="16">
        <f>+IF(IFERROR(VLOOKUP(Tabla3[[#This Row],[Cliente factura]],Tabla4[[NIT]:[TOTAL CREDITO]],3,FALSE),0)="",0,IFERROR(VLOOKUP(Tabla3[[#This Row],[Cliente factura]],Tabla4[[NIT]:[TOTAL CREDITO]],3,FALSE),0))</f>
        <v>802084041</v>
      </c>
      <c r="R261" s="9">
        <f>+IFERROR(VLOOKUP(Tabla3[[#This Row],[Cliente factura]],Tabla4[[NIT]:[TOTAL CREDITO]],6,FALSE),0)</f>
        <v>0</v>
      </c>
      <c r="S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1" s="10" t="str">
        <f>VLOOKUP(Tabla3[[#This Row],[Razón social cliente factura]]&amp;Tabla3[[#This Row],[Desc. ciudad]],'Estandar de Rutas'!$C$1:$E$553,2,FALSE)</f>
        <v>1.3.B</v>
      </c>
      <c r="U261" s="130">
        <f>IFERROR(VLOOKUP(Tabla3[[#This Row],[Referencia]]&amp;Tabla3[[#This Row],[Desc detalle ext 1]],Tabla1[[Referencia-Color]:[Disponibilidad]],3,FALSE),0)</f>
        <v>48</v>
      </c>
      <c r="V261" s="13"/>
      <c r="W261" s="17">
        <f>+Tabla3[[#This Row],[Cant. Programada]]*Tabla3[[#This Row],[Precio unit]]</f>
        <v>0</v>
      </c>
      <c r="X261" s="8"/>
      <c r="Y261" s="8"/>
      <c r="Z261" s="8" t="str">
        <f>+Tabla3[[#This Row],[Referencia]]&amp;Tabla3[[#This Row],[Desc detalle ext 1]]</f>
        <v>CB 160F DLX                                       ROJO SPOR</v>
      </c>
      <c r="AA261" s="128" t="e">
        <f>+VLOOKUP(Tabla3[[#This Row],[CODIGO2]],ESTANDAR!$B$3:$C$9,2,FALSE)</f>
        <v>#N/A</v>
      </c>
      <c r="AB261" s="128" t="str">
        <f>+MID(Tabla3[[#This Row],['# Viaje]],10,1)</f>
        <v/>
      </c>
    </row>
    <row r="262" spans="1:28" ht="15" hidden="1" customHeight="1">
      <c r="A262" s="173" t="s">
        <v>1502</v>
      </c>
      <c r="B262" s="174">
        <v>42948</v>
      </c>
      <c r="C262" s="173" t="s">
        <v>1231</v>
      </c>
      <c r="D262" s="173" t="s">
        <v>1478</v>
      </c>
      <c r="E262" s="173" t="s">
        <v>1232</v>
      </c>
      <c r="F262" s="173">
        <v>2</v>
      </c>
      <c r="G262" s="173" t="s">
        <v>43</v>
      </c>
      <c r="H262" s="173">
        <v>2</v>
      </c>
      <c r="I262" s="173" t="s">
        <v>1220</v>
      </c>
      <c r="J262" s="173" t="s">
        <v>354</v>
      </c>
      <c r="K262" s="173" t="s">
        <v>355</v>
      </c>
      <c r="L262" s="173"/>
      <c r="M262" s="173" t="s">
        <v>55</v>
      </c>
      <c r="N262" s="173">
        <v>890330584</v>
      </c>
      <c r="O262" s="175">
        <v>6133613</v>
      </c>
      <c r="P262" s="7"/>
      <c r="Q262" s="16">
        <f>+IF(IFERROR(VLOOKUP(Tabla3[[#This Row],[Cliente factura]],Tabla4[[NIT]:[TOTAL CREDITO]],3,FALSE),0)="",0,IFERROR(VLOOKUP(Tabla3[[#This Row],[Cliente factura]],Tabla4[[NIT]:[TOTAL CREDITO]],3,FALSE),0))</f>
        <v>802084041</v>
      </c>
      <c r="R262" s="9">
        <f>+IFERROR(VLOOKUP(Tabla3[[#This Row],[Cliente factura]],Tabla4[[NIT]:[TOTAL CREDITO]],6,FALSE),0)</f>
        <v>0</v>
      </c>
      <c r="S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2" s="10" t="str">
        <f>VLOOKUP(Tabla3[[#This Row],[Razón social cliente factura]]&amp;Tabla3[[#This Row],[Desc. ciudad]],'Estandar de Rutas'!$C$1:$E$553,2,FALSE)</f>
        <v>1.3.B</v>
      </c>
      <c r="U262" s="130">
        <f>IFERROR(VLOOKUP(Tabla3[[#This Row],[Referencia]]&amp;Tabla3[[#This Row],[Desc detalle ext 1]],Tabla1[[Referencia-Color]:[Disponibilidad]],3,FALSE),0)</f>
        <v>0</v>
      </c>
      <c r="V262" s="13"/>
      <c r="W262" s="17">
        <f>+Tabla3[[#This Row],[Cant. Programada]]*Tabla3[[#This Row],[Precio unit]]</f>
        <v>0</v>
      </c>
      <c r="X262" s="8"/>
      <c r="Y262" s="8"/>
      <c r="Z262" s="8" t="str">
        <f>+Tabla3[[#This Row],[Referencia]]&amp;Tabla3[[#This Row],[Desc detalle ext 1]]</f>
        <v>CB 160F DLX                                       NEGRO PER</v>
      </c>
      <c r="AA262" s="128" t="e">
        <f>+VLOOKUP(Tabla3[[#This Row],[CODIGO2]],ESTANDAR!$B$3:$C$9,2,FALSE)</f>
        <v>#N/A</v>
      </c>
      <c r="AB262" s="128" t="str">
        <f>+MID(Tabla3[[#This Row],['# Viaje]],10,1)</f>
        <v/>
      </c>
    </row>
    <row r="263" spans="1:28" ht="15" hidden="1" customHeight="1">
      <c r="A263" s="173" t="s">
        <v>1502</v>
      </c>
      <c r="B263" s="174">
        <v>42948</v>
      </c>
      <c r="C263" s="173" t="s">
        <v>1231</v>
      </c>
      <c r="D263" s="173" t="s">
        <v>1478</v>
      </c>
      <c r="E263" s="173" t="s">
        <v>1232</v>
      </c>
      <c r="F263" s="173">
        <v>1</v>
      </c>
      <c r="G263" s="173" t="s">
        <v>43</v>
      </c>
      <c r="H263" s="173">
        <v>1</v>
      </c>
      <c r="I263" s="173" t="s">
        <v>1220</v>
      </c>
      <c r="J263" s="173" t="s">
        <v>1428</v>
      </c>
      <c r="K263" s="173" t="s">
        <v>1429</v>
      </c>
      <c r="L263" s="173"/>
      <c r="M263" s="173" t="s">
        <v>55</v>
      </c>
      <c r="N263" s="173">
        <v>890330584</v>
      </c>
      <c r="O263" s="175">
        <v>3067227</v>
      </c>
      <c r="P263" s="7"/>
      <c r="Q263" s="16">
        <f>+IF(IFERROR(VLOOKUP(Tabla3[[#This Row],[Cliente factura]],Tabla4[[NIT]:[TOTAL CREDITO]],3,FALSE),0)="",0,IFERROR(VLOOKUP(Tabla3[[#This Row],[Cliente factura]],Tabla4[[NIT]:[TOTAL CREDITO]],3,FALSE),0))</f>
        <v>802084041</v>
      </c>
      <c r="R263" s="9">
        <f>+IFERROR(VLOOKUP(Tabla3[[#This Row],[Cliente factura]],Tabla4[[NIT]:[TOTAL CREDITO]],6,FALSE),0)</f>
        <v>0</v>
      </c>
      <c r="S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3" s="10" t="str">
        <f>VLOOKUP(Tabla3[[#This Row],[Razón social cliente factura]]&amp;Tabla3[[#This Row],[Desc. ciudad]],'Estandar de Rutas'!$C$1:$E$553,2,FALSE)</f>
        <v>1.3.B</v>
      </c>
      <c r="U263" s="130">
        <f>IFERROR(VLOOKUP(Tabla3[[#This Row],[Referencia]]&amp;Tabla3[[#This Row],[Desc detalle ext 1]],Tabla1[[Referencia-Color]:[Disponibilidad]],3,FALSE),0)</f>
        <v>0</v>
      </c>
      <c r="V263" s="13"/>
      <c r="W263" s="17">
        <f>+Tabla3[[#This Row],[Cant. Programada]]*Tabla3[[#This Row],[Precio unit]]</f>
        <v>0</v>
      </c>
      <c r="X263" s="129"/>
      <c r="Y263" s="129"/>
      <c r="Z263" s="8" t="str">
        <f>+Tabla3[[#This Row],[Referencia]]&amp;Tabla3[[#This Row],[Desc detalle ext 1]]</f>
        <v>DREAM  NEO                                        NEGRO AZU</v>
      </c>
      <c r="AA263" s="128" t="e">
        <f>+VLOOKUP(Tabla3[[#This Row],[CODIGO2]],ESTANDAR!$B$3:$C$9,2,FALSE)</f>
        <v>#N/A</v>
      </c>
      <c r="AB263" s="128" t="str">
        <f>+MID(Tabla3[[#This Row],['# Viaje]],10,1)</f>
        <v/>
      </c>
    </row>
    <row r="264" spans="1:28" ht="15" hidden="1" customHeight="1">
      <c r="A264" s="173" t="s">
        <v>1502</v>
      </c>
      <c r="B264" s="174">
        <v>42948</v>
      </c>
      <c r="C264" s="173" t="s">
        <v>1231</v>
      </c>
      <c r="D264" s="173" t="s">
        <v>1478</v>
      </c>
      <c r="E264" s="173" t="s">
        <v>1232</v>
      </c>
      <c r="F264" s="173">
        <v>2</v>
      </c>
      <c r="G264" s="173" t="s">
        <v>43</v>
      </c>
      <c r="H264" s="173">
        <v>2</v>
      </c>
      <c r="I264" s="173" t="s">
        <v>1220</v>
      </c>
      <c r="J264" s="173" t="s">
        <v>1451</v>
      </c>
      <c r="K264" s="173" t="s">
        <v>1449</v>
      </c>
      <c r="L264" s="173"/>
      <c r="M264" s="173" t="s">
        <v>55</v>
      </c>
      <c r="N264" s="173">
        <v>890330584</v>
      </c>
      <c r="O264" s="175">
        <v>3696639</v>
      </c>
      <c r="P264" s="7"/>
      <c r="Q264" s="16">
        <f>+IF(IFERROR(VLOOKUP(Tabla3[[#This Row],[Cliente factura]],Tabla4[[NIT]:[TOTAL CREDITO]],3,FALSE),0)="",0,IFERROR(VLOOKUP(Tabla3[[#This Row],[Cliente factura]],Tabla4[[NIT]:[TOTAL CREDITO]],3,FALSE),0))</f>
        <v>802084041</v>
      </c>
      <c r="R264" s="9">
        <f>+IFERROR(VLOOKUP(Tabla3[[#This Row],[Cliente factura]],Tabla4[[NIT]:[TOTAL CREDITO]],6,FALSE),0)</f>
        <v>0</v>
      </c>
      <c r="S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4" s="10" t="str">
        <f>VLOOKUP(Tabla3[[#This Row],[Razón social cliente factura]]&amp;Tabla3[[#This Row],[Desc. ciudad]],'Estandar de Rutas'!$C$1:$E$553,2,FALSE)</f>
        <v>1.3.B</v>
      </c>
      <c r="U264" s="130">
        <f>IFERROR(VLOOKUP(Tabla3[[#This Row],[Referencia]]&amp;Tabla3[[#This Row],[Desc detalle ext 1]],Tabla1[[Referencia-Color]:[Disponibilidad]],3,FALSE),0)</f>
        <v>24</v>
      </c>
      <c r="V264" s="13"/>
      <c r="W264" s="17">
        <f>+Tabla3[[#This Row],[Cant. Programada]]*Tabla3[[#This Row],[Precio unit]]</f>
        <v>0</v>
      </c>
      <c r="X264" s="129"/>
      <c r="Y264" s="129"/>
      <c r="Z264" s="8" t="str">
        <f>+Tabla3[[#This Row],[Referencia]]&amp;Tabla3[[#This Row],[Desc detalle ext 1]]</f>
        <v xml:space="preserve">CB 110 DLX                                        GRIS     </v>
      </c>
      <c r="AA264" s="128" t="e">
        <f>+VLOOKUP(Tabla3[[#This Row],[CODIGO2]],ESTANDAR!$B$3:$C$9,2,FALSE)</f>
        <v>#N/A</v>
      </c>
      <c r="AB264" s="128" t="str">
        <f>+MID(Tabla3[[#This Row],['# Viaje]],10,1)</f>
        <v/>
      </c>
    </row>
    <row r="265" spans="1:28" ht="15" hidden="1" customHeight="1">
      <c r="A265" s="173" t="s">
        <v>1503</v>
      </c>
      <c r="B265" s="174">
        <v>42948</v>
      </c>
      <c r="C265" s="173" t="s">
        <v>1231</v>
      </c>
      <c r="D265" s="173" t="s">
        <v>1237</v>
      </c>
      <c r="E265" s="173" t="s">
        <v>1232</v>
      </c>
      <c r="F265" s="173">
        <v>12</v>
      </c>
      <c r="G265" s="173" t="s">
        <v>81</v>
      </c>
      <c r="H265" s="173">
        <v>12</v>
      </c>
      <c r="I265" s="173" t="s">
        <v>1504</v>
      </c>
      <c r="J265" s="173" t="s">
        <v>14</v>
      </c>
      <c r="K265" s="173" t="s">
        <v>16</v>
      </c>
      <c r="L265" s="173"/>
      <c r="M265" s="173" t="s">
        <v>210</v>
      </c>
      <c r="N265" s="173">
        <v>890705577</v>
      </c>
      <c r="O265" s="175">
        <v>3360504</v>
      </c>
      <c r="P265" s="7"/>
      <c r="Q265" s="16">
        <f>+IF(IFERROR(VLOOKUP(Tabla3[[#This Row],[Cliente factura]],Tabla4[[NIT]:[TOTAL CREDITO]],3,FALSE),0)="",0,IFERROR(VLOOKUP(Tabla3[[#This Row],[Cliente factura]],Tabla4[[NIT]:[TOTAL CREDITO]],3,FALSE),0))</f>
        <v>281000000</v>
      </c>
      <c r="R265" s="9">
        <f>+IFERROR(VLOOKUP(Tabla3[[#This Row],[Cliente factura]],Tabla4[[NIT]:[TOTAL CREDITO]],6,FALSE),0)</f>
        <v>0</v>
      </c>
      <c r="S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5" s="10" t="str">
        <f>VLOOKUP(Tabla3[[#This Row],[Razón social cliente factura]]&amp;Tabla3[[#This Row],[Desc. ciudad]],'Estandar de Rutas'!$C$1:$E$553,2,FALSE)</f>
        <v>5.2.B</v>
      </c>
      <c r="U265" s="130">
        <f>IFERROR(VLOOKUP(Tabla3[[#This Row],[Referencia]]&amp;Tabla3[[#This Row],[Desc detalle ext 1]],Tabla1[[Referencia-Color]:[Disponibilidad]],3,FALSE),0)</f>
        <v>83</v>
      </c>
      <c r="V265" s="13"/>
      <c r="W265" s="17">
        <f>+Tabla3[[#This Row],[Cant. Programada]]*Tabla3[[#This Row],[Precio unit]]</f>
        <v>0</v>
      </c>
      <c r="X265" s="129"/>
      <c r="Y265" s="129"/>
      <c r="Z265" s="8" t="str">
        <f>+Tabla3[[#This Row],[Referencia]]&amp;Tabla3[[#This Row],[Desc detalle ext 1]]</f>
        <v xml:space="preserve">*CB-110                                           NEGRO    </v>
      </c>
      <c r="AA265" s="128" t="e">
        <f>+VLOOKUP(Tabla3[[#This Row],[CODIGO2]],ESTANDAR!$B$3:$C$9,2,FALSE)</f>
        <v>#N/A</v>
      </c>
      <c r="AB265" s="128" t="str">
        <f>+MID(Tabla3[[#This Row],['# Viaje]],10,1)</f>
        <v/>
      </c>
    </row>
    <row r="266" spans="1:28" ht="15" hidden="1" customHeight="1">
      <c r="A266" s="173" t="s">
        <v>1503</v>
      </c>
      <c r="B266" s="174">
        <v>42948</v>
      </c>
      <c r="C266" s="173" t="s">
        <v>1231</v>
      </c>
      <c r="D266" s="173" t="s">
        <v>1237</v>
      </c>
      <c r="E266" s="173" t="s">
        <v>1232</v>
      </c>
      <c r="F266" s="173">
        <v>8</v>
      </c>
      <c r="G266" s="173" t="s">
        <v>81</v>
      </c>
      <c r="H266" s="173">
        <v>8</v>
      </c>
      <c r="I266" s="173" t="s">
        <v>1504</v>
      </c>
      <c r="J266" s="173" t="s">
        <v>14</v>
      </c>
      <c r="K266" s="173" t="s">
        <v>15</v>
      </c>
      <c r="L266" s="173"/>
      <c r="M266" s="173" t="s">
        <v>210</v>
      </c>
      <c r="N266" s="173">
        <v>890705577</v>
      </c>
      <c r="O266" s="175">
        <v>3360504</v>
      </c>
      <c r="P266" s="7"/>
      <c r="Q266" s="16">
        <f>+IF(IFERROR(VLOOKUP(Tabla3[[#This Row],[Cliente factura]],Tabla4[[NIT]:[TOTAL CREDITO]],3,FALSE),0)="",0,IFERROR(VLOOKUP(Tabla3[[#This Row],[Cliente factura]],Tabla4[[NIT]:[TOTAL CREDITO]],3,FALSE),0))</f>
        <v>281000000</v>
      </c>
      <c r="R266" s="9">
        <f>+IFERROR(VLOOKUP(Tabla3[[#This Row],[Cliente factura]],Tabla4[[NIT]:[TOTAL CREDITO]],6,FALSE),0)</f>
        <v>0</v>
      </c>
      <c r="S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6" s="10" t="str">
        <f>VLOOKUP(Tabla3[[#This Row],[Razón social cliente factura]]&amp;Tabla3[[#This Row],[Desc. ciudad]],'Estandar de Rutas'!$C$1:$E$553,2,FALSE)</f>
        <v>5.2.B</v>
      </c>
      <c r="U266" s="130">
        <f>IFERROR(VLOOKUP(Tabla3[[#This Row],[Referencia]]&amp;Tabla3[[#This Row],[Desc detalle ext 1]],Tabla1[[Referencia-Color]:[Disponibilidad]],3,FALSE),0)</f>
        <v>99</v>
      </c>
      <c r="V266" s="13"/>
      <c r="W266" s="17">
        <f>+Tabla3[[#This Row],[Cant. Programada]]*Tabla3[[#This Row],[Precio unit]]</f>
        <v>0</v>
      </c>
      <c r="X266" s="129"/>
      <c r="Y266" s="129"/>
      <c r="Z266" s="8" t="str">
        <f>+Tabla3[[#This Row],[Referencia]]&amp;Tabla3[[#This Row],[Desc detalle ext 1]]</f>
        <v>*CB-110                                           AZUL FIJI</v>
      </c>
      <c r="AA266" s="128" t="e">
        <f>+VLOOKUP(Tabla3[[#This Row],[CODIGO2]],ESTANDAR!$B$3:$C$9,2,FALSE)</f>
        <v>#N/A</v>
      </c>
      <c r="AB266" s="128" t="str">
        <f>+MID(Tabla3[[#This Row],['# Viaje]],10,1)</f>
        <v/>
      </c>
    </row>
    <row r="267" spans="1:28" ht="15" hidden="1" customHeight="1">
      <c r="A267" s="173" t="s">
        <v>1503</v>
      </c>
      <c r="B267" s="174">
        <v>42948</v>
      </c>
      <c r="C267" s="173" t="s">
        <v>1231</v>
      </c>
      <c r="D267" s="173" t="s">
        <v>1237</v>
      </c>
      <c r="E267" s="173" t="s">
        <v>1232</v>
      </c>
      <c r="F267" s="173">
        <v>1</v>
      </c>
      <c r="G267" s="173" t="s">
        <v>81</v>
      </c>
      <c r="H267" s="173">
        <v>1</v>
      </c>
      <c r="I267" s="173" t="s">
        <v>1504</v>
      </c>
      <c r="J267" s="173" t="s">
        <v>27</v>
      </c>
      <c r="K267" s="173" t="s">
        <v>26</v>
      </c>
      <c r="L267" s="173"/>
      <c r="M267" s="173" t="s">
        <v>210</v>
      </c>
      <c r="N267" s="173">
        <v>890705577</v>
      </c>
      <c r="O267" s="175">
        <v>5789916</v>
      </c>
      <c r="P267" s="7"/>
      <c r="Q267" s="16">
        <f>+IF(IFERROR(VLOOKUP(Tabla3[[#This Row],[Cliente factura]],Tabla4[[NIT]:[TOTAL CREDITO]],3,FALSE),0)="",0,IFERROR(VLOOKUP(Tabla3[[#This Row],[Cliente factura]],Tabla4[[NIT]:[TOTAL CREDITO]],3,FALSE),0))</f>
        <v>281000000</v>
      </c>
      <c r="R267" s="9">
        <f>+IFERROR(VLOOKUP(Tabla3[[#This Row],[Cliente factura]],Tabla4[[NIT]:[TOTAL CREDITO]],6,FALSE),0)</f>
        <v>0</v>
      </c>
      <c r="S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7" s="10" t="str">
        <f>VLOOKUP(Tabla3[[#This Row],[Razón social cliente factura]]&amp;Tabla3[[#This Row],[Desc. ciudad]],'Estandar de Rutas'!$C$1:$E$553,2,FALSE)</f>
        <v>5.2.B</v>
      </c>
      <c r="U267" s="130">
        <f>IFERROR(VLOOKUP(Tabla3[[#This Row],[Referencia]]&amp;Tabla3[[#This Row],[Desc detalle ext 1]],Tabla1[[Referencia-Color]:[Disponibilidad]],3,FALSE),0)</f>
        <v>59</v>
      </c>
      <c r="V267" s="13"/>
      <c r="W267" s="17">
        <f>+Tabla3[[#This Row],[Cant. Programada]]*Tabla3[[#This Row],[Precio unit]]</f>
        <v>0</v>
      </c>
      <c r="X267" s="129"/>
      <c r="Y267" s="129"/>
      <c r="Z267" s="8" t="str">
        <f>+Tabla3[[#This Row],[Referencia]]&amp;Tabla3[[#This Row],[Desc detalle ext 1]]</f>
        <v>*XR 150L                                          NEGRO BLA</v>
      </c>
      <c r="AA267" s="128" t="e">
        <f>+VLOOKUP(Tabla3[[#This Row],[CODIGO2]],ESTANDAR!$B$3:$C$9,2,FALSE)</f>
        <v>#N/A</v>
      </c>
      <c r="AB267" s="128" t="str">
        <f>+MID(Tabla3[[#This Row],['# Viaje]],10,1)</f>
        <v/>
      </c>
    </row>
    <row r="268" spans="1:28" ht="15" hidden="1" customHeight="1">
      <c r="A268" s="173" t="s">
        <v>1503</v>
      </c>
      <c r="B268" s="174">
        <v>42948</v>
      </c>
      <c r="C268" s="173" t="s">
        <v>1231</v>
      </c>
      <c r="D268" s="173" t="s">
        <v>1237</v>
      </c>
      <c r="E268" s="173" t="s">
        <v>1232</v>
      </c>
      <c r="F268" s="173">
        <v>2</v>
      </c>
      <c r="G268" s="173" t="s">
        <v>81</v>
      </c>
      <c r="H268" s="173">
        <v>2</v>
      </c>
      <c r="I268" s="173" t="s">
        <v>1504</v>
      </c>
      <c r="J268" s="173" t="s">
        <v>1234</v>
      </c>
      <c r="K268" s="173" t="s">
        <v>17</v>
      </c>
      <c r="L268" s="173"/>
      <c r="M268" s="173" t="s">
        <v>210</v>
      </c>
      <c r="N268" s="173">
        <v>890705577</v>
      </c>
      <c r="O268" s="175">
        <v>5453782</v>
      </c>
      <c r="P268" s="7"/>
      <c r="Q268" s="16">
        <f>+IF(IFERROR(VLOOKUP(Tabla3[[#This Row],[Cliente factura]],Tabla4[[NIT]:[TOTAL CREDITO]],3,FALSE),0)="",0,IFERROR(VLOOKUP(Tabla3[[#This Row],[Cliente factura]],Tabla4[[NIT]:[TOTAL CREDITO]],3,FALSE),0))</f>
        <v>281000000</v>
      </c>
      <c r="R268" s="9">
        <f>+IFERROR(VLOOKUP(Tabla3[[#This Row],[Cliente factura]],Tabla4[[NIT]:[TOTAL CREDITO]],6,FALSE),0)</f>
        <v>0</v>
      </c>
      <c r="S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8" s="10" t="str">
        <f>VLOOKUP(Tabla3[[#This Row],[Razón social cliente factura]]&amp;Tabla3[[#This Row],[Desc. ciudad]],'Estandar de Rutas'!$C$1:$E$553,2,FALSE)</f>
        <v>5.2.B</v>
      </c>
      <c r="U268" s="130">
        <f>IFERROR(VLOOKUP(Tabla3[[#This Row],[Referencia]]&amp;Tabla3[[#This Row],[Desc detalle ext 1]],Tabla1[[Referencia-Color]:[Disponibilidad]],3,FALSE),0)</f>
        <v>0</v>
      </c>
      <c r="V268" s="13"/>
      <c r="W268" s="17">
        <f>+Tabla3[[#This Row],[Cant. Programada]]*Tabla3[[#This Row],[Precio unit]]</f>
        <v>0</v>
      </c>
      <c r="X268" s="129"/>
      <c r="Y268" s="129"/>
      <c r="Z268" s="8" t="str">
        <f>+Tabla3[[#This Row],[Referencia]]&amp;Tabla3[[#This Row],[Desc detalle ext 1]]</f>
        <v>CB 160F STD                                       ROJO SPOR</v>
      </c>
      <c r="AA268" s="128" t="e">
        <f>+VLOOKUP(Tabla3[[#This Row],[CODIGO2]],ESTANDAR!$B$3:$C$9,2,FALSE)</f>
        <v>#N/A</v>
      </c>
      <c r="AB268" s="128" t="str">
        <f>+MID(Tabla3[[#This Row],['# Viaje]],10,1)</f>
        <v/>
      </c>
    </row>
    <row r="269" spans="1:28" ht="15" hidden="1" customHeight="1">
      <c r="A269" s="173" t="s">
        <v>1503</v>
      </c>
      <c r="B269" s="174">
        <v>42948</v>
      </c>
      <c r="C269" s="173" t="s">
        <v>1231</v>
      </c>
      <c r="D269" s="173" t="s">
        <v>1237</v>
      </c>
      <c r="E269" s="173" t="s">
        <v>1232</v>
      </c>
      <c r="F269" s="173">
        <v>2</v>
      </c>
      <c r="G269" s="173" t="s">
        <v>81</v>
      </c>
      <c r="H269" s="173">
        <v>2</v>
      </c>
      <c r="I269" s="173" t="s">
        <v>1504</v>
      </c>
      <c r="J269" s="173" t="s">
        <v>1234</v>
      </c>
      <c r="K269" s="173" t="s">
        <v>355</v>
      </c>
      <c r="L269" s="173"/>
      <c r="M269" s="173" t="s">
        <v>210</v>
      </c>
      <c r="N269" s="173">
        <v>890705577</v>
      </c>
      <c r="O269" s="175">
        <v>5453782</v>
      </c>
      <c r="P269" s="7"/>
      <c r="Q269" s="16">
        <f>+IF(IFERROR(VLOOKUP(Tabla3[[#This Row],[Cliente factura]],Tabla4[[NIT]:[TOTAL CREDITO]],3,FALSE),0)="",0,IFERROR(VLOOKUP(Tabla3[[#This Row],[Cliente factura]],Tabla4[[NIT]:[TOTAL CREDITO]],3,FALSE),0))</f>
        <v>281000000</v>
      </c>
      <c r="R269" s="9">
        <f>+IFERROR(VLOOKUP(Tabla3[[#This Row],[Cliente factura]],Tabla4[[NIT]:[TOTAL CREDITO]],6,FALSE),0)</f>
        <v>0</v>
      </c>
      <c r="S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9" s="10" t="str">
        <f>VLOOKUP(Tabla3[[#This Row],[Razón social cliente factura]]&amp;Tabla3[[#This Row],[Desc. ciudad]],'Estandar de Rutas'!$C$1:$E$553,2,FALSE)</f>
        <v>5.2.B</v>
      </c>
      <c r="U269" s="130">
        <f>IFERROR(VLOOKUP(Tabla3[[#This Row],[Referencia]]&amp;Tabla3[[#This Row],[Desc detalle ext 1]],Tabla1[[Referencia-Color]:[Disponibilidad]],3,FALSE),0)</f>
        <v>0</v>
      </c>
      <c r="V269" s="13"/>
      <c r="W269" s="17">
        <f>+Tabla3[[#This Row],[Cant. Programada]]*Tabla3[[#This Row],[Precio unit]]</f>
        <v>0</v>
      </c>
      <c r="X269" s="129"/>
      <c r="Y269" s="129"/>
      <c r="Z269" s="8" t="str">
        <f>+Tabla3[[#This Row],[Referencia]]&amp;Tabla3[[#This Row],[Desc detalle ext 1]]</f>
        <v>CB 160F STD                                       NEGRO PER</v>
      </c>
      <c r="AA269" s="128" t="e">
        <f>+VLOOKUP(Tabla3[[#This Row],[CODIGO2]],ESTANDAR!$B$3:$C$9,2,FALSE)</f>
        <v>#N/A</v>
      </c>
      <c r="AB269" s="128" t="str">
        <f>+MID(Tabla3[[#This Row],['# Viaje]],10,1)</f>
        <v/>
      </c>
    </row>
    <row r="270" spans="1:28" ht="15" hidden="1" customHeight="1">
      <c r="A270" s="173" t="s">
        <v>1503</v>
      </c>
      <c r="B270" s="174">
        <v>42948</v>
      </c>
      <c r="C270" s="173" t="s">
        <v>1231</v>
      </c>
      <c r="D270" s="173" t="s">
        <v>1237</v>
      </c>
      <c r="E270" s="173" t="s">
        <v>1232</v>
      </c>
      <c r="F270" s="173">
        <v>7</v>
      </c>
      <c r="G270" s="173" t="s">
        <v>81</v>
      </c>
      <c r="H270" s="173">
        <v>7</v>
      </c>
      <c r="I270" s="173" t="s">
        <v>1504</v>
      </c>
      <c r="J270" s="173" t="s">
        <v>1451</v>
      </c>
      <c r="K270" s="173" t="s">
        <v>1452</v>
      </c>
      <c r="L270" s="173"/>
      <c r="M270" s="173" t="s">
        <v>210</v>
      </c>
      <c r="N270" s="173">
        <v>890705577</v>
      </c>
      <c r="O270" s="175">
        <v>3696639</v>
      </c>
      <c r="P270" s="7"/>
      <c r="Q270" s="16">
        <f>+IF(IFERROR(VLOOKUP(Tabla3[[#This Row],[Cliente factura]],Tabla4[[NIT]:[TOTAL CREDITO]],3,FALSE),0)="",0,IFERROR(VLOOKUP(Tabla3[[#This Row],[Cliente factura]],Tabla4[[NIT]:[TOTAL CREDITO]],3,FALSE),0))</f>
        <v>281000000</v>
      </c>
      <c r="R270" s="9">
        <f>+IFERROR(VLOOKUP(Tabla3[[#This Row],[Cliente factura]],Tabla4[[NIT]:[TOTAL CREDITO]],6,FALSE),0)</f>
        <v>0</v>
      </c>
      <c r="S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0" s="10" t="str">
        <f>VLOOKUP(Tabla3[[#This Row],[Razón social cliente factura]]&amp;Tabla3[[#This Row],[Desc. ciudad]],'Estandar de Rutas'!$C$1:$E$553,2,FALSE)</f>
        <v>5.2.B</v>
      </c>
      <c r="U270" s="130">
        <f>IFERROR(VLOOKUP(Tabla3[[#This Row],[Referencia]]&amp;Tabla3[[#This Row],[Desc detalle ext 1]],Tabla1[[Referencia-Color]:[Disponibilidad]],3,FALSE),0)</f>
        <v>21</v>
      </c>
      <c r="V270" s="13"/>
      <c r="W270" s="17">
        <f>+Tabla3[[#This Row],[Cant. Programada]]*Tabla3[[#This Row],[Precio unit]]</f>
        <v>0</v>
      </c>
      <c r="X270" s="8"/>
      <c r="Y270" s="8"/>
      <c r="Z270" s="8" t="str">
        <f>+Tabla3[[#This Row],[Referencia]]&amp;Tabla3[[#This Row],[Desc detalle ext 1]]</f>
        <v xml:space="preserve">CB 110 DLX                                        AZUL     </v>
      </c>
      <c r="AA270" s="128" t="e">
        <f>+VLOOKUP(Tabla3[[#This Row],[CODIGO2]],ESTANDAR!$B$3:$C$9,2,FALSE)</f>
        <v>#N/A</v>
      </c>
      <c r="AB270" s="128" t="str">
        <f>+MID(Tabla3[[#This Row],['# Viaje]],10,1)</f>
        <v/>
      </c>
    </row>
    <row r="271" spans="1:28" ht="15" hidden="1" customHeight="1">
      <c r="A271" s="173" t="s">
        <v>1503</v>
      </c>
      <c r="B271" s="174">
        <v>42948</v>
      </c>
      <c r="C271" s="173" t="s">
        <v>1231</v>
      </c>
      <c r="D271" s="173" t="s">
        <v>1237</v>
      </c>
      <c r="E271" s="173" t="s">
        <v>1232</v>
      </c>
      <c r="F271" s="173">
        <v>20</v>
      </c>
      <c r="G271" s="173" t="s">
        <v>81</v>
      </c>
      <c r="H271" s="173">
        <v>20</v>
      </c>
      <c r="I271" s="173" t="s">
        <v>1504</v>
      </c>
      <c r="J271" s="173" t="s">
        <v>1451</v>
      </c>
      <c r="K271" s="173" t="s">
        <v>16</v>
      </c>
      <c r="L271" s="173"/>
      <c r="M271" s="173" t="s">
        <v>210</v>
      </c>
      <c r="N271" s="173">
        <v>890705577</v>
      </c>
      <c r="O271" s="175">
        <v>3696639</v>
      </c>
      <c r="P271" s="7"/>
      <c r="Q271" s="16">
        <f>+IF(IFERROR(VLOOKUP(Tabla3[[#This Row],[Cliente factura]],Tabla4[[NIT]:[TOTAL CREDITO]],3,FALSE),0)="",0,IFERROR(VLOOKUP(Tabla3[[#This Row],[Cliente factura]],Tabla4[[NIT]:[TOTAL CREDITO]],3,FALSE),0))</f>
        <v>281000000</v>
      </c>
      <c r="R271" s="9">
        <f>+IFERROR(VLOOKUP(Tabla3[[#This Row],[Cliente factura]],Tabla4[[NIT]:[TOTAL CREDITO]],6,FALSE),0)</f>
        <v>0</v>
      </c>
      <c r="S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1" s="10" t="str">
        <f>VLOOKUP(Tabla3[[#This Row],[Razón social cliente factura]]&amp;Tabla3[[#This Row],[Desc. ciudad]],'Estandar de Rutas'!$C$1:$E$553,2,FALSE)</f>
        <v>5.2.B</v>
      </c>
      <c r="U271" s="130">
        <f>IFERROR(VLOOKUP(Tabla3[[#This Row],[Referencia]]&amp;Tabla3[[#This Row],[Desc detalle ext 1]],Tabla1[[Referencia-Color]:[Disponibilidad]],3,FALSE),0)</f>
        <v>3</v>
      </c>
      <c r="V271" s="13"/>
      <c r="W271" s="17">
        <f>+Tabla3[[#This Row],[Cant. Programada]]*Tabla3[[#This Row],[Precio unit]]</f>
        <v>0</v>
      </c>
      <c r="X271" s="8"/>
      <c r="Y271" s="8"/>
      <c r="Z271" s="8" t="str">
        <f>+Tabla3[[#This Row],[Referencia]]&amp;Tabla3[[#This Row],[Desc detalle ext 1]]</f>
        <v xml:space="preserve">CB 110 DLX                                        NEGRO    </v>
      </c>
      <c r="AA271" s="128" t="e">
        <f>+VLOOKUP(Tabla3[[#This Row],[CODIGO2]],ESTANDAR!$B$3:$C$9,2,FALSE)</f>
        <v>#N/A</v>
      </c>
      <c r="AB271" s="128" t="str">
        <f>+MID(Tabla3[[#This Row],['# Viaje]],10,1)</f>
        <v/>
      </c>
    </row>
    <row r="272" spans="1:28" ht="15" hidden="1" customHeight="1">
      <c r="A272" s="173" t="s">
        <v>1505</v>
      </c>
      <c r="B272" s="174">
        <v>42948</v>
      </c>
      <c r="C272" s="173" t="s">
        <v>1231</v>
      </c>
      <c r="D272" s="173" t="s">
        <v>1478</v>
      </c>
      <c r="E272" s="173" t="s">
        <v>1232</v>
      </c>
      <c r="F272" s="173">
        <v>1</v>
      </c>
      <c r="G272" s="173" t="s">
        <v>43</v>
      </c>
      <c r="H272" s="173">
        <v>1</v>
      </c>
      <c r="I272" s="173" t="s">
        <v>1221</v>
      </c>
      <c r="J272" s="173" t="s">
        <v>27</v>
      </c>
      <c r="K272" s="173" t="s">
        <v>26</v>
      </c>
      <c r="L272" s="173"/>
      <c r="M272" s="173" t="s">
        <v>42</v>
      </c>
      <c r="N272" s="173">
        <v>890330584</v>
      </c>
      <c r="O272" s="175">
        <v>5789916</v>
      </c>
      <c r="P272" s="7"/>
      <c r="Q272" s="16">
        <f>+IF(IFERROR(VLOOKUP(Tabla3[[#This Row],[Cliente factura]],Tabla4[[NIT]:[TOTAL CREDITO]],3,FALSE),0)="",0,IFERROR(VLOOKUP(Tabla3[[#This Row],[Cliente factura]],Tabla4[[NIT]:[TOTAL CREDITO]],3,FALSE),0))</f>
        <v>802084041</v>
      </c>
      <c r="R272" s="9">
        <f>+IFERROR(VLOOKUP(Tabla3[[#This Row],[Cliente factura]],Tabla4[[NIT]:[TOTAL CREDITO]],6,FALSE),0)</f>
        <v>0</v>
      </c>
      <c r="S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2" s="10" t="str">
        <f>VLOOKUP(Tabla3[[#This Row],[Razón social cliente factura]]&amp;Tabla3[[#This Row],[Desc. ciudad]],'Estandar de Rutas'!$C$1:$E$553,2,FALSE)</f>
        <v>1.3</v>
      </c>
      <c r="U272" s="130">
        <f>IFERROR(VLOOKUP(Tabla3[[#This Row],[Referencia]]&amp;Tabla3[[#This Row],[Desc detalle ext 1]],Tabla1[[Referencia-Color]:[Disponibilidad]],3,FALSE),0)</f>
        <v>59</v>
      </c>
      <c r="V272" s="13"/>
      <c r="W272" s="17">
        <f>+Tabla3[[#This Row],[Cant. Programada]]*Tabla3[[#This Row],[Precio unit]]</f>
        <v>0</v>
      </c>
      <c r="X272" s="8"/>
      <c r="Y272" s="8"/>
      <c r="Z272" s="8" t="str">
        <f>+Tabla3[[#This Row],[Referencia]]&amp;Tabla3[[#This Row],[Desc detalle ext 1]]</f>
        <v>*XR 150L                                          NEGRO BLA</v>
      </c>
      <c r="AA272" s="128" t="e">
        <f>+VLOOKUP(Tabla3[[#This Row],[CODIGO2]],ESTANDAR!$B$3:$C$9,2,FALSE)</f>
        <v>#N/A</v>
      </c>
      <c r="AB272" s="128" t="str">
        <f>+MID(Tabla3[[#This Row],['# Viaje]],10,1)</f>
        <v/>
      </c>
    </row>
    <row r="273" spans="1:28" ht="15" hidden="1" customHeight="1">
      <c r="A273" s="173" t="s">
        <v>1505</v>
      </c>
      <c r="B273" s="174">
        <v>42948</v>
      </c>
      <c r="C273" s="173" t="s">
        <v>1231</v>
      </c>
      <c r="D273" s="173" t="s">
        <v>1478</v>
      </c>
      <c r="E273" s="173" t="s">
        <v>1232</v>
      </c>
      <c r="F273" s="173">
        <v>1</v>
      </c>
      <c r="G273" s="173" t="s">
        <v>43</v>
      </c>
      <c r="H273" s="173">
        <v>1</v>
      </c>
      <c r="I273" s="173" t="s">
        <v>1221</v>
      </c>
      <c r="J273" s="173" t="s">
        <v>10</v>
      </c>
      <c r="K273" s="173" t="s">
        <v>11</v>
      </c>
      <c r="L273" s="173"/>
      <c r="M273" s="173" t="s">
        <v>42</v>
      </c>
      <c r="N273" s="173">
        <v>890330584</v>
      </c>
      <c r="O273" s="175">
        <v>7554622</v>
      </c>
      <c r="P273" s="7"/>
      <c r="Q273" s="16">
        <f>+IF(IFERROR(VLOOKUP(Tabla3[[#This Row],[Cliente factura]],Tabla4[[NIT]:[TOTAL CREDITO]],3,FALSE),0)="",0,IFERROR(VLOOKUP(Tabla3[[#This Row],[Cliente factura]],Tabla4[[NIT]:[TOTAL CREDITO]],3,FALSE),0))</f>
        <v>802084041</v>
      </c>
      <c r="R273" s="9">
        <f>+IFERROR(VLOOKUP(Tabla3[[#This Row],[Cliente factura]],Tabla4[[NIT]:[TOTAL CREDITO]],6,FALSE),0)</f>
        <v>0</v>
      </c>
      <c r="S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3" s="10" t="str">
        <f>VLOOKUP(Tabla3[[#This Row],[Razón social cliente factura]]&amp;Tabla3[[#This Row],[Desc. ciudad]],'Estandar de Rutas'!$C$1:$E$553,2,FALSE)</f>
        <v>1.3</v>
      </c>
      <c r="U273" s="130">
        <f>IFERROR(VLOOKUP(Tabla3[[#This Row],[Referencia]]&amp;Tabla3[[#This Row],[Desc detalle ext 1]],Tabla1[[Referencia-Color]:[Disponibilidad]],3,FALSE),0)</f>
        <v>0</v>
      </c>
      <c r="V273" s="13"/>
      <c r="W273" s="17">
        <f>+Tabla3[[#This Row],[Cant. Programada]]*Tabla3[[#This Row],[Precio unit]]</f>
        <v>0</v>
      </c>
      <c r="X273" s="129"/>
      <c r="Y273" s="129"/>
      <c r="Z273" s="8" t="str">
        <f>+Tabla3[[#This Row],[Referencia]]&amp;Tabla3[[#This Row],[Desc detalle ext 1]]</f>
        <v>CB 190R                                           NEGRO ONI</v>
      </c>
      <c r="AA273" s="128" t="e">
        <f>+VLOOKUP(Tabla3[[#This Row],[CODIGO2]],ESTANDAR!$B$3:$C$9,2,FALSE)</f>
        <v>#N/A</v>
      </c>
      <c r="AB273" s="128" t="str">
        <f>+MID(Tabla3[[#This Row],['# Viaje]],10,1)</f>
        <v/>
      </c>
    </row>
    <row r="274" spans="1:28" ht="15" hidden="1" customHeight="1">
      <c r="A274" s="173" t="s">
        <v>1505</v>
      </c>
      <c r="B274" s="174">
        <v>42948</v>
      </c>
      <c r="C274" s="173" t="s">
        <v>1231</v>
      </c>
      <c r="D274" s="173" t="s">
        <v>1478</v>
      </c>
      <c r="E274" s="173" t="s">
        <v>1232</v>
      </c>
      <c r="F274" s="173">
        <v>1</v>
      </c>
      <c r="G274" s="173" t="s">
        <v>43</v>
      </c>
      <c r="H274" s="173">
        <v>1</v>
      </c>
      <c r="I274" s="173" t="s">
        <v>1221</v>
      </c>
      <c r="J274" s="173" t="s">
        <v>354</v>
      </c>
      <c r="K274" s="173" t="s">
        <v>474</v>
      </c>
      <c r="L274" s="173"/>
      <c r="M274" s="173" t="s">
        <v>42</v>
      </c>
      <c r="N274" s="173">
        <v>890330584</v>
      </c>
      <c r="O274" s="175">
        <v>6133613</v>
      </c>
      <c r="P274" s="7"/>
      <c r="Q274" s="16">
        <f>+IF(IFERROR(VLOOKUP(Tabla3[[#This Row],[Cliente factura]],Tabla4[[NIT]:[TOTAL CREDITO]],3,FALSE),0)="",0,IFERROR(VLOOKUP(Tabla3[[#This Row],[Cliente factura]],Tabla4[[NIT]:[TOTAL CREDITO]],3,FALSE),0))</f>
        <v>802084041</v>
      </c>
      <c r="R274" s="9">
        <f>+IFERROR(VLOOKUP(Tabla3[[#This Row],[Cliente factura]],Tabla4[[NIT]:[TOTAL CREDITO]],6,FALSE),0)</f>
        <v>0</v>
      </c>
      <c r="S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4" s="10" t="str">
        <f>VLOOKUP(Tabla3[[#This Row],[Razón social cliente factura]]&amp;Tabla3[[#This Row],[Desc. ciudad]],'Estandar de Rutas'!$C$1:$E$553,2,FALSE)</f>
        <v>1.3</v>
      </c>
      <c r="U274" s="130">
        <f>IFERROR(VLOOKUP(Tabla3[[#This Row],[Referencia]]&amp;Tabla3[[#This Row],[Desc detalle ext 1]],Tabla1[[Referencia-Color]:[Disponibilidad]],3,FALSE),0)</f>
        <v>3</v>
      </c>
      <c r="V274" s="13"/>
      <c r="W274" s="17">
        <f>+Tabla3[[#This Row],[Cant. Programada]]*Tabla3[[#This Row],[Precio unit]]</f>
        <v>0</v>
      </c>
      <c r="X274" s="129"/>
      <c r="Y274" s="129"/>
      <c r="Z274" s="8" t="str">
        <f>+Tabla3[[#This Row],[Referencia]]&amp;Tabla3[[#This Row],[Desc detalle ext 1]]</f>
        <v>CB 160F DLX                                       NARANJA N</v>
      </c>
      <c r="AA274" s="128" t="e">
        <f>+VLOOKUP(Tabla3[[#This Row],[CODIGO2]],ESTANDAR!$B$3:$C$9,2,FALSE)</f>
        <v>#N/A</v>
      </c>
      <c r="AB274" s="128" t="str">
        <f>+MID(Tabla3[[#This Row],['# Viaje]],10,1)</f>
        <v/>
      </c>
    </row>
    <row r="275" spans="1:28" ht="15" hidden="1" customHeight="1">
      <c r="A275" s="173" t="s">
        <v>1505</v>
      </c>
      <c r="B275" s="174">
        <v>42948</v>
      </c>
      <c r="C275" s="173" t="s">
        <v>1231</v>
      </c>
      <c r="D275" s="173" t="s">
        <v>1478</v>
      </c>
      <c r="E275" s="173" t="s">
        <v>1232</v>
      </c>
      <c r="F275" s="173">
        <v>2</v>
      </c>
      <c r="G275" s="173" t="s">
        <v>43</v>
      </c>
      <c r="H275" s="173">
        <v>2</v>
      </c>
      <c r="I275" s="173" t="s">
        <v>1221</v>
      </c>
      <c r="J275" s="173" t="s">
        <v>354</v>
      </c>
      <c r="K275" s="173" t="s">
        <v>355</v>
      </c>
      <c r="L275" s="173"/>
      <c r="M275" s="173" t="s">
        <v>42</v>
      </c>
      <c r="N275" s="173">
        <v>890330584</v>
      </c>
      <c r="O275" s="175">
        <v>6133613</v>
      </c>
      <c r="P275" s="7"/>
      <c r="Q275" s="16">
        <f>+IF(IFERROR(VLOOKUP(Tabla3[[#This Row],[Cliente factura]],Tabla4[[NIT]:[TOTAL CREDITO]],3,FALSE),0)="",0,IFERROR(VLOOKUP(Tabla3[[#This Row],[Cliente factura]],Tabla4[[NIT]:[TOTAL CREDITO]],3,FALSE),0))</f>
        <v>802084041</v>
      </c>
      <c r="R275" s="9">
        <f>+IFERROR(VLOOKUP(Tabla3[[#This Row],[Cliente factura]],Tabla4[[NIT]:[TOTAL CREDITO]],6,FALSE),0)</f>
        <v>0</v>
      </c>
      <c r="S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5" s="10" t="str">
        <f>VLOOKUP(Tabla3[[#This Row],[Razón social cliente factura]]&amp;Tabla3[[#This Row],[Desc. ciudad]],'Estandar de Rutas'!$C$1:$E$553,2,FALSE)</f>
        <v>1.3</v>
      </c>
      <c r="U275" s="130">
        <f>IFERROR(VLOOKUP(Tabla3[[#This Row],[Referencia]]&amp;Tabla3[[#This Row],[Desc detalle ext 1]],Tabla1[[Referencia-Color]:[Disponibilidad]],3,FALSE),0)</f>
        <v>0</v>
      </c>
      <c r="V275" s="13"/>
      <c r="W275" s="17">
        <f>+Tabla3[[#This Row],[Cant. Programada]]*Tabla3[[#This Row],[Precio unit]]</f>
        <v>0</v>
      </c>
      <c r="X275" s="129"/>
      <c r="Y275" s="8"/>
      <c r="Z275" s="8" t="str">
        <f>+Tabla3[[#This Row],[Referencia]]&amp;Tabla3[[#This Row],[Desc detalle ext 1]]</f>
        <v>CB 160F DLX                                       NEGRO PER</v>
      </c>
      <c r="AA275" s="128" t="e">
        <f>+VLOOKUP(Tabla3[[#This Row],[CODIGO2]],ESTANDAR!$B$3:$C$9,2,FALSE)</f>
        <v>#N/A</v>
      </c>
      <c r="AB275" s="128" t="str">
        <f>+MID(Tabla3[[#This Row],['# Viaje]],10,1)</f>
        <v/>
      </c>
    </row>
    <row r="276" spans="1:28" ht="15" hidden="1" customHeight="1">
      <c r="A276" s="173" t="s">
        <v>1505</v>
      </c>
      <c r="B276" s="174">
        <v>42948</v>
      </c>
      <c r="C276" s="173" t="s">
        <v>1231</v>
      </c>
      <c r="D276" s="173" t="s">
        <v>1478</v>
      </c>
      <c r="E276" s="173" t="s">
        <v>1232</v>
      </c>
      <c r="F276" s="173">
        <v>1</v>
      </c>
      <c r="G276" s="173" t="s">
        <v>43</v>
      </c>
      <c r="H276" s="173">
        <v>1</v>
      </c>
      <c r="I276" s="173" t="s">
        <v>1221</v>
      </c>
      <c r="J276" s="173" t="s">
        <v>1433</v>
      </c>
      <c r="K276" s="173" t="s">
        <v>1452</v>
      </c>
      <c r="L276" s="173"/>
      <c r="M276" s="173" t="s">
        <v>42</v>
      </c>
      <c r="N276" s="173">
        <v>890330584</v>
      </c>
      <c r="O276" s="175">
        <v>3521008</v>
      </c>
      <c r="P276" s="7"/>
      <c r="Q276" s="16">
        <f>+IF(IFERROR(VLOOKUP(Tabla3[[#This Row],[Cliente factura]],Tabla4[[NIT]:[TOTAL CREDITO]],3,FALSE),0)="",0,IFERROR(VLOOKUP(Tabla3[[#This Row],[Cliente factura]],Tabla4[[NIT]:[TOTAL CREDITO]],3,FALSE),0))</f>
        <v>802084041</v>
      </c>
      <c r="R276" s="9">
        <f>+IFERROR(VLOOKUP(Tabla3[[#This Row],[Cliente factura]],Tabla4[[NIT]:[TOTAL CREDITO]],6,FALSE),0)</f>
        <v>0</v>
      </c>
      <c r="S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6" s="10" t="str">
        <f>VLOOKUP(Tabla3[[#This Row],[Razón social cliente factura]]&amp;Tabla3[[#This Row],[Desc. ciudad]],'Estandar de Rutas'!$C$1:$E$553,2,FALSE)</f>
        <v>1.3</v>
      </c>
      <c r="U276" s="130">
        <f>IFERROR(VLOOKUP(Tabla3[[#This Row],[Referencia]]&amp;Tabla3[[#This Row],[Desc detalle ext 1]],Tabla1[[Referencia-Color]:[Disponibilidad]],3,FALSE),0)</f>
        <v>0</v>
      </c>
      <c r="V276" s="13"/>
      <c r="W276" s="17">
        <f>+Tabla3[[#This Row],[Cant. Programada]]*Tabla3[[#This Row],[Precio unit]]</f>
        <v>0</v>
      </c>
      <c r="X276" s="129"/>
      <c r="Y276" s="129"/>
      <c r="Z276" s="8" t="str">
        <f>+Tabla3[[#This Row],[Referencia]]&amp;Tabla3[[#This Row],[Desc detalle ext 1]]</f>
        <v xml:space="preserve">DIO  110                                          AZUL     </v>
      </c>
      <c r="AA276" s="128" t="e">
        <f>+VLOOKUP(Tabla3[[#This Row],[CODIGO2]],ESTANDAR!$B$3:$C$9,2,FALSE)</f>
        <v>#N/A</v>
      </c>
      <c r="AB276" s="128" t="str">
        <f>+MID(Tabla3[[#This Row],['# Viaje]],10,1)</f>
        <v/>
      </c>
    </row>
    <row r="277" spans="1:28" ht="15" hidden="1" customHeight="1">
      <c r="A277" s="173" t="s">
        <v>1505</v>
      </c>
      <c r="B277" s="174">
        <v>42948</v>
      </c>
      <c r="C277" s="173" t="s">
        <v>1231</v>
      </c>
      <c r="D277" s="173" t="s">
        <v>1478</v>
      </c>
      <c r="E277" s="173" t="s">
        <v>1232</v>
      </c>
      <c r="F277" s="173">
        <v>1</v>
      </c>
      <c r="G277" s="173" t="s">
        <v>43</v>
      </c>
      <c r="H277" s="173">
        <v>1</v>
      </c>
      <c r="I277" s="173" t="s">
        <v>1221</v>
      </c>
      <c r="J277" s="173" t="s">
        <v>1451</v>
      </c>
      <c r="K277" s="173" t="s">
        <v>1449</v>
      </c>
      <c r="L277" s="173"/>
      <c r="M277" s="173" t="s">
        <v>42</v>
      </c>
      <c r="N277" s="173">
        <v>890330584</v>
      </c>
      <c r="O277" s="175">
        <v>3696639</v>
      </c>
      <c r="P277" s="7"/>
      <c r="Q277" s="16">
        <f>+IF(IFERROR(VLOOKUP(Tabla3[[#This Row],[Cliente factura]],Tabla4[[NIT]:[TOTAL CREDITO]],3,FALSE),0)="",0,IFERROR(VLOOKUP(Tabla3[[#This Row],[Cliente factura]],Tabla4[[NIT]:[TOTAL CREDITO]],3,FALSE),0))</f>
        <v>802084041</v>
      </c>
      <c r="R277" s="9">
        <f>+IFERROR(VLOOKUP(Tabla3[[#This Row],[Cliente factura]],Tabla4[[NIT]:[TOTAL CREDITO]],6,FALSE),0)</f>
        <v>0</v>
      </c>
      <c r="S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7" s="10" t="str">
        <f>VLOOKUP(Tabla3[[#This Row],[Razón social cliente factura]]&amp;Tabla3[[#This Row],[Desc. ciudad]],'Estandar de Rutas'!$C$1:$E$553,2,FALSE)</f>
        <v>1.3</v>
      </c>
      <c r="U277" s="130">
        <f>IFERROR(VLOOKUP(Tabla3[[#This Row],[Referencia]]&amp;Tabla3[[#This Row],[Desc detalle ext 1]],Tabla1[[Referencia-Color]:[Disponibilidad]],3,FALSE),0)</f>
        <v>24</v>
      </c>
      <c r="V277" s="13"/>
      <c r="W277" s="17">
        <f>+Tabla3[[#This Row],[Cant. Programada]]*Tabla3[[#This Row],[Precio unit]]</f>
        <v>0</v>
      </c>
      <c r="X277" s="8"/>
      <c r="Y277" s="8"/>
      <c r="Z277" s="8" t="str">
        <f>+Tabla3[[#This Row],[Referencia]]&amp;Tabla3[[#This Row],[Desc detalle ext 1]]</f>
        <v xml:space="preserve">CB 110 DLX                                        GRIS     </v>
      </c>
      <c r="AA277" s="128" t="e">
        <f>+VLOOKUP(Tabla3[[#This Row],[CODIGO2]],ESTANDAR!$B$3:$C$9,2,FALSE)</f>
        <v>#N/A</v>
      </c>
      <c r="AB277" s="128" t="str">
        <f>+MID(Tabla3[[#This Row],['# Viaje]],10,1)</f>
        <v/>
      </c>
    </row>
    <row r="278" spans="1:28" ht="15" hidden="1" customHeight="1">
      <c r="A278" s="173" t="s">
        <v>1505</v>
      </c>
      <c r="B278" s="174">
        <v>42948</v>
      </c>
      <c r="C278" s="173" t="s">
        <v>1231</v>
      </c>
      <c r="D278" s="173" t="s">
        <v>1478</v>
      </c>
      <c r="E278" s="173" t="s">
        <v>1232</v>
      </c>
      <c r="F278" s="173">
        <v>1</v>
      </c>
      <c r="G278" s="173" t="s">
        <v>43</v>
      </c>
      <c r="H278" s="173">
        <v>1</v>
      </c>
      <c r="I278" s="173" t="s">
        <v>1221</v>
      </c>
      <c r="J278" s="173" t="s">
        <v>1451</v>
      </c>
      <c r="K278" s="173" t="s">
        <v>16</v>
      </c>
      <c r="L278" s="173"/>
      <c r="M278" s="173" t="s">
        <v>42</v>
      </c>
      <c r="N278" s="173">
        <v>890330584</v>
      </c>
      <c r="O278" s="175">
        <v>3696639</v>
      </c>
      <c r="P278" s="7"/>
      <c r="Q278" s="16">
        <f>+IF(IFERROR(VLOOKUP(Tabla3[[#This Row],[Cliente factura]],Tabla4[[NIT]:[TOTAL CREDITO]],3,FALSE),0)="",0,IFERROR(VLOOKUP(Tabla3[[#This Row],[Cliente factura]],Tabla4[[NIT]:[TOTAL CREDITO]],3,FALSE),0))</f>
        <v>802084041</v>
      </c>
      <c r="R278" s="9">
        <f>+IFERROR(VLOOKUP(Tabla3[[#This Row],[Cliente factura]],Tabla4[[NIT]:[TOTAL CREDITO]],6,FALSE),0)</f>
        <v>0</v>
      </c>
      <c r="S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8" s="10" t="str">
        <f>VLOOKUP(Tabla3[[#This Row],[Razón social cliente factura]]&amp;Tabla3[[#This Row],[Desc. ciudad]],'Estandar de Rutas'!$C$1:$E$553,2,FALSE)</f>
        <v>1.3</v>
      </c>
      <c r="U278" s="130">
        <f>IFERROR(VLOOKUP(Tabla3[[#This Row],[Referencia]]&amp;Tabla3[[#This Row],[Desc detalle ext 1]],Tabla1[[Referencia-Color]:[Disponibilidad]],3,FALSE),0)</f>
        <v>3</v>
      </c>
      <c r="V278" s="13"/>
      <c r="W278" s="17">
        <f>+Tabla3[[#This Row],[Cant. Programada]]*Tabla3[[#This Row],[Precio unit]]</f>
        <v>0</v>
      </c>
      <c r="X278" s="129"/>
      <c r="Y278" s="8"/>
      <c r="Z278" s="8" t="str">
        <f>+Tabla3[[#This Row],[Referencia]]&amp;Tabla3[[#This Row],[Desc detalle ext 1]]</f>
        <v xml:space="preserve">CB 110 DLX                                        NEGRO    </v>
      </c>
      <c r="AA278" s="128" t="e">
        <f>+VLOOKUP(Tabla3[[#This Row],[CODIGO2]],ESTANDAR!$B$3:$C$9,2,FALSE)</f>
        <v>#N/A</v>
      </c>
      <c r="AB278" s="128" t="str">
        <f>+MID(Tabla3[[#This Row],['# Viaje]],10,1)</f>
        <v/>
      </c>
    </row>
    <row r="279" spans="1:28" ht="15" hidden="1" customHeight="1">
      <c r="A279" s="173" t="s">
        <v>1506</v>
      </c>
      <c r="B279" s="174">
        <v>42948</v>
      </c>
      <c r="C279" s="173" t="s">
        <v>1231</v>
      </c>
      <c r="D279" s="173" t="s">
        <v>1478</v>
      </c>
      <c r="E279" s="173" t="s">
        <v>1232</v>
      </c>
      <c r="F279" s="173">
        <v>1</v>
      </c>
      <c r="G279" s="173" t="s">
        <v>43</v>
      </c>
      <c r="H279" s="173">
        <v>1</v>
      </c>
      <c r="I279" s="173" t="s">
        <v>1223</v>
      </c>
      <c r="J279" s="173" t="s">
        <v>1421</v>
      </c>
      <c r="K279" s="173" t="s">
        <v>16</v>
      </c>
      <c r="L279" s="173"/>
      <c r="M279" s="173" t="s">
        <v>42</v>
      </c>
      <c r="N279" s="173">
        <v>890330584</v>
      </c>
      <c r="O279" s="175">
        <v>11496063</v>
      </c>
      <c r="P279" s="7"/>
      <c r="Q279" s="16">
        <f>+IF(IFERROR(VLOOKUP(Tabla3[[#This Row],[Cliente factura]],Tabla4[[NIT]:[TOTAL CREDITO]],3,FALSE),0)="",0,IFERROR(VLOOKUP(Tabla3[[#This Row],[Cliente factura]],Tabla4[[NIT]:[TOTAL CREDITO]],3,FALSE),0))</f>
        <v>802084041</v>
      </c>
      <c r="R279" s="9">
        <f>+IFERROR(VLOOKUP(Tabla3[[#This Row],[Cliente factura]],Tabla4[[NIT]:[TOTAL CREDITO]],6,FALSE),0)</f>
        <v>0</v>
      </c>
      <c r="S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9" s="10" t="str">
        <f>VLOOKUP(Tabla3[[#This Row],[Razón social cliente factura]]&amp;Tabla3[[#This Row],[Desc. ciudad]],'Estandar de Rutas'!$C$1:$E$553,2,FALSE)</f>
        <v>1.3</v>
      </c>
      <c r="U279" s="130">
        <f>IFERROR(VLOOKUP(Tabla3[[#This Row],[Referencia]]&amp;Tabla3[[#This Row],[Desc detalle ext 1]],Tabla1[[Referencia-Color]:[Disponibilidad]],3,FALSE),0)</f>
        <v>0</v>
      </c>
      <c r="V279" s="13"/>
      <c r="W279" s="17">
        <f>+Tabla3[[#This Row],[Cant. Programada]]*Tabla3[[#This Row],[Precio unit]]</f>
        <v>0</v>
      </c>
      <c r="X279" s="8"/>
      <c r="Y279" s="8"/>
      <c r="Z279" s="8" t="str">
        <f>+Tabla3[[#This Row],[Referencia]]&amp;Tabla3[[#This Row],[Desc detalle ext 1]]</f>
        <v xml:space="preserve">*XR-250 TORNADO pt MD34                           NEGRO    </v>
      </c>
      <c r="AA279" s="128" t="e">
        <f>+VLOOKUP(Tabla3[[#This Row],[CODIGO2]],ESTANDAR!$B$3:$C$9,2,FALSE)</f>
        <v>#N/A</v>
      </c>
      <c r="AB279" s="128" t="str">
        <f>+MID(Tabla3[[#This Row],['# Viaje]],10,1)</f>
        <v/>
      </c>
    </row>
    <row r="280" spans="1:28" ht="15" hidden="1" customHeight="1">
      <c r="A280" s="173" t="s">
        <v>1506</v>
      </c>
      <c r="B280" s="174">
        <v>42948</v>
      </c>
      <c r="C280" s="173" t="s">
        <v>1231</v>
      </c>
      <c r="D280" s="173" t="s">
        <v>1478</v>
      </c>
      <c r="E280" s="173" t="s">
        <v>1232</v>
      </c>
      <c r="F280" s="173">
        <v>1</v>
      </c>
      <c r="G280" s="173" t="s">
        <v>43</v>
      </c>
      <c r="H280" s="173">
        <v>1</v>
      </c>
      <c r="I280" s="173" t="s">
        <v>1223</v>
      </c>
      <c r="J280" s="173" t="s">
        <v>27</v>
      </c>
      <c r="K280" s="173" t="s">
        <v>26</v>
      </c>
      <c r="L280" s="173"/>
      <c r="M280" s="173" t="s">
        <v>42</v>
      </c>
      <c r="N280" s="173">
        <v>890330584</v>
      </c>
      <c r="O280" s="175">
        <v>5789916</v>
      </c>
      <c r="P280" s="7"/>
      <c r="Q280" s="16">
        <f>+IF(IFERROR(VLOOKUP(Tabla3[[#This Row],[Cliente factura]],Tabla4[[NIT]:[TOTAL CREDITO]],3,FALSE),0)="",0,IFERROR(VLOOKUP(Tabla3[[#This Row],[Cliente factura]],Tabla4[[NIT]:[TOTAL CREDITO]],3,FALSE),0))</f>
        <v>802084041</v>
      </c>
      <c r="R280" s="9">
        <f>+IFERROR(VLOOKUP(Tabla3[[#This Row],[Cliente factura]],Tabla4[[NIT]:[TOTAL CREDITO]],6,FALSE),0)</f>
        <v>0</v>
      </c>
      <c r="S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0" s="10" t="str">
        <f>VLOOKUP(Tabla3[[#This Row],[Razón social cliente factura]]&amp;Tabla3[[#This Row],[Desc. ciudad]],'Estandar de Rutas'!$C$1:$E$553,2,FALSE)</f>
        <v>1.3</v>
      </c>
      <c r="U280" s="130">
        <f>IFERROR(VLOOKUP(Tabla3[[#This Row],[Referencia]]&amp;Tabla3[[#This Row],[Desc detalle ext 1]],Tabla1[[Referencia-Color]:[Disponibilidad]],3,FALSE),0)</f>
        <v>59</v>
      </c>
      <c r="V280" s="13"/>
      <c r="W280" s="17">
        <f>+Tabla3[[#This Row],[Cant. Programada]]*Tabla3[[#This Row],[Precio unit]]</f>
        <v>0</v>
      </c>
      <c r="X280" s="129"/>
      <c r="Y280" s="129"/>
      <c r="Z280" s="8" t="str">
        <f>+Tabla3[[#This Row],[Referencia]]&amp;Tabla3[[#This Row],[Desc detalle ext 1]]</f>
        <v>*XR 150L                                          NEGRO BLA</v>
      </c>
      <c r="AA280" s="128" t="e">
        <f>+VLOOKUP(Tabla3[[#This Row],[CODIGO2]],ESTANDAR!$B$3:$C$9,2,FALSE)</f>
        <v>#N/A</v>
      </c>
      <c r="AB280" s="128" t="str">
        <f>+MID(Tabla3[[#This Row],['# Viaje]],10,1)</f>
        <v/>
      </c>
    </row>
    <row r="281" spans="1:28" ht="15" hidden="1" customHeight="1">
      <c r="A281" s="173" t="s">
        <v>1506</v>
      </c>
      <c r="B281" s="174">
        <v>42948</v>
      </c>
      <c r="C281" s="173" t="s">
        <v>1231</v>
      </c>
      <c r="D281" s="173" t="s">
        <v>1478</v>
      </c>
      <c r="E281" s="173" t="s">
        <v>1232</v>
      </c>
      <c r="F281" s="173">
        <v>1</v>
      </c>
      <c r="G281" s="173" t="s">
        <v>43</v>
      </c>
      <c r="H281" s="173">
        <v>1</v>
      </c>
      <c r="I281" s="173" t="s">
        <v>1223</v>
      </c>
      <c r="J281" s="173" t="s">
        <v>10</v>
      </c>
      <c r="K281" s="173" t="s">
        <v>13</v>
      </c>
      <c r="L281" s="173"/>
      <c r="M281" s="173" t="s">
        <v>42</v>
      </c>
      <c r="N281" s="173">
        <v>890330584</v>
      </c>
      <c r="O281" s="175">
        <v>7554622</v>
      </c>
      <c r="P281" s="7"/>
      <c r="Q281" s="16">
        <f>+IF(IFERROR(VLOOKUP(Tabla3[[#This Row],[Cliente factura]],Tabla4[[NIT]:[TOTAL CREDITO]],3,FALSE),0)="",0,IFERROR(VLOOKUP(Tabla3[[#This Row],[Cliente factura]],Tabla4[[NIT]:[TOTAL CREDITO]],3,FALSE),0))</f>
        <v>802084041</v>
      </c>
      <c r="R281" s="9">
        <f>+IFERROR(VLOOKUP(Tabla3[[#This Row],[Cliente factura]],Tabla4[[NIT]:[TOTAL CREDITO]],6,FALSE),0)</f>
        <v>0</v>
      </c>
      <c r="S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1" s="10" t="str">
        <f>VLOOKUP(Tabla3[[#This Row],[Razón social cliente factura]]&amp;Tabla3[[#This Row],[Desc. ciudad]],'Estandar de Rutas'!$C$1:$E$553,2,FALSE)</f>
        <v>1.3</v>
      </c>
      <c r="U281" s="130">
        <f>IFERROR(VLOOKUP(Tabla3[[#This Row],[Referencia]]&amp;Tabla3[[#This Row],[Desc detalle ext 1]],Tabla1[[Referencia-Color]:[Disponibilidad]],3,FALSE),0)</f>
        <v>75</v>
      </c>
      <c r="V281" s="13"/>
      <c r="W281" s="17">
        <f>+Tabla3[[#This Row],[Cant. Programada]]*Tabla3[[#This Row],[Precio unit]]</f>
        <v>0</v>
      </c>
      <c r="X281" s="8"/>
      <c r="Y281" s="8"/>
      <c r="Z281" s="8" t="str">
        <f>+Tabla3[[#This Row],[Referencia]]&amp;Tabla3[[#This Row],[Desc detalle ext 1]]</f>
        <v>CB 190R                                           ROJO NEGR</v>
      </c>
      <c r="AA281" s="128" t="e">
        <f>+VLOOKUP(Tabla3[[#This Row],[CODIGO2]],ESTANDAR!$B$3:$C$9,2,FALSE)</f>
        <v>#N/A</v>
      </c>
      <c r="AB281" s="128" t="str">
        <f>+MID(Tabla3[[#This Row],['# Viaje]],10,1)</f>
        <v/>
      </c>
    </row>
    <row r="282" spans="1:28" ht="15" hidden="1" customHeight="1">
      <c r="A282" s="173" t="s">
        <v>1506</v>
      </c>
      <c r="B282" s="174">
        <v>42948</v>
      </c>
      <c r="C282" s="173" t="s">
        <v>1231</v>
      </c>
      <c r="D282" s="173" t="s">
        <v>1478</v>
      </c>
      <c r="E282" s="173" t="s">
        <v>1232</v>
      </c>
      <c r="F282" s="173">
        <v>1</v>
      </c>
      <c r="G282" s="173" t="s">
        <v>43</v>
      </c>
      <c r="H282" s="173">
        <v>1</v>
      </c>
      <c r="I282" s="173" t="s">
        <v>1223</v>
      </c>
      <c r="J282" s="173" t="s">
        <v>10</v>
      </c>
      <c r="K282" s="173" t="s">
        <v>11</v>
      </c>
      <c r="L282" s="173"/>
      <c r="M282" s="173" t="s">
        <v>42</v>
      </c>
      <c r="N282" s="173">
        <v>890330584</v>
      </c>
      <c r="O282" s="175">
        <v>7554622</v>
      </c>
      <c r="P282" s="7"/>
      <c r="Q282" s="16">
        <f>+IF(IFERROR(VLOOKUP(Tabla3[[#This Row],[Cliente factura]],Tabla4[[NIT]:[TOTAL CREDITO]],3,FALSE),0)="",0,IFERROR(VLOOKUP(Tabla3[[#This Row],[Cliente factura]],Tabla4[[NIT]:[TOTAL CREDITO]],3,FALSE),0))</f>
        <v>802084041</v>
      </c>
      <c r="R282" s="9">
        <f>+IFERROR(VLOOKUP(Tabla3[[#This Row],[Cliente factura]],Tabla4[[NIT]:[TOTAL CREDITO]],6,FALSE),0)</f>
        <v>0</v>
      </c>
      <c r="S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2" s="10" t="str">
        <f>VLOOKUP(Tabla3[[#This Row],[Razón social cliente factura]]&amp;Tabla3[[#This Row],[Desc. ciudad]],'Estandar de Rutas'!$C$1:$E$553,2,FALSE)</f>
        <v>1.3</v>
      </c>
      <c r="U282" s="130">
        <f>IFERROR(VLOOKUP(Tabla3[[#This Row],[Referencia]]&amp;Tabla3[[#This Row],[Desc detalle ext 1]],Tabla1[[Referencia-Color]:[Disponibilidad]],3,FALSE),0)</f>
        <v>0</v>
      </c>
      <c r="V282" s="13"/>
      <c r="W282" s="17">
        <f>+Tabla3[[#This Row],[Cant. Programada]]*Tabla3[[#This Row],[Precio unit]]</f>
        <v>0</v>
      </c>
      <c r="X282" s="8"/>
      <c r="Y282" s="8"/>
      <c r="Z282" s="8" t="str">
        <f>+Tabla3[[#This Row],[Referencia]]&amp;Tabla3[[#This Row],[Desc detalle ext 1]]</f>
        <v>CB 190R                                           NEGRO ONI</v>
      </c>
      <c r="AA282" s="128" t="e">
        <f>+VLOOKUP(Tabla3[[#This Row],[CODIGO2]],ESTANDAR!$B$3:$C$9,2,FALSE)</f>
        <v>#N/A</v>
      </c>
      <c r="AB282" s="128" t="str">
        <f>+MID(Tabla3[[#This Row],['# Viaje]],10,1)</f>
        <v/>
      </c>
    </row>
    <row r="283" spans="1:28" ht="15" hidden="1" customHeight="1">
      <c r="A283" s="173" t="s">
        <v>1506</v>
      </c>
      <c r="B283" s="174">
        <v>42948</v>
      </c>
      <c r="C283" s="173" t="s">
        <v>1231</v>
      </c>
      <c r="D283" s="173" t="s">
        <v>1478</v>
      </c>
      <c r="E283" s="173" t="s">
        <v>1232</v>
      </c>
      <c r="F283" s="173">
        <v>1</v>
      </c>
      <c r="G283" s="173" t="s">
        <v>43</v>
      </c>
      <c r="H283" s="173">
        <v>1</v>
      </c>
      <c r="I283" s="173" t="s">
        <v>1223</v>
      </c>
      <c r="J283" s="173" t="s">
        <v>354</v>
      </c>
      <c r="K283" s="173" t="s">
        <v>17</v>
      </c>
      <c r="L283" s="173"/>
      <c r="M283" s="173" t="s">
        <v>42</v>
      </c>
      <c r="N283" s="173">
        <v>890330584</v>
      </c>
      <c r="O283" s="175">
        <v>6133613</v>
      </c>
      <c r="P283" s="7"/>
      <c r="Q283" s="16">
        <f>+IF(IFERROR(VLOOKUP(Tabla3[[#This Row],[Cliente factura]],Tabla4[[NIT]:[TOTAL CREDITO]],3,FALSE),0)="",0,IFERROR(VLOOKUP(Tabla3[[#This Row],[Cliente factura]],Tabla4[[NIT]:[TOTAL CREDITO]],3,FALSE),0))</f>
        <v>802084041</v>
      </c>
      <c r="R283" s="9">
        <f>+IFERROR(VLOOKUP(Tabla3[[#This Row],[Cliente factura]],Tabla4[[NIT]:[TOTAL CREDITO]],6,FALSE),0)</f>
        <v>0</v>
      </c>
      <c r="S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3" s="10" t="str">
        <f>VLOOKUP(Tabla3[[#This Row],[Razón social cliente factura]]&amp;Tabla3[[#This Row],[Desc. ciudad]],'Estandar de Rutas'!$C$1:$E$553,2,FALSE)</f>
        <v>1.3</v>
      </c>
      <c r="U283" s="130">
        <f>IFERROR(VLOOKUP(Tabla3[[#This Row],[Referencia]]&amp;Tabla3[[#This Row],[Desc detalle ext 1]],Tabla1[[Referencia-Color]:[Disponibilidad]],3,FALSE),0)</f>
        <v>48</v>
      </c>
      <c r="V283" s="13"/>
      <c r="W283" s="17">
        <f>+Tabla3[[#This Row],[Cant. Programada]]*Tabla3[[#This Row],[Precio unit]]</f>
        <v>0</v>
      </c>
      <c r="X283" s="129"/>
      <c r="Y283" s="129"/>
      <c r="Z283" s="8" t="str">
        <f>+Tabla3[[#This Row],[Referencia]]&amp;Tabla3[[#This Row],[Desc detalle ext 1]]</f>
        <v>CB 160F DLX                                       ROJO SPOR</v>
      </c>
      <c r="AA283" s="128" t="e">
        <f>+VLOOKUP(Tabla3[[#This Row],[CODIGO2]],ESTANDAR!$B$3:$C$9,2,FALSE)</f>
        <v>#N/A</v>
      </c>
      <c r="AB283" s="128" t="str">
        <f>+MID(Tabla3[[#This Row],['# Viaje]],10,1)</f>
        <v/>
      </c>
    </row>
    <row r="284" spans="1:28" ht="15" hidden="1" customHeight="1">
      <c r="A284" s="173" t="s">
        <v>1506</v>
      </c>
      <c r="B284" s="174">
        <v>42948</v>
      </c>
      <c r="C284" s="173" t="s">
        <v>1231</v>
      </c>
      <c r="D284" s="173" t="s">
        <v>1478</v>
      </c>
      <c r="E284" s="173" t="s">
        <v>1232</v>
      </c>
      <c r="F284" s="173">
        <v>3</v>
      </c>
      <c r="G284" s="173" t="s">
        <v>43</v>
      </c>
      <c r="H284" s="173">
        <v>3</v>
      </c>
      <c r="I284" s="173" t="s">
        <v>1223</v>
      </c>
      <c r="J284" s="173" t="s">
        <v>354</v>
      </c>
      <c r="K284" s="173" t="s">
        <v>355</v>
      </c>
      <c r="L284" s="173"/>
      <c r="M284" s="173" t="s">
        <v>42</v>
      </c>
      <c r="N284" s="173">
        <v>890330584</v>
      </c>
      <c r="O284" s="175">
        <v>6133613</v>
      </c>
      <c r="P284" s="7"/>
      <c r="Q284" s="16">
        <f>+IF(IFERROR(VLOOKUP(Tabla3[[#This Row],[Cliente factura]],Tabla4[[NIT]:[TOTAL CREDITO]],3,FALSE),0)="",0,IFERROR(VLOOKUP(Tabla3[[#This Row],[Cliente factura]],Tabla4[[NIT]:[TOTAL CREDITO]],3,FALSE),0))</f>
        <v>802084041</v>
      </c>
      <c r="R284" s="9">
        <f>+IFERROR(VLOOKUP(Tabla3[[#This Row],[Cliente factura]],Tabla4[[NIT]:[TOTAL CREDITO]],6,FALSE),0)</f>
        <v>0</v>
      </c>
      <c r="S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4" s="10" t="str">
        <f>VLOOKUP(Tabla3[[#This Row],[Razón social cliente factura]]&amp;Tabla3[[#This Row],[Desc. ciudad]],'Estandar de Rutas'!$C$1:$E$553,2,FALSE)</f>
        <v>1.3</v>
      </c>
      <c r="U284" s="130">
        <f>IFERROR(VLOOKUP(Tabla3[[#This Row],[Referencia]]&amp;Tabla3[[#This Row],[Desc detalle ext 1]],Tabla1[[Referencia-Color]:[Disponibilidad]],3,FALSE),0)</f>
        <v>0</v>
      </c>
      <c r="V284" s="13"/>
      <c r="W284" s="17">
        <f>+Tabla3[[#This Row],[Cant. Programada]]*Tabla3[[#This Row],[Precio unit]]</f>
        <v>0</v>
      </c>
      <c r="X284" s="8"/>
      <c r="Y284" s="8"/>
      <c r="Z284" s="8" t="str">
        <f>+Tabla3[[#This Row],[Referencia]]&amp;Tabla3[[#This Row],[Desc detalle ext 1]]</f>
        <v>CB 160F DLX                                       NEGRO PER</v>
      </c>
      <c r="AA284" s="128" t="e">
        <f>+VLOOKUP(Tabla3[[#This Row],[CODIGO2]],ESTANDAR!$B$3:$C$9,2,FALSE)</f>
        <v>#N/A</v>
      </c>
      <c r="AB284" s="128" t="str">
        <f>+MID(Tabla3[[#This Row],['# Viaje]],10,1)</f>
        <v/>
      </c>
    </row>
    <row r="285" spans="1:28" ht="15" hidden="1" customHeight="1">
      <c r="A285" s="173" t="s">
        <v>1506</v>
      </c>
      <c r="B285" s="174">
        <v>42948</v>
      </c>
      <c r="C285" s="173" t="s">
        <v>1231</v>
      </c>
      <c r="D285" s="173" t="s">
        <v>1478</v>
      </c>
      <c r="E285" s="173" t="s">
        <v>1232</v>
      </c>
      <c r="F285" s="173">
        <v>1</v>
      </c>
      <c r="G285" s="173" t="s">
        <v>43</v>
      </c>
      <c r="H285" s="173">
        <v>1</v>
      </c>
      <c r="I285" s="173" t="s">
        <v>1223</v>
      </c>
      <c r="J285" s="173" t="s">
        <v>1433</v>
      </c>
      <c r="K285" s="173" t="s">
        <v>1452</v>
      </c>
      <c r="L285" s="173"/>
      <c r="M285" s="173" t="s">
        <v>42</v>
      </c>
      <c r="N285" s="173">
        <v>890330584</v>
      </c>
      <c r="O285" s="175">
        <v>3521008</v>
      </c>
      <c r="P285" s="7"/>
      <c r="Q285" s="16">
        <f>+IF(IFERROR(VLOOKUP(Tabla3[[#This Row],[Cliente factura]],Tabla4[[NIT]:[TOTAL CREDITO]],3,FALSE),0)="",0,IFERROR(VLOOKUP(Tabla3[[#This Row],[Cliente factura]],Tabla4[[NIT]:[TOTAL CREDITO]],3,FALSE),0))</f>
        <v>802084041</v>
      </c>
      <c r="R285" s="9">
        <f>+IFERROR(VLOOKUP(Tabla3[[#This Row],[Cliente factura]],Tabla4[[NIT]:[TOTAL CREDITO]],6,FALSE),0)</f>
        <v>0</v>
      </c>
      <c r="S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5" s="10" t="str">
        <f>VLOOKUP(Tabla3[[#This Row],[Razón social cliente factura]]&amp;Tabla3[[#This Row],[Desc. ciudad]],'Estandar de Rutas'!$C$1:$E$553,2,FALSE)</f>
        <v>1.3</v>
      </c>
      <c r="U285" s="130">
        <f>IFERROR(VLOOKUP(Tabla3[[#This Row],[Referencia]]&amp;Tabla3[[#This Row],[Desc detalle ext 1]],Tabla1[[Referencia-Color]:[Disponibilidad]],3,FALSE),0)</f>
        <v>0</v>
      </c>
      <c r="V285" s="13"/>
      <c r="W285" s="17">
        <f>+Tabla3[[#This Row],[Cant. Programada]]*Tabla3[[#This Row],[Precio unit]]</f>
        <v>0</v>
      </c>
      <c r="X285" s="129"/>
      <c r="Y285" s="129"/>
      <c r="Z285" s="8" t="str">
        <f>+Tabla3[[#This Row],[Referencia]]&amp;Tabla3[[#This Row],[Desc detalle ext 1]]</f>
        <v xml:space="preserve">DIO  110                                          AZUL     </v>
      </c>
      <c r="AA285" s="128" t="e">
        <f>+VLOOKUP(Tabla3[[#This Row],[CODIGO2]],ESTANDAR!$B$3:$C$9,2,FALSE)</f>
        <v>#N/A</v>
      </c>
      <c r="AB285" s="128" t="str">
        <f>+MID(Tabla3[[#This Row],['# Viaje]],10,1)</f>
        <v/>
      </c>
    </row>
    <row r="286" spans="1:28" ht="15" hidden="1" customHeight="1">
      <c r="A286" s="173" t="s">
        <v>1506</v>
      </c>
      <c r="B286" s="174">
        <v>42948</v>
      </c>
      <c r="C286" s="173" t="s">
        <v>1231</v>
      </c>
      <c r="D286" s="173" t="s">
        <v>1478</v>
      </c>
      <c r="E286" s="173" t="s">
        <v>1232</v>
      </c>
      <c r="F286" s="173">
        <v>2</v>
      </c>
      <c r="G286" s="173" t="s">
        <v>43</v>
      </c>
      <c r="H286" s="173">
        <v>2</v>
      </c>
      <c r="I286" s="173" t="s">
        <v>1223</v>
      </c>
      <c r="J286" s="173" t="s">
        <v>1451</v>
      </c>
      <c r="K286" s="173" t="s">
        <v>1449</v>
      </c>
      <c r="L286" s="173"/>
      <c r="M286" s="173" t="s">
        <v>42</v>
      </c>
      <c r="N286" s="173">
        <v>890330584</v>
      </c>
      <c r="O286" s="175">
        <v>3696639</v>
      </c>
      <c r="P286" s="7"/>
      <c r="Q286" s="16">
        <f>+IF(IFERROR(VLOOKUP(Tabla3[[#This Row],[Cliente factura]],Tabla4[[NIT]:[TOTAL CREDITO]],3,FALSE),0)="",0,IFERROR(VLOOKUP(Tabla3[[#This Row],[Cliente factura]],Tabla4[[NIT]:[TOTAL CREDITO]],3,FALSE),0))</f>
        <v>802084041</v>
      </c>
      <c r="R286" s="9">
        <f>+IFERROR(VLOOKUP(Tabla3[[#This Row],[Cliente factura]],Tabla4[[NIT]:[TOTAL CREDITO]],6,FALSE),0)</f>
        <v>0</v>
      </c>
      <c r="S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6" s="10" t="str">
        <f>VLOOKUP(Tabla3[[#This Row],[Razón social cliente factura]]&amp;Tabla3[[#This Row],[Desc. ciudad]],'Estandar de Rutas'!$C$1:$E$553,2,FALSE)</f>
        <v>1.3</v>
      </c>
      <c r="U286" s="130">
        <f>IFERROR(VLOOKUP(Tabla3[[#This Row],[Referencia]]&amp;Tabla3[[#This Row],[Desc detalle ext 1]],Tabla1[[Referencia-Color]:[Disponibilidad]],3,FALSE),0)</f>
        <v>24</v>
      </c>
      <c r="V286" s="13"/>
      <c r="W286" s="17">
        <f>+Tabla3[[#This Row],[Cant. Programada]]*Tabla3[[#This Row],[Precio unit]]</f>
        <v>0</v>
      </c>
      <c r="X286" s="129"/>
      <c r="Y286" s="129"/>
      <c r="Z286" s="8" t="str">
        <f>+Tabla3[[#This Row],[Referencia]]&amp;Tabla3[[#This Row],[Desc detalle ext 1]]</f>
        <v xml:space="preserve">CB 110 DLX                                        GRIS     </v>
      </c>
      <c r="AA286" s="128" t="e">
        <f>+VLOOKUP(Tabla3[[#This Row],[CODIGO2]],ESTANDAR!$B$3:$C$9,2,FALSE)</f>
        <v>#N/A</v>
      </c>
      <c r="AB286" s="128" t="str">
        <f>+MID(Tabla3[[#This Row],['# Viaje]],10,1)</f>
        <v/>
      </c>
    </row>
    <row r="287" spans="1:28" ht="15" hidden="1" customHeight="1">
      <c r="A287" s="173" t="s">
        <v>1506</v>
      </c>
      <c r="B287" s="174">
        <v>42948</v>
      </c>
      <c r="C287" s="173" t="s">
        <v>1231</v>
      </c>
      <c r="D287" s="173" t="s">
        <v>1478</v>
      </c>
      <c r="E287" s="173" t="s">
        <v>1232</v>
      </c>
      <c r="F287" s="173">
        <v>1</v>
      </c>
      <c r="G287" s="173" t="s">
        <v>43</v>
      </c>
      <c r="H287" s="173">
        <v>1</v>
      </c>
      <c r="I287" s="173" t="s">
        <v>1223</v>
      </c>
      <c r="J287" s="173" t="s">
        <v>1451</v>
      </c>
      <c r="K287" s="173" t="s">
        <v>16</v>
      </c>
      <c r="L287" s="173"/>
      <c r="M287" s="173" t="s">
        <v>42</v>
      </c>
      <c r="N287" s="173">
        <v>890330584</v>
      </c>
      <c r="O287" s="175">
        <v>3696639</v>
      </c>
      <c r="P287" s="7"/>
      <c r="Q287" s="16">
        <f>+IF(IFERROR(VLOOKUP(Tabla3[[#This Row],[Cliente factura]],Tabla4[[NIT]:[TOTAL CREDITO]],3,FALSE),0)="",0,IFERROR(VLOOKUP(Tabla3[[#This Row],[Cliente factura]],Tabla4[[NIT]:[TOTAL CREDITO]],3,FALSE),0))</f>
        <v>802084041</v>
      </c>
      <c r="R287" s="9">
        <f>+IFERROR(VLOOKUP(Tabla3[[#This Row],[Cliente factura]],Tabla4[[NIT]:[TOTAL CREDITO]],6,FALSE),0)</f>
        <v>0</v>
      </c>
      <c r="S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7" s="10" t="str">
        <f>VLOOKUP(Tabla3[[#This Row],[Razón social cliente factura]]&amp;Tabla3[[#This Row],[Desc. ciudad]],'Estandar de Rutas'!$C$1:$E$553,2,FALSE)</f>
        <v>1.3</v>
      </c>
      <c r="U287" s="130">
        <f>IFERROR(VLOOKUP(Tabla3[[#This Row],[Referencia]]&amp;Tabla3[[#This Row],[Desc detalle ext 1]],Tabla1[[Referencia-Color]:[Disponibilidad]],3,FALSE),0)</f>
        <v>3</v>
      </c>
      <c r="V287" s="13"/>
      <c r="W287" s="17">
        <f>+Tabla3[[#This Row],[Cant. Programada]]*Tabla3[[#This Row],[Precio unit]]</f>
        <v>0</v>
      </c>
      <c r="X287" s="129"/>
      <c r="Y287" s="129"/>
      <c r="Z287" s="8" t="str">
        <f>+Tabla3[[#This Row],[Referencia]]&amp;Tabla3[[#This Row],[Desc detalle ext 1]]</f>
        <v xml:space="preserve">CB 110 DLX                                        NEGRO    </v>
      </c>
      <c r="AA287" s="128" t="e">
        <f>+VLOOKUP(Tabla3[[#This Row],[CODIGO2]],ESTANDAR!$B$3:$C$9,2,FALSE)</f>
        <v>#N/A</v>
      </c>
      <c r="AB287" s="128" t="str">
        <f>+MID(Tabla3[[#This Row],['# Viaje]],10,1)</f>
        <v/>
      </c>
    </row>
    <row r="288" spans="1:28" ht="15" hidden="1" customHeight="1">
      <c r="A288" s="173" t="s">
        <v>1507</v>
      </c>
      <c r="B288" s="174">
        <v>42948</v>
      </c>
      <c r="C288" s="173" t="s">
        <v>1231</v>
      </c>
      <c r="D288" s="173" t="s">
        <v>1237</v>
      </c>
      <c r="E288" s="173" t="s">
        <v>1232</v>
      </c>
      <c r="F288" s="173">
        <v>2</v>
      </c>
      <c r="G288" s="173" t="s">
        <v>81</v>
      </c>
      <c r="H288" s="173">
        <v>2</v>
      </c>
      <c r="I288" s="173" t="s">
        <v>1508</v>
      </c>
      <c r="J288" s="173" t="s">
        <v>14</v>
      </c>
      <c r="K288" s="173" t="s">
        <v>15</v>
      </c>
      <c r="L288" s="173"/>
      <c r="M288" s="173" t="s">
        <v>82</v>
      </c>
      <c r="N288" s="173">
        <v>890705577</v>
      </c>
      <c r="O288" s="175">
        <v>3360504</v>
      </c>
      <c r="P288" s="7"/>
      <c r="Q288" s="16">
        <f>+IF(IFERROR(VLOOKUP(Tabla3[[#This Row],[Cliente factura]],Tabla4[[NIT]:[TOTAL CREDITO]],3,FALSE),0)="",0,IFERROR(VLOOKUP(Tabla3[[#This Row],[Cliente factura]],Tabla4[[NIT]:[TOTAL CREDITO]],3,FALSE),0))</f>
        <v>281000000</v>
      </c>
      <c r="R288" s="9">
        <f>+IFERROR(VLOOKUP(Tabla3[[#This Row],[Cliente factura]],Tabla4[[NIT]:[TOTAL CREDITO]],6,FALSE),0)</f>
        <v>0</v>
      </c>
      <c r="S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8" s="10" t="str">
        <f>VLOOKUP(Tabla3[[#This Row],[Razón social cliente factura]]&amp;Tabla3[[#This Row],[Desc. ciudad]],'Estandar de Rutas'!$C$1:$E$553,2,FALSE)</f>
        <v>5.2</v>
      </c>
      <c r="U288" s="130">
        <f>IFERROR(VLOOKUP(Tabla3[[#This Row],[Referencia]]&amp;Tabla3[[#This Row],[Desc detalle ext 1]],Tabla1[[Referencia-Color]:[Disponibilidad]],3,FALSE),0)</f>
        <v>99</v>
      </c>
      <c r="V288" s="13"/>
      <c r="W288" s="17">
        <f>+Tabla3[[#This Row],[Cant. Programada]]*Tabla3[[#This Row],[Precio unit]]</f>
        <v>0</v>
      </c>
      <c r="X288" s="129"/>
      <c r="Y288" s="129"/>
      <c r="Z288" s="8" t="str">
        <f>+Tabla3[[#This Row],[Referencia]]&amp;Tabla3[[#This Row],[Desc detalle ext 1]]</f>
        <v>*CB-110                                           AZUL FIJI</v>
      </c>
      <c r="AA288" s="128" t="e">
        <f>+VLOOKUP(Tabla3[[#This Row],[CODIGO2]],ESTANDAR!$B$3:$C$9,2,FALSE)</f>
        <v>#N/A</v>
      </c>
      <c r="AB288" s="128" t="str">
        <f>+MID(Tabla3[[#This Row],['# Viaje]],10,1)</f>
        <v/>
      </c>
    </row>
    <row r="289" spans="1:28" ht="15" hidden="1" customHeight="1">
      <c r="A289" s="173" t="s">
        <v>1507</v>
      </c>
      <c r="B289" s="174">
        <v>42948</v>
      </c>
      <c r="C289" s="173" t="s">
        <v>1231</v>
      </c>
      <c r="D289" s="173" t="s">
        <v>1237</v>
      </c>
      <c r="E289" s="173" t="s">
        <v>1232</v>
      </c>
      <c r="F289" s="173">
        <v>2</v>
      </c>
      <c r="G289" s="173" t="s">
        <v>81</v>
      </c>
      <c r="H289" s="173">
        <v>2</v>
      </c>
      <c r="I289" s="173" t="s">
        <v>1508</v>
      </c>
      <c r="J289" s="173" t="s">
        <v>14</v>
      </c>
      <c r="K289" s="173" t="s">
        <v>17</v>
      </c>
      <c r="L289" s="173"/>
      <c r="M289" s="173" t="s">
        <v>82</v>
      </c>
      <c r="N289" s="173">
        <v>890705577</v>
      </c>
      <c r="O289" s="175">
        <v>3360504</v>
      </c>
      <c r="P289" s="7"/>
      <c r="Q289" s="16">
        <f>+IF(IFERROR(VLOOKUP(Tabla3[[#This Row],[Cliente factura]],Tabla4[[NIT]:[TOTAL CREDITO]],3,FALSE),0)="",0,IFERROR(VLOOKUP(Tabla3[[#This Row],[Cliente factura]],Tabla4[[NIT]:[TOTAL CREDITO]],3,FALSE),0))</f>
        <v>281000000</v>
      </c>
      <c r="R289" s="9">
        <f>+IFERROR(VLOOKUP(Tabla3[[#This Row],[Cliente factura]],Tabla4[[NIT]:[TOTAL CREDITO]],6,FALSE),0)</f>
        <v>0</v>
      </c>
      <c r="S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9" s="10" t="str">
        <f>VLOOKUP(Tabla3[[#This Row],[Razón social cliente factura]]&amp;Tabla3[[#This Row],[Desc. ciudad]],'Estandar de Rutas'!$C$1:$E$553,2,FALSE)</f>
        <v>5.2</v>
      </c>
      <c r="U289" s="130">
        <f>IFERROR(VLOOKUP(Tabla3[[#This Row],[Referencia]]&amp;Tabla3[[#This Row],[Desc detalle ext 1]],Tabla1[[Referencia-Color]:[Disponibilidad]],3,FALSE),0)</f>
        <v>38</v>
      </c>
      <c r="V289" s="13"/>
      <c r="W289" s="17">
        <f>+Tabla3[[#This Row],[Cant. Programada]]*Tabla3[[#This Row],[Precio unit]]</f>
        <v>0</v>
      </c>
      <c r="X289" s="129"/>
      <c r="Y289" s="129"/>
      <c r="Z289" s="8" t="str">
        <f>+Tabla3[[#This Row],[Referencia]]&amp;Tabla3[[#This Row],[Desc detalle ext 1]]</f>
        <v>*CB-110                                           ROJO SPOR</v>
      </c>
      <c r="AA289" s="128" t="e">
        <f>+VLOOKUP(Tabla3[[#This Row],[CODIGO2]],ESTANDAR!$B$3:$C$9,2,FALSE)</f>
        <v>#N/A</v>
      </c>
      <c r="AB289" s="128" t="str">
        <f>+MID(Tabla3[[#This Row],['# Viaje]],10,1)</f>
        <v/>
      </c>
    </row>
    <row r="290" spans="1:28" ht="15" hidden="1" customHeight="1">
      <c r="A290" s="173" t="s">
        <v>1507</v>
      </c>
      <c r="B290" s="174">
        <v>42948</v>
      </c>
      <c r="C290" s="173" t="s">
        <v>1231</v>
      </c>
      <c r="D290" s="173" t="s">
        <v>1237</v>
      </c>
      <c r="E290" s="173" t="s">
        <v>1232</v>
      </c>
      <c r="F290" s="173">
        <v>2</v>
      </c>
      <c r="G290" s="173" t="s">
        <v>81</v>
      </c>
      <c r="H290" s="173">
        <v>2</v>
      </c>
      <c r="I290" s="173" t="s">
        <v>1508</v>
      </c>
      <c r="J290" s="173" t="s">
        <v>14</v>
      </c>
      <c r="K290" s="173" t="s">
        <v>16</v>
      </c>
      <c r="L290" s="173"/>
      <c r="M290" s="173" t="s">
        <v>82</v>
      </c>
      <c r="N290" s="173">
        <v>890705577</v>
      </c>
      <c r="O290" s="175">
        <v>3360504</v>
      </c>
      <c r="P290" s="7"/>
      <c r="Q290" s="16">
        <f>+IF(IFERROR(VLOOKUP(Tabla3[[#This Row],[Cliente factura]],Tabla4[[NIT]:[TOTAL CREDITO]],3,FALSE),0)="",0,IFERROR(VLOOKUP(Tabla3[[#This Row],[Cliente factura]],Tabla4[[NIT]:[TOTAL CREDITO]],3,FALSE),0))</f>
        <v>281000000</v>
      </c>
      <c r="R290" s="9">
        <f>+IFERROR(VLOOKUP(Tabla3[[#This Row],[Cliente factura]],Tabla4[[NIT]:[TOTAL CREDITO]],6,FALSE),0)</f>
        <v>0</v>
      </c>
      <c r="S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0" s="10" t="str">
        <f>VLOOKUP(Tabla3[[#This Row],[Razón social cliente factura]]&amp;Tabla3[[#This Row],[Desc. ciudad]],'Estandar de Rutas'!$C$1:$E$553,2,FALSE)</f>
        <v>5.2</v>
      </c>
      <c r="U290" s="130">
        <f>IFERROR(VLOOKUP(Tabla3[[#This Row],[Referencia]]&amp;Tabla3[[#This Row],[Desc detalle ext 1]],Tabla1[[Referencia-Color]:[Disponibilidad]],3,FALSE),0)</f>
        <v>83</v>
      </c>
      <c r="V290" s="13"/>
      <c r="W290" s="17">
        <f>+Tabla3[[#This Row],[Cant. Programada]]*Tabla3[[#This Row],[Precio unit]]</f>
        <v>0</v>
      </c>
      <c r="X290" s="8"/>
      <c r="Y290" s="8"/>
      <c r="Z290" s="8" t="str">
        <f>+Tabla3[[#This Row],[Referencia]]&amp;Tabla3[[#This Row],[Desc detalle ext 1]]</f>
        <v xml:space="preserve">*CB-110                                           NEGRO    </v>
      </c>
      <c r="AA290" s="128" t="e">
        <f>+VLOOKUP(Tabla3[[#This Row],[CODIGO2]],ESTANDAR!$B$3:$C$9,2,FALSE)</f>
        <v>#N/A</v>
      </c>
      <c r="AB290" s="128" t="str">
        <f>+MID(Tabla3[[#This Row],['# Viaje]],10,1)</f>
        <v/>
      </c>
    </row>
    <row r="291" spans="1:28" ht="15" hidden="1" customHeight="1">
      <c r="A291" s="173" t="s">
        <v>1507</v>
      </c>
      <c r="B291" s="174">
        <v>42948</v>
      </c>
      <c r="C291" s="173" t="s">
        <v>1231</v>
      </c>
      <c r="D291" s="173" t="s">
        <v>1237</v>
      </c>
      <c r="E291" s="173" t="s">
        <v>1232</v>
      </c>
      <c r="F291" s="173">
        <v>1</v>
      </c>
      <c r="G291" s="173" t="s">
        <v>81</v>
      </c>
      <c r="H291" s="173">
        <v>1</v>
      </c>
      <c r="I291" s="173" t="s">
        <v>1508</v>
      </c>
      <c r="J291" s="173" t="s">
        <v>27</v>
      </c>
      <c r="K291" s="173" t="s">
        <v>26</v>
      </c>
      <c r="L291" s="173"/>
      <c r="M291" s="173" t="s">
        <v>82</v>
      </c>
      <c r="N291" s="173">
        <v>890705577</v>
      </c>
      <c r="O291" s="175">
        <v>5789916</v>
      </c>
      <c r="P291" s="7"/>
      <c r="Q291" s="16">
        <f>+IF(IFERROR(VLOOKUP(Tabla3[[#This Row],[Cliente factura]],Tabla4[[NIT]:[TOTAL CREDITO]],3,FALSE),0)="",0,IFERROR(VLOOKUP(Tabla3[[#This Row],[Cliente factura]],Tabla4[[NIT]:[TOTAL CREDITO]],3,FALSE),0))</f>
        <v>281000000</v>
      </c>
      <c r="R291" s="9">
        <f>+IFERROR(VLOOKUP(Tabla3[[#This Row],[Cliente factura]],Tabla4[[NIT]:[TOTAL CREDITO]],6,FALSE),0)</f>
        <v>0</v>
      </c>
      <c r="S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1" s="10" t="str">
        <f>VLOOKUP(Tabla3[[#This Row],[Razón social cliente factura]]&amp;Tabla3[[#This Row],[Desc. ciudad]],'Estandar de Rutas'!$C$1:$E$553,2,FALSE)</f>
        <v>5.2</v>
      </c>
      <c r="U291" s="130">
        <f>IFERROR(VLOOKUP(Tabla3[[#This Row],[Referencia]]&amp;Tabla3[[#This Row],[Desc detalle ext 1]],Tabla1[[Referencia-Color]:[Disponibilidad]],3,FALSE),0)</f>
        <v>59</v>
      </c>
      <c r="V291" s="13"/>
      <c r="W291" s="17">
        <f>+Tabla3[[#This Row],[Cant. Programada]]*Tabla3[[#This Row],[Precio unit]]</f>
        <v>0</v>
      </c>
      <c r="X291" s="8"/>
      <c r="Y291" s="8"/>
      <c r="Z291" s="8" t="str">
        <f>+Tabla3[[#This Row],[Referencia]]&amp;Tabla3[[#This Row],[Desc detalle ext 1]]</f>
        <v>*XR 150L                                          NEGRO BLA</v>
      </c>
      <c r="AA291" s="128" t="e">
        <f>+VLOOKUP(Tabla3[[#This Row],[CODIGO2]],ESTANDAR!$B$3:$C$9,2,FALSE)</f>
        <v>#N/A</v>
      </c>
      <c r="AB291" s="128" t="str">
        <f>+MID(Tabla3[[#This Row],['# Viaje]],10,1)</f>
        <v/>
      </c>
    </row>
    <row r="292" spans="1:28" ht="15" hidden="1" customHeight="1">
      <c r="A292" s="173" t="s">
        <v>1507</v>
      </c>
      <c r="B292" s="174">
        <v>42948</v>
      </c>
      <c r="C292" s="173" t="s">
        <v>1231</v>
      </c>
      <c r="D292" s="173" t="s">
        <v>1237</v>
      </c>
      <c r="E292" s="173" t="s">
        <v>1232</v>
      </c>
      <c r="F292" s="173">
        <v>2</v>
      </c>
      <c r="G292" s="173" t="s">
        <v>81</v>
      </c>
      <c r="H292" s="173">
        <v>2</v>
      </c>
      <c r="I292" s="173" t="s">
        <v>1508</v>
      </c>
      <c r="J292" s="173" t="s">
        <v>1234</v>
      </c>
      <c r="K292" s="173" t="s">
        <v>355</v>
      </c>
      <c r="L292" s="173"/>
      <c r="M292" s="173" t="s">
        <v>82</v>
      </c>
      <c r="N292" s="173">
        <v>890705577</v>
      </c>
      <c r="O292" s="175">
        <v>5453782</v>
      </c>
      <c r="P292" s="7"/>
      <c r="Q292" s="16">
        <f>+IF(IFERROR(VLOOKUP(Tabla3[[#This Row],[Cliente factura]],Tabla4[[NIT]:[TOTAL CREDITO]],3,FALSE),0)="",0,IFERROR(VLOOKUP(Tabla3[[#This Row],[Cliente factura]],Tabla4[[NIT]:[TOTAL CREDITO]],3,FALSE),0))</f>
        <v>281000000</v>
      </c>
      <c r="R292" s="9">
        <f>+IFERROR(VLOOKUP(Tabla3[[#This Row],[Cliente factura]],Tabla4[[NIT]:[TOTAL CREDITO]],6,FALSE),0)</f>
        <v>0</v>
      </c>
      <c r="S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2" s="10" t="str">
        <f>VLOOKUP(Tabla3[[#This Row],[Razón social cliente factura]]&amp;Tabla3[[#This Row],[Desc. ciudad]],'Estandar de Rutas'!$C$1:$E$553,2,FALSE)</f>
        <v>5.2</v>
      </c>
      <c r="U292" s="130">
        <f>IFERROR(VLOOKUP(Tabla3[[#This Row],[Referencia]]&amp;Tabla3[[#This Row],[Desc detalle ext 1]],Tabla1[[Referencia-Color]:[Disponibilidad]],3,FALSE),0)</f>
        <v>0</v>
      </c>
      <c r="V292" s="13"/>
      <c r="W292" s="17">
        <f>+Tabla3[[#This Row],[Cant. Programada]]*Tabla3[[#This Row],[Precio unit]]</f>
        <v>0</v>
      </c>
      <c r="X292" s="8"/>
      <c r="Y292" s="8"/>
      <c r="Z292" s="8" t="str">
        <f>+Tabla3[[#This Row],[Referencia]]&amp;Tabla3[[#This Row],[Desc detalle ext 1]]</f>
        <v>CB 160F STD                                       NEGRO PER</v>
      </c>
      <c r="AA292" s="128" t="e">
        <f>+VLOOKUP(Tabla3[[#This Row],[CODIGO2]],ESTANDAR!$B$3:$C$9,2,FALSE)</f>
        <v>#N/A</v>
      </c>
      <c r="AB292" s="128" t="str">
        <f>+MID(Tabla3[[#This Row],['# Viaje]],10,1)</f>
        <v/>
      </c>
    </row>
    <row r="293" spans="1:28" ht="15" hidden="1" customHeight="1">
      <c r="A293" s="173" t="s">
        <v>1507</v>
      </c>
      <c r="B293" s="174">
        <v>42948</v>
      </c>
      <c r="C293" s="173" t="s">
        <v>1231</v>
      </c>
      <c r="D293" s="173" t="s">
        <v>1237</v>
      </c>
      <c r="E293" s="173" t="s">
        <v>1232</v>
      </c>
      <c r="F293" s="173">
        <v>1</v>
      </c>
      <c r="G293" s="173" t="s">
        <v>81</v>
      </c>
      <c r="H293" s="173">
        <v>1</v>
      </c>
      <c r="I293" s="173" t="s">
        <v>1508</v>
      </c>
      <c r="J293" s="173" t="s">
        <v>1234</v>
      </c>
      <c r="K293" s="173" t="s">
        <v>17</v>
      </c>
      <c r="L293" s="173"/>
      <c r="M293" s="173" t="s">
        <v>82</v>
      </c>
      <c r="N293" s="173">
        <v>890705577</v>
      </c>
      <c r="O293" s="175">
        <v>5453782</v>
      </c>
      <c r="P293" s="7"/>
      <c r="Q293" s="16">
        <f>+IF(IFERROR(VLOOKUP(Tabla3[[#This Row],[Cliente factura]],Tabla4[[NIT]:[TOTAL CREDITO]],3,FALSE),0)="",0,IFERROR(VLOOKUP(Tabla3[[#This Row],[Cliente factura]],Tabla4[[NIT]:[TOTAL CREDITO]],3,FALSE),0))</f>
        <v>281000000</v>
      </c>
      <c r="R293" s="9">
        <f>+IFERROR(VLOOKUP(Tabla3[[#This Row],[Cliente factura]],Tabla4[[NIT]:[TOTAL CREDITO]],6,FALSE),0)</f>
        <v>0</v>
      </c>
      <c r="S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3" s="10" t="str">
        <f>VLOOKUP(Tabla3[[#This Row],[Razón social cliente factura]]&amp;Tabla3[[#This Row],[Desc. ciudad]],'Estandar de Rutas'!$C$1:$E$553,2,FALSE)</f>
        <v>5.2</v>
      </c>
      <c r="U293" s="130">
        <f>IFERROR(VLOOKUP(Tabla3[[#This Row],[Referencia]]&amp;Tabla3[[#This Row],[Desc detalle ext 1]],Tabla1[[Referencia-Color]:[Disponibilidad]],3,FALSE),0)</f>
        <v>0</v>
      </c>
      <c r="V293" s="13"/>
      <c r="W293" s="17">
        <f>+Tabla3[[#This Row],[Cant. Programada]]*Tabla3[[#This Row],[Precio unit]]</f>
        <v>0</v>
      </c>
      <c r="X293" s="8"/>
      <c r="Y293" s="8"/>
      <c r="Z293" s="8" t="str">
        <f>+Tabla3[[#This Row],[Referencia]]&amp;Tabla3[[#This Row],[Desc detalle ext 1]]</f>
        <v>CB 160F STD                                       ROJO SPOR</v>
      </c>
      <c r="AA293" s="128" t="e">
        <f>+VLOOKUP(Tabla3[[#This Row],[CODIGO2]],ESTANDAR!$B$3:$C$9,2,FALSE)</f>
        <v>#N/A</v>
      </c>
      <c r="AB293" s="128" t="str">
        <f>+MID(Tabla3[[#This Row],['# Viaje]],10,1)</f>
        <v/>
      </c>
    </row>
    <row r="294" spans="1:28" ht="15" hidden="1" customHeight="1">
      <c r="A294" s="173" t="s">
        <v>1507</v>
      </c>
      <c r="B294" s="174">
        <v>42948</v>
      </c>
      <c r="C294" s="173" t="s">
        <v>1231</v>
      </c>
      <c r="D294" s="173" t="s">
        <v>1237</v>
      </c>
      <c r="E294" s="173" t="s">
        <v>1232</v>
      </c>
      <c r="F294" s="173">
        <v>3</v>
      </c>
      <c r="G294" s="173" t="s">
        <v>81</v>
      </c>
      <c r="H294" s="173">
        <v>3</v>
      </c>
      <c r="I294" s="173" t="s">
        <v>1508</v>
      </c>
      <c r="J294" s="173" t="s">
        <v>1451</v>
      </c>
      <c r="K294" s="173" t="s">
        <v>1449</v>
      </c>
      <c r="L294" s="173"/>
      <c r="M294" s="173" t="s">
        <v>82</v>
      </c>
      <c r="N294" s="173">
        <v>890705577</v>
      </c>
      <c r="O294" s="175">
        <v>3696639</v>
      </c>
      <c r="P294" s="7"/>
      <c r="Q294" s="16">
        <f>+IF(IFERROR(VLOOKUP(Tabla3[[#This Row],[Cliente factura]],Tabla4[[NIT]:[TOTAL CREDITO]],3,FALSE),0)="",0,IFERROR(VLOOKUP(Tabla3[[#This Row],[Cliente factura]],Tabla4[[NIT]:[TOTAL CREDITO]],3,FALSE),0))</f>
        <v>281000000</v>
      </c>
      <c r="R294" s="9">
        <f>+IFERROR(VLOOKUP(Tabla3[[#This Row],[Cliente factura]],Tabla4[[NIT]:[TOTAL CREDITO]],6,FALSE),0)</f>
        <v>0</v>
      </c>
      <c r="S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4" s="10" t="str">
        <f>VLOOKUP(Tabla3[[#This Row],[Razón social cliente factura]]&amp;Tabla3[[#This Row],[Desc. ciudad]],'Estandar de Rutas'!$C$1:$E$553,2,FALSE)</f>
        <v>5.2</v>
      </c>
      <c r="U294" s="130">
        <f>IFERROR(VLOOKUP(Tabla3[[#This Row],[Referencia]]&amp;Tabla3[[#This Row],[Desc detalle ext 1]],Tabla1[[Referencia-Color]:[Disponibilidad]],3,FALSE),0)</f>
        <v>24</v>
      </c>
      <c r="V294" s="13"/>
      <c r="W294" s="17">
        <f>+Tabla3[[#This Row],[Cant. Programada]]*Tabla3[[#This Row],[Precio unit]]</f>
        <v>0</v>
      </c>
      <c r="X294" s="8"/>
      <c r="Y294" s="8"/>
      <c r="Z294" s="8" t="str">
        <f>+Tabla3[[#This Row],[Referencia]]&amp;Tabla3[[#This Row],[Desc detalle ext 1]]</f>
        <v xml:space="preserve">CB 110 DLX                                        GRIS     </v>
      </c>
      <c r="AA294" s="128" t="e">
        <f>+VLOOKUP(Tabla3[[#This Row],[CODIGO2]],ESTANDAR!$B$3:$C$9,2,FALSE)</f>
        <v>#N/A</v>
      </c>
      <c r="AB294" s="128" t="str">
        <f>+MID(Tabla3[[#This Row],['# Viaje]],10,1)</f>
        <v/>
      </c>
    </row>
    <row r="295" spans="1:28" ht="15" hidden="1" customHeight="1">
      <c r="A295" s="173" t="s">
        <v>1507</v>
      </c>
      <c r="B295" s="174">
        <v>42948</v>
      </c>
      <c r="C295" s="173" t="s">
        <v>1231</v>
      </c>
      <c r="D295" s="173" t="s">
        <v>1237</v>
      </c>
      <c r="E295" s="173" t="s">
        <v>1232</v>
      </c>
      <c r="F295" s="173">
        <v>5</v>
      </c>
      <c r="G295" s="173" t="s">
        <v>81</v>
      </c>
      <c r="H295" s="173">
        <v>5</v>
      </c>
      <c r="I295" s="173" t="s">
        <v>1508</v>
      </c>
      <c r="J295" s="173" t="s">
        <v>1451</v>
      </c>
      <c r="K295" s="173" t="s">
        <v>1452</v>
      </c>
      <c r="L295" s="173"/>
      <c r="M295" s="173" t="s">
        <v>82</v>
      </c>
      <c r="N295" s="173">
        <v>890705577</v>
      </c>
      <c r="O295" s="175">
        <v>3696639</v>
      </c>
      <c r="P295" s="7"/>
      <c r="Q295" s="16">
        <f>+IF(IFERROR(VLOOKUP(Tabla3[[#This Row],[Cliente factura]],Tabla4[[NIT]:[TOTAL CREDITO]],3,FALSE),0)="",0,IFERROR(VLOOKUP(Tabla3[[#This Row],[Cliente factura]],Tabla4[[NIT]:[TOTAL CREDITO]],3,FALSE),0))</f>
        <v>281000000</v>
      </c>
      <c r="R295" s="9">
        <f>+IFERROR(VLOOKUP(Tabla3[[#This Row],[Cliente factura]],Tabla4[[NIT]:[TOTAL CREDITO]],6,FALSE),0)</f>
        <v>0</v>
      </c>
      <c r="S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5" s="10" t="str">
        <f>VLOOKUP(Tabla3[[#This Row],[Razón social cliente factura]]&amp;Tabla3[[#This Row],[Desc. ciudad]],'Estandar de Rutas'!$C$1:$E$553,2,FALSE)</f>
        <v>5.2</v>
      </c>
      <c r="U295" s="130">
        <f>IFERROR(VLOOKUP(Tabla3[[#This Row],[Referencia]]&amp;Tabla3[[#This Row],[Desc detalle ext 1]],Tabla1[[Referencia-Color]:[Disponibilidad]],3,FALSE),0)</f>
        <v>21</v>
      </c>
      <c r="V295" s="13"/>
      <c r="W295" s="17">
        <f>+Tabla3[[#This Row],[Cant. Programada]]*Tabla3[[#This Row],[Precio unit]]</f>
        <v>0</v>
      </c>
      <c r="X295" s="129"/>
      <c r="Y295" s="8"/>
      <c r="Z295" s="8" t="str">
        <f>+Tabla3[[#This Row],[Referencia]]&amp;Tabla3[[#This Row],[Desc detalle ext 1]]</f>
        <v xml:space="preserve">CB 110 DLX                                        AZUL     </v>
      </c>
      <c r="AA295" s="128" t="e">
        <f>+VLOOKUP(Tabla3[[#This Row],[CODIGO2]],ESTANDAR!$B$3:$C$9,2,FALSE)</f>
        <v>#N/A</v>
      </c>
      <c r="AB295" s="128" t="str">
        <f>+MID(Tabla3[[#This Row],['# Viaje]],10,1)</f>
        <v/>
      </c>
    </row>
    <row r="296" spans="1:28" ht="15" hidden="1" customHeight="1">
      <c r="A296" s="173" t="s">
        <v>1507</v>
      </c>
      <c r="B296" s="174">
        <v>42948</v>
      </c>
      <c r="C296" s="173" t="s">
        <v>1231</v>
      </c>
      <c r="D296" s="173" t="s">
        <v>1237</v>
      </c>
      <c r="E296" s="173" t="s">
        <v>1232</v>
      </c>
      <c r="F296" s="173">
        <v>8</v>
      </c>
      <c r="G296" s="173" t="s">
        <v>81</v>
      </c>
      <c r="H296" s="173">
        <v>8</v>
      </c>
      <c r="I296" s="173" t="s">
        <v>1508</v>
      </c>
      <c r="J296" s="173" t="s">
        <v>1451</v>
      </c>
      <c r="K296" s="173" t="s">
        <v>16</v>
      </c>
      <c r="L296" s="173"/>
      <c r="M296" s="173" t="s">
        <v>82</v>
      </c>
      <c r="N296" s="173">
        <v>890705577</v>
      </c>
      <c r="O296" s="175">
        <v>3696639</v>
      </c>
      <c r="P296" s="7"/>
      <c r="Q296" s="16">
        <f>+IF(IFERROR(VLOOKUP(Tabla3[[#This Row],[Cliente factura]],Tabla4[[NIT]:[TOTAL CREDITO]],3,FALSE),0)="",0,IFERROR(VLOOKUP(Tabla3[[#This Row],[Cliente factura]],Tabla4[[NIT]:[TOTAL CREDITO]],3,FALSE),0))</f>
        <v>281000000</v>
      </c>
      <c r="R296" s="9">
        <f>+IFERROR(VLOOKUP(Tabla3[[#This Row],[Cliente factura]],Tabla4[[NIT]:[TOTAL CREDITO]],6,FALSE),0)</f>
        <v>0</v>
      </c>
      <c r="S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6" s="10" t="str">
        <f>VLOOKUP(Tabla3[[#This Row],[Razón social cliente factura]]&amp;Tabla3[[#This Row],[Desc. ciudad]],'Estandar de Rutas'!$C$1:$E$553,2,FALSE)</f>
        <v>5.2</v>
      </c>
      <c r="U296" s="130">
        <f>IFERROR(VLOOKUP(Tabla3[[#This Row],[Referencia]]&amp;Tabla3[[#This Row],[Desc detalle ext 1]],Tabla1[[Referencia-Color]:[Disponibilidad]],3,FALSE),0)</f>
        <v>3</v>
      </c>
      <c r="V296" s="13"/>
      <c r="W296" s="17">
        <f>+Tabla3[[#This Row],[Cant. Programada]]*Tabla3[[#This Row],[Precio unit]]</f>
        <v>0</v>
      </c>
      <c r="X296" s="8"/>
      <c r="Y296" s="8"/>
      <c r="Z296" s="8" t="str">
        <f>+Tabla3[[#This Row],[Referencia]]&amp;Tabla3[[#This Row],[Desc detalle ext 1]]</f>
        <v xml:space="preserve">CB 110 DLX                                        NEGRO    </v>
      </c>
      <c r="AA296" s="128" t="e">
        <f>+VLOOKUP(Tabla3[[#This Row],[CODIGO2]],ESTANDAR!$B$3:$C$9,2,FALSE)</f>
        <v>#N/A</v>
      </c>
      <c r="AB296" s="128" t="str">
        <f>+MID(Tabla3[[#This Row],['# Viaje]],10,1)</f>
        <v/>
      </c>
    </row>
    <row r="297" spans="1:28" ht="15" hidden="1" customHeight="1">
      <c r="A297" s="173" t="s">
        <v>1509</v>
      </c>
      <c r="B297" s="174">
        <v>42948</v>
      </c>
      <c r="C297" s="173" t="s">
        <v>1231</v>
      </c>
      <c r="D297" s="173" t="s">
        <v>1478</v>
      </c>
      <c r="E297" s="173" t="s">
        <v>1232</v>
      </c>
      <c r="F297" s="173">
        <v>1</v>
      </c>
      <c r="G297" s="173" t="s">
        <v>43</v>
      </c>
      <c r="H297" s="173">
        <v>1</v>
      </c>
      <c r="I297" s="173" t="s">
        <v>1222</v>
      </c>
      <c r="J297" s="173" t="s">
        <v>354</v>
      </c>
      <c r="K297" s="173" t="s">
        <v>474</v>
      </c>
      <c r="L297" s="173"/>
      <c r="M297" s="173" t="s">
        <v>42</v>
      </c>
      <c r="N297" s="173">
        <v>890330584</v>
      </c>
      <c r="O297" s="175">
        <v>6133613</v>
      </c>
      <c r="P297" s="7"/>
      <c r="Q297" s="16">
        <f>+IF(IFERROR(VLOOKUP(Tabla3[[#This Row],[Cliente factura]],Tabla4[[NIT]:[TOTAL CREDITO]],3,FALSE),0)="",0,IFERROR(VLOOKUP(Tabla3[[#This Row],[Cliente factura]],Tabla4[[NIT]:[TOTAL CREDITO]],3,FALSE),0))</f>
        <v>802084041</v>
      </c>
      <c r="R297" s="9">
        <f>+IFERROR(VLOOKUP(Tabla3[[#This Row],[Cliente factura]],Tabla4[[NIT]:[TOTAL CREDITO]],6,FALSE),0)</f>
        <v>0</v>
      </c>
      <c r="S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7" s="10" t="str">
        <f>VLOOKUP(Tabla3[[#This Row],[Razón social cliente factura]]&amp;Tabla3[[#This Row],[Desc. ciudad]],'Estandar de Rutas'!$C$1:$E$553,2,FALSE)</f>
        <v>1.3</v>
      </c>
      <c r="U297" s="130">
        <f>IFERROR(VLOOKUP(Tabla3[[#This Row],[Referencia]]&amp;Tabla3[[#This Row],[Desc detalle ext 1]],Tabla1[[Referencia-Color]:[Disponibilidad]],3,FALSE),0)</f>
        <v>3</v>
      </c>
      <c r="V297" s="13"/>
      <c r="W297" s="17">
        <f>+Tabla3[[#This Row],[Cant. Programada]]*Tabla3[[#This Row],[Precio unit]]</f>
        <v>0</v>
      </c>
      <c r="X297" s="129"/>
      <c r="Y297" s="129"/>
      <c r="Z297" s="8" t="str">
        <f>+Tabla3[[#This Row],[Referencia]]&amp;Tabla3[[#This Row],[Desc detalle ext 1]]</f>
        <v>CB 160F DLX                                       NARANJA N</v>
      </c>
      <c r="AA297" s="128" t="e">
        <f>+VLOOKUP(Tabla3[[#This Row],[CODIGO2]],ESTANDAR!$B$3:$C$9,2,FALSE)</f>
        <v>#N/A</v>
      </c>
      <c r="AB297" s="128" t="str">
        <f>+MID(Tabla3[[#This Row],['# Viaje]],10,1)</f>
        <v/>
      </c>
    </row>
    <row r="298" spans="1:28" ht="15" hidden="1" customHeight="1">
      <c r="A298" s="173" t="s">
        <v>1509</v>
      </c>
      <c r="B298" s="174">
        <v>42948</v>
      </c>
      <c r="C298" s="173" t="s">
        <v>1231</v>
      </c>
      <c r="D298" s="173" t="s">
        <v>1478</v>
      </c>
      <c r="E298" s="173" t="s">
        <v>1232</v>
      </c>
      <c r="F298" s="173">
        <v>2</v>
      </c>
      <c r="G298" s="173" t="s">
        <v>43</v>
      </c>
      <c r="H298" s="173">
        <v>2</v>
      </c>
      <c r="I298" s="173" t="s">
        <v>1222</v>
      </c>
      <c r="J298" s="173" t="s">
        <v>354</v>
      </c>
      <c r="K298" s="173" t="s">
        <v>355</v>
      </c>
      <c r="L298" s="173"/>
      <c r="M298" s="173" t="s">
        <v>42</v>
      </c>
      <c r="N298" s="173">
        <v>890330584</v>
      </c>
      <c r="O298" s="175">
        <v>6133613</v>
      </c>
      <c r="P298" s="7"/>
      <c r="Q298" s="16">
        <f>+IF(IFERROR(VLOOKUP(Tabla3[[#This Row],[Cliente factura]],Tabla4[[NIT]:[TOTAL CREDITO]],3,FALSE),0)="",0,IFERROR(VLOOKUP(Tabla3[[#This Row],[Cliente factura]],Tabla4[[NIT]:[TOTAL CREDITO]],3,FALSE),0))</f>
        <v>802084041</v>
      </c>
      <c r="R298" s="9">
        <f>+IFERROR(VLOOKUP(Tabla3[[#This Row],[Cliente factura]],Tabla4[[NIT]:[TOTAL CREDITO]],6,FALSE),0)</f>
        <v>0</v>
      </c>
      <c r="S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8" s="10" t="str">
        <f>VLOOKUP(Tabla3[[#This Row],[Razón social cliente factura]]&amp;Tabla3[[#This Row],[Desc. ciudad]],'Estandar de Rutas'!$C$1:$E$553,2,FALSE)</f>
        <v>1.3</v>
      </c>
      <c r="U298" s="130">
        <f>IFERROR(VLOOKUP(Tabla3[[#This Row],[Referencia]]&amp;Tabla3[[#This Row],[Desc detalle ext 1]],Tabla1[[Referencia-Color]:[Disponibilidad]],3,FALSE),0)</f>
        <v>0</v>
      </c>
      <c r="V298" s="13"/>
      <c r="W298" s="17">
        <f>+Tabla3[[#This Row],[Cant. Programada]]*Tabla3[[#This Row],[Precio unit]]</f>
        <v>0</v>
      </c>
      <c r="X298" s="8"/>
      <c r="Y298" s="8"/>
      <c r="Z298" s="8" t="str">
        <f>+Tabla3[[#This Row],[Referencia]]&amp;Tabla3[[#This Row],[Desc detalle ext 1]]</f>
        <v>CB 160F DLX                                       NEGRO PER</v>
      </c>
      <c r="AA298" s="128" t="e">
        <f>+VLOOKUP(Tabla3[[#This Row],[CODIGO2]],ESTANDAR!$B$3:$C$9,2,FALSE)</f>
        <v>#N/A</v>
      </c>
      <c r="AB298" s="128" t="str">
        <f>+MID(Tabla3[[#This Row],['# Viaje]],10,1)</f>
        <v/>
      </c>
    </row>
    <row r="299" spans="1:28" ht="15" hidden="1" customHeight="1">
      <c r="A299" s="173" t="s">
        <v>1509</v>
      </c>
      <c r="B299" s="174">
        <v>42948</v>
      </c>
      <c r="C299" s="173" t="s">
        <v>1231</v>
      </c>
      <c r="D299" s="173" t="s">
        <v>1478</v>
      </c>
      <c r="E299" s="173" t="s">
        <v>1232</v>
      </c>
      <c r="F299" s="173">
        <v>1</v>
      </c>
      <c r="G299" s="173" t="s">
        <v>43</v>
      </c>
      <c r="H299" s="173">
        <v>1</v>
      </c>
      <c r="I299" s="173" t="s">
        <v>1222</v>
      </c>
      <c r="J299" s="173" t="s">
        <v>1451</v>
      </c>
      <c r="K299" s="173" t="s">
        <v>1449</v>
      </c>
      <c r="L299" s="173"/>
      <c r="M299" s="173" t="s">
        <v>42</v>
      </c>
      <c r="N299" s="173">
        <v>890330584</v>
      </c>
      <c r="O299" s="175">
        <v>3696639</v>
      </c>
      <c r="P299" s="7"/>
      <c r="Q299" s="16">
        <f>+IF(IFERROR(VLOOKUP(Tabla3[[#This Row],[Cliente factura]],Tabla4[[NIT]:[TOTAL CREDITO]],3,FALSE),0)="",0,IFERROR(VLOOKUP(Tabla3[[#This Row],[Cliente factura]],Tabla4[[NIT]:[TOTAL CREDITO]],3,FALSE),0))</f>
        <v>802084041</v>
      </c>
      <c r="R299" s="9">
        <f>+IFERROR(VLOOKUP(Tabla3[[#This Row],[Cliente factura]],Tabla4[[NIT]:[TOTAL CREDITO]],6,FALSE),0)</f>
        <v>0</v>
      </c>
      <c r="S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9" s="10" t="str">
        <f>VLOOKUP(Tabla3[[#This Row],[Razón social cliente factura]]&amp;Tabla3[[#This Row],[Desc. ciudad]],'Estandar de Rutas'!$C$1:$E$553,2,FALSE)</f>
        <v>1.3</v>
      </c>
      <c r="U299" s="130">
        <f>IFERROR(VLOOKUP(Tabla3[[#This Row],[Referencia]]&amp;Tabla3[[#This Row],[Desc detalle ext 1]],Tabla1[[Referencia-Color]:[Disponibilidad]],3,FALSE),0)</f>
        <v>24</v>
      </c>
      <c r="V299" s="13"/>
      <c r="W299" s="17">
        <f>+Tabla3[[#This Row],[Cant. Programada]]*Tabla3[[#This Row],[Precio unit]]</f>
        <v>0</v>
      </c>
      <c r="X299" s="8"/>
      <c r="Y299" s="8"/>
      <c r="Z299" s="8" t="str">
        <f>+Tabla3[[#This Row],[Referencia]]&amp;Tabla3[[#This Row],[Desc detalle ext 1]]</f>
        <v xml:space="preserve">CB 110 DLX                                        GRIS     </v>
      </c>
      <c r="AA299" s="128" t="e">
        <f>+VLOOKUP(Tabla3[[#This Row],[CODIGO2]],ESTANDAR!$B$3:$C$9,2,FALSE)</f>
        <v>#N/A</v>
      </c>
      <c r="AB299" s="128" t="str">
        <f>+MID(Tabla3[[#This Row],['# Viaje]],10,1)</f>
        <v/>
      </c>
    </row>
    <row r="300" spans="1:28" ht="15" hidden="1" customHeight="1">
      <c r="A300" s="173" t="s">
        <v>1509</v>
      </c>
      <c r="B300" s="174">
        <v>42948</v>
      </c>
      <c r="C300" s="173" t="s">
        <v>1231</v>
      </c>
      <c r="D300" s="173" t="s">
        <v>1478</v>
      </c>
      <c r="E300" s="173" t="s">
        <v>1232</v>
      </c>
      <c r="F300" s="173">
        <v>1</v>
      </c>
      <c r="G300" s="173" t="s">
        <v>43</v>
      </c>
      <c r="H300" s="173">
        <v>1</v>
      </c>
      <c r="I300" s="173" t="s">
        <v>1222</v>
      </c>
      <c r="J300" s="173" t="s">
        <v>1451</v>
      </c>
      <c r="K300" s="173" t="s">
        <v>16</v>
      </c>
      <c r="L300" s="173"/>
      <c r="M300" s="173" t="s">
        <v>42</v>
      </c>
      <c r="N300" s="173">
        <v>890330584</v>
      </c>
      <c r="O300" s="175">
        <v>3696639</v>
      </c>
      <c r="P300" s="7"/>
      <c r="Q300" s="16">
        <f>+IF(IFERROR(VLOOKUP(Tabla3[[#This Row],[Cliente factura]],Tabla4[[NIT]:[TOTAL CREDITO]],3,FALSE),0)="",0,IFERROR(VLOOKUP(Tabla3[[#This Row],[Cliente factura]],Tabla4[[NIT]:[TOTAL CREDITO]],3,FALSE),0))</f>
        <v>802084041</v>
      </c>
      <c r="R300" s="9">
        <f>+IFERROR(VLOOKUP(Tabla3[[#This Row],[Cliente factura]],Tabla4[[NIT]:[TOTAL CREDITO]],6,FALSE),0)</f>
        <v>0</v>
      </c>
      <c r="S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0" s="10" t="str">
        <f>VLOOKUP(Tabla3[[#This Row],[Razón social cliente factura]]&amp;Tabla3[[#This Row],[Desc. ciudad]],'Estandar de Rutas'!$C$1:$E$553,2,FALSE)</f>
        <v>1.3</v>
      </c>
      <c r="U300" s="130">
        <f>IFERROR(VLOOKUP(Tabla3[[#This Row],[Referencia]]&amp;Tabla3[[#This Row],[Desc detalle ext 1]],Tabla1[[Referencia-Color]:[Disponibilidad]],3,FALSE),0)</f>
        <v>3</v>
      </c>
      <c r="V300" s="13"/>
      <c r="W300" s="17">
        <f>+Tabla3[[#This Row],[Cant. Programada]]*Tabla3[[#This Row],[Precio unit]]</f>
        <v>0</v>
      </c>
      <c r="X300" s="8"/>
      <c r="Y300" s="8"/>
      <c r="Z300" s="8" t="str">
        <f>+Tabla3[[#This Row],[Referencia]]&amp;Tabla3[[#This Row],[Desc detalle ext 1]]</f>
        <v xml:space="preserve">CB 110 DLX                                        NEGRO    </v>
      </c>
      <c r="AA300" s="128" t="e">
        <f>+VLOOKUP(Tabla3[[#This Row],[CODIGO2]],ESTANDAR!$B$3:$C$9,2,FALSE)</f>
        <v>#N/A</v>
      </c>
      <c r="AB300" s="128" t="str">
        <f>+MID(Tabla3[[#This Row],['# Viaje]],10,1)</f>
        <v/>
      </c>
    </row>
    <row r="301" spans="1:28" ht="15" hidden="1" customHeight="1">
      <c r="A301" s="173" t="s">
        <v>1510</v>
      </c>
      <c r="B301" s="174">
        <v>42948</v>
      </c>
      <c r="C301" s="173" t="s">
        <v>1231</v>
      </c>
      <c r="D301" s="173" t="s">
        <v>1237</v>
      </c>
      <c r="E301" s="173" t="s">
        <v>1232</v>
      </c>
      <c r="F301" s="173">
        <v>2</v>
      </c>
      <c r="G301" s="173" t="s">
        <v>81</v>
      </c>
      <c r="H301" s="173">
        <v>2</v>
      </c>
      <c r="I301" s="173" t="s">
        <v>1511</v>
      </c>
      <c r="J301" s="173" t="s">
        <v>14</v>
      </c>
      <c r="K301" s="173" t="s">
        <v>15</v>
      </c>
      <c r="L301" s="173"/>
      <c r="M301" s="173" t="s">
        <v>83</v>
      </c>
      <c r="N301" s="173">
        <v>890705577</v>
      </c>
      <c r="O301" s="175">
        <v>3360504</v>
      </c>
      <c r="P301" s="7"/>
      <c r="Q301" s="16">
        <f>+IF(IFERROR(VLOOKUP(Tabla3[[#This Row],[Cliente factura]],Tabla4[[NIT]:[TOTAL CREDITO]],3,FALSE),0)="",0,IFERROR(VLOOKUP(Tabla3[[#This Row],[Cliente factura]],Tabla4[[NIT]:[TOTAL CREDITO]],3,FALSE),0))</f>
        <v>281000000</v>
      </c>
      <c r="R301" s="9">
        <f>+IFERROR(VLOOKUP(Tabla3[[#This Row],[Cliente factura]],Tabla4[[NIT]:[TOTAL CREDITO]],6,FALSE),0)</f>
        <v>0</v>
      </c>
      <c r="S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1" s="10" t="str">
        <f>VLOOKUP(Tabla3[[#This Row],[Razón social cliente factura]]&amp;Tabla3[[#This Row],[Desc. ciudad]],'Estandar de Rutas'!$C$1:$E$553,2,FALSE)</f>
        <v>5.2</v>
      </c>
      <c r="U301" s="130">
        <f>IFERROR(VLOOKUP(Tabla3[[#This Row],[Referencia]]&amp;Tabla3[[#This Row],[Desc detalle ext 1]],Tabla1[[Referencia-Color]:[Disponibilidad]],3,FALSE),0)</f>
        <v>99</v>
      </c>
      <c r="V301" s="13"/>
      <c r="W301" s="17">
        <f>+Tabla3[[#This Row],[Cant. Programada]]*Tabla3[[#This Row],[Precio unit]]</f>
        <v>0</v>
      </c>
      <c r="X301" s="8"/>
      <c r="Y301" s="8"/>
      <c r="Z301" s="8" t="str">
        <f>+Tabla3[[#This Row],[Referencia]]&amp;Tabla3[[#This Row],[Desc detalle ext 1]]</f>
        <v>*CB-110                                           AZUL FIJI</v>
      </c>
      <c r="AA301" s="128" t="e">
        <f>+VLOOKUP(Tabla3[[#This Row],[CODIGO2]],ESTANDAR!$B$3:$C$9,2,FALSE)</f>
        <v>#N/A</v>
      </c>
      <c r="AB301" s="128" t="str">
        <f>+MID(Tabla3[[#This Row],['# Viaje]],10,1)</f>
        <v/>
      </c>
    </row>
    <row r="302" spans="1:28" ht="15" hidden="1" customHeight="1">
      <c r="A302" s="173" t="s">
        <v>1510</v>
      </c>
      <c r="B302" s="174">
        <v>42948</v>
      </c>
      <c r="C302" s="173" t="s">
        <v>1231</v>
      </c>
      <c r="D302" s="173" t="s">
        <v>1237</v>
      </c>
      <c r="E302" s="173" t="s">
        <v>1232</v>
      </c>
      <c r="F302" s="173">
        <v>2</v>
      </c>
      <c r="G302" s="173" t="s">
        <v>81</v>
      </c>
      <c r="H302" s="173">
        <v>2</v>
      </c>
      <c r="I302" s="173" t="s">
        <v>1511</v>
      </c>
      <c r="J302" s="173" t="s">
        <v>27</v>
      </c>
      <c r="K302" s="173" t="s">
        <v>26</v>
      </c>
      <c r="L302" s="173"/>
      <c r="M302" s="173" t="s">
        <v>83</v>
      </c>
      <c r="N302" s="173">
        <v>890705577</v>
      </c>
      <c r="O302" s="175">
        <v>5789916</v>
      </c>
      <c r="P302" s="7"/>
      <c r="Q302" s="16">
        <f>+IF(IFERROR(VLOOKUP(Tabla3[[#This Row],[Cliente factura]],Tabla4[[NIT]:[TOTAL CREDITO]],3,FALSE),0)="",0,IFERROR(VLOOKUP(Tabla3[[#This Row],[Cliente factura]],Tabla4[[NIT]:[TOTAL CREDITO]],3,FALSE),0))</f>
        <v>281000000</v>
      </c>
      <c r="R302" s="9">
        <f>+IFERROR(VLOOKUP(Tabla3[[#This Row],[Cliente factura]],Tabla4[[NIT]:[TOTAL CREDITO]],6,FALSE),0)</f>
        <v>0</v>
      </c>
      <c r="S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2" s="10" t="str">
        <f>VLOOKUP(Tabla3[[#This Row],[Razón social cliente factura]]&amp;Tabla3[[#This Row],[Desc. ciudad]],'Estandar de Rutas'!$C$1:$E$553,2,FALSE)</f>
        <v>5.2</v>
      </c>
      <c r="U302" s="130">
        <f>IFERROR(VLOOKUP(Tabla3[[#This Row],[Referencia]]&amp;Tabla3[[#This Row],[Desc detalle ext 1]],Tabla1[[Referencia-Color]:[Disponibilidad]],3,FALSE),0)</f>
        <v>59</v>
      </c>
      <c r="V302" s="13"/>
      <c r="W302" s="17">
        <f>+Tabla3[[#This Row],[Cant. Programada]]*Tabla3[[#This Row],[Precio unit]]</f>
        <v>0</v>
      </c>
      <c r="X302" s="8"/>
      <c r="Y302" s="8"/>
      <c r="Z302" s="8" t="str">
        <f>+Tabla3[[#This Row],[Referencia]]&amp;Tabla3[[#This Row],[Desc detalle ext 1]]</f>
        <v>*XR 150L                                          NEGRO BLA</v>
      </c>
      <c r="AA302" s="128" t="e">
        <f>+VLOOKUP(Tabla3[[#This Row],[CODIGO2]],ESTANDAR!$B$3:$C$9,2,FALSE)</f>
        <v>#N/A</v>
      </c>
      <c r="AB302" s="128" t="str">
        <f>+MID(Tabla3[[#This Row],['# Viaje]],10,1)</f>
        <v/>
      </c>
    </row>
    <row r="303" spans="1:28" ht="15" hidden="1" customHeight="1">
      <c r="A303" s="173" t="s">
        <v>1510</v>
      </c>
      <c r="B303" s="174">
        <v>42948</v>
      </c>
      <c r="C303" s="173" t="s">
        <v>1231</v>
      </c>
      <c r="D303" s="173" t="s">
        <v>1237</v>
      </c>
      <c r="E303" s="173" t="s">
        <v>1232</v>
      </c>
      <c r="F303" s="173">
        <v>5</v>
      </c>
      <c r="G303" s="173" t="s">
        <v>81</v>
      </c>
      <c r="H303" s="173">
        <v>5</v>
      </c>
      <c r="I303" s="173" t="s">
        <v>1511</v>
      </c>
      <c r="J303" s="173" t="s">
        <v>1451</v>
      </c>
      <c r="K303" s="173" t="s">
        <v>16</v>
      </c>
      <c r="L303" s="173"/>
      <c r="M303" s="173" t="s">
        <v>83</v>
      </c>
      <c r="N303" s="173">
        <v>890705577</v>
      </c>
      <c r="O303" s="175">
        <v>3696639</v>
      </c>
      <c r="P303" s="7"/>
      <c r="Q303" s="16">
        <f>+IF(IFERROR(VLOOKUP(Tabla3[[#This Row],[Cliente factura]],Tabla4[[NIT]:[TOTAL CREDITO]],3,FALSE),0)="",0,IFERROR(VLOOKUP(Tabla3[[#This Row],[Cliente factura]],Tabla4[[NIT]:[TOTAL CREDITO]],3,FALSE),0))</f>
        <v>281000000</v>
      </c>
      <c r="R303" s="9">
        <f>+IFERROR(VLOOKUP(Tabla3[[#This Row],[Cliente factura]],Tabla4[[NIT]:[TOTAL CREDITO]],6,FALSE),0)</f>
        <v>0</v>
      </c>
      <c r="S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3" s="10" t="str">
        <f>VLOOKUP(Tabla3[[#This Row],[Razón social cliente factura]]&amp;Tabla3[[#This Row],[Desc. ciudad]],'Estandar de Rutas'!$C$1:$E$553,2,FALSE)</f>
        <v>5.2</v>
      </c>
      <c r="U303" s="130">
        <f>IFERROR(VLOOKUP(Tabla3[[#This Row],[Referencia]]&amp;Tabla3[[#This Row],[Desc detalle ext 1]],Tabla1[[Referencia-Color]:[Disponibilidad]],3,FALSE),0)</f>
        <v>3</v>
      </c>
      <c r="V303" s="13"/>
      <c r="W303" s="17">
        <f>+Tabla3[[#This Row],[Cant. Programada]]*Tabla3[[#This Row],[Precio unit]]</f>
        <v>0</v>
      </c>
      <c r="X303" s="8"/>
      <c r="Y303" s="8"/>
      <c r="Z303" s="8" t="str">
        <f>+Tabla3[[#This Row],[Referencia]]&amp;Tabla3[[#This Row],[Desc detalle ext 1]]</f>
        <v xml:space="preserve">CB 110 DLX                                        NEGRO    </v>
      </c>
      <c r="AA303" s="128" t="e">
        <f>+VLOOKUP(Tabla3[[#This Row],[CODIGO2]],ESTANDAR!$B$3:$C$9,2,FALSE)</f>
        <v>#N/A</v>
      </c>
      <c r="AB303" s="128" t="str">
        <f>+MID(Tabla3[[#This Row],['# Viaje]],10,1)</f>
        <v/>
      </c>
    </row>
    <row r="304" spans="1:28" ht="15" hidden="1" customHeight="1">
      <c r="A304" s="173" t="s">
        <v>1512</v>
      </c>
      <c r="B304" s="174">
        <v>42948</v>
      </c>
      <c r="C304" s="173" t="s">
        <v>1231</v>
      </c>
      <c r="D304" s="173" t="s">
        <v>1237</v>
      </c>
      <c r="E304" s="173" t="s">
        <v>1232</v>
      </c>
      <c r="F304" s="173">
        <v>5</v>
      </c>
      <c r="G304" s="173" t="s">
        <v>81</v>
      </c>
      <c r="H304" s="173">
        <v>5</v>
      </c>
      <c r="I304" s="173" t="s">
        <v>1513</v>
      </c>
      <c r="J304" s="173" t="s">
        <v>14</v>
      </c>
      <c r="K304" s="173" t="s">
        <v>17</v>
      </c>
      <c r="L304" s="173"/>
      <c r="M304" s="173" t="s">
        <v>80</v>
      </c>
      <c r="N304" s="173">
        <v>890705577</v>
      </c>
      <c r="O304" s="175">
        <v>3360504</v>
      </c>
      <c r="P304" s="7"/>
      <c r="Q304" s="16">
        <f>+IF(IFERROR(VLOOKUP(Tabla3[[#This Row],[Cliente factura]],Tabla4[[NIT]:[TOTAL CREDITO]],3,FALSE),0)="",0,IFERROR(VLOOKUP(Tabla3[[#This Row],[Cliente factura]],Tabla4[[NIT]:[TOTAL CREDITO]],3,FALSE),0))</f>
        <v>281000000</v>
      </c>
      <c r="R304" s="9">
        <f>+IFERROR(VLOOKUP(Tabla3[[#This Row],[Cliente factura]],Tabla4[[NIT]:[TOTAL CREDITO]],6,FALSE),0)</f>
        <v>0</v>
      </c>
      <c r="S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4" s="10" t="str">
        <f>VLOOKUP(Tabla3[[#This Row],[Razón social cliente factura]]&amp;Tabla3[[#This Row],[Desc. ciudad]],'Estandar de Rutas'!$C$1:$E$553,2,FALSE)</f>
        <v>5.2</v>
      </c>
      <c r="U304" s="130">
        <f>IFERROR(VLOOKUP(Tabla3[[#This Row],[Referencia]]&amp;Tabla3[[#This Row],[Desc detalle ext 1]],Tabla1[[Referencia-Color]:[Disponibilidad]],3,FALSE),0)</f>
        <v>38</v>
      </c>
      <c r="V304" s="13"/>
      <c r="W304" s="17">
        <f>+Tabla3[[#This Row],[Cant. Programada]]*Tabla3[[#This Row],[Precio unit]]</f>
        <v>0</v>
      </c>
      <c r="X304" s="8"/>
      <c r="Y304" s="8"/>
      <c r="Z304" s="8" t="str">
        <f>+Tabla3[[#This Row],[Referencia]]&amp;Tabla3[[#This Row],[Desc detalle ext 1]]</f>
        <v>*CB-110                                           ROJO SPOR</v>
      </c>
      <c r="AA304" s="128" t="e">
        <f>+VLOOKUP(Tabla3[[#This Row],[CODIGO2]],ESTANDAR!$B$3:$C$9,2,FALSE)</f>
        <v>#N/A</v>
      </c>
      <c r="AB304" s="128" t="str">
        <f>+MID(Tabla3[[#This Row],['# Viaje]],10,1)</f>
        <v/>
      </c>
    </row>
    <row r="305" spans="1:28" ht="15" hidden="1" customHeight="1">
      <c r="A305" s="173" t="s">
        <v>1512</v>
      </c>
      <c r="B305" s="174">
        <v>42948</v>
      </c>
      <c r="C305" s="173" t="s">
        <v>1231</v>
      </c>
      <c r="D305" s="173" t="s">
        <v>1237</v>
      </c>
      <c r="E305" s="173" t="s">
        <v>1232</v>
      </c>
      <c r="F305" s="173">
        <v>5</v>
      </c>
      <c r="G305" s="173" t="s">
        <v>81</v>
      </c>
      <c r="H305" s="173">
        <v>5</v>
      </c>
      <c r="I305" s="173" t="s">
        <v>1513</v>
      </c>
      <c r="J305" s="173" t="s">
        <v>14</v>
      </c>
      <c r="K305" s="173" t="s">
        <v>15</v>
      </c>
      <c r="L305" s="173"/>
      <c r="M305" s="173" t="s">
        <v>80</v>
      </c>
      <c r="N305" s="173">
        <v>890705577</v>
      </c>
      <c r="O305" s="175">
        <v>3360504</v>
      </c>
      <c r="P305" s="7"/>
      <c r="Q305" s="16">
        <f>+IF(IFERROR(VLOOKUP(Tabla3[[#This Row],[Cliente factura]],Tabla4[[NIT]:[TOTAL CREDITO]],3,FALSE),0)="",0,IFERROR(VLOOKUP(Tabla3[[#This Row],[Cliente factura]],Tabla4[[NIT]:[TOTAL CREDITO]],3,FALSE),0))</f>
        <v>281000000</v>
      </c>
      <c r="R305" s="9">
        <f>+IFERROR(VLOOKUP(Tabla3[[#This Row],[Cliente factura]],Tabla4[[NIT]:[TOTAL CREDITO]],6,FALSE),0)</f>
        <v>0</v>
      </c>
      <c r="S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5" s="10" t="str">
        <f>VLOOKUP(Tabla3[[#This Row],[Razón social cliente factura]]&amp;Tabla3[[#This Row],[Desc. ciudad]],'Estandar de Rutas'!$C$1:$E$553,2,FALSE)</f>
        <v>5.2</v>
      </c>
      <c r="U305" s="130">
        <f>IFERROR(VLOOKUP(Tabla3[[#This Row],[Referencia]]&amp;Tabla3[[#This Row],[Desc detalle ext 1]],Tabla1[[Referencia-Color]:[Disponibilidad]],3,FALSE),0)</f>
        <v>99</v>
      </c>
      <c r="V305" s="13"/>
      <c r="W305" s="17">
        <f>+Tabla3[[#This Row],[Cant. Programada]]*Tabla3[[#This Row],[Precio unit]]</f>
        <v>0</v>
      </c>
      <c r="X305" s="8"/>
      <c r="Y305" s="8"/>
      <c r="Z305" s="8" t="str">
        <f>+Tabla3[[#This Row],[Referencia]]&amp;Tabla3[[#This Row],[Desc detalle ext 1]]</f>
        <v>*CB-110                                           AZUL FIJI</v>
      </c>
      <c r="AA305" s="128" t="e">
        <f>+VLOOKUP(Tabla3[[#This Row],[CODIGO2]],ESTANDAR!$B$3:$C$9,2,FALSE)</f>
        <v>#N/A</v>
      </c>
      <c r="AB305" s="128" t="str">
        <f>+MID(Tabla3[[#This Row],['# Viaje]],10,1)</f>
        <v/>
      </c>
    </row>
    <row r="306" spans="1:28" ht="15" hidden="1" customHeight="1">
      <c r="A306" s="173" t="s">
        <v>1512</v>
      </c>
      <c r="B306" s="174">
        <v>42948</v>
      </c>
      <c r="C306" s="173" t="s">
        <v>1231</v>
      </c>
      <c r="D306" s="173" t="s">
        <v>1237</v>
      </c>
      <c r="E306" s="173" t="s">
        <v>1232</v>
      </c>
      <c r="F306" s="173">
        <v>8</v>
      </c>
      <c r="G306" s="173" t="s">
        <v>81</v>
      </c>
      <c r="H306" s="173">
        <v>8</v>
      </c>
      <c r="I306" s="173" t="s">
        <v>1513</v>
      </c>
      <c r="J306" s="173" t="s">
        <v>14</v>
      </c>
      <c r="K306" s="173" t="s">
        <v>16</v>
      </c>
      <c r="L306" s="173"/>
      <c r="M306" s="173" t="s">
        <v>80</v>
      </c>
      <c r="N306" s="173">
        <v>890705577</v>
      </c>
      <c r="O306" s="175">
        <v>3360504</v>
      </c>
      <c r="P306" s="7"/>
      <c r="Q306" s="16">
        <f>+IF(IFERROR(VLOOKUP(Tabla3[[#This Row],[Cliente factura]],Tabla4[[NIT]:[TOTAL CREDITO]],3,FALSE),0)="",0,IFERROR(VLOOKUP(Tabla3[[#This Row],[Cliente factura]],Tabla4[[NIT]:[TOTAL CREDITO]],3,FALSE),0))</f>
        <v>281000000</v>
      </c>
      <c r="R306" s="9">
        <f>+IFERROR(VLOOKUP(Tabla3[[#This Row],[Cliente factura]],Tabla4[[NIT]:[TOTAL CREDITO]],6,FALSE),0)</f>
        <v>0</v>
      </c>
      <c r="S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6" s="10" t="str">
        <f>VLOOKUP(Tabla3[[#This Row],[Razón social cliente factura]]&amp;Tabla3[[#This Row],[Desc. ciudad]],'Estandar de Rutas'!$C$1:$E$553,2,FALSE)</f>
        <v>5.2</v>
      </c>
      <c r="U306" s="130">
        <f>IFERROR(VLOOKUP(Tabla3[[#This Row],[Referencia]]&amp;Tabla3[[#This Row],[Desc detalle ext 1]],Tabla1[[Referencia-Color]:[Disponibilidad]],3,FALSE),0)</f>
        <v>83</v>
      </c>
      <c r="V306" s="13"/>
      <c r="W306" s="17">
        <f>+Tabla3[[#This Row],[Cant. Programada]]*Tabla3[[#This Row],[Precio unit]]</f>
        <v>0</v>
      </c>
      <c r="X306" s="8"/>
      <c r="Y306" s="8"/>
      <c r="Z306" s="8" t="str">
        <f>+Tabla3[[#This Row],[Referencia]]&amp;Tabla3[[#This Row],[Desc detalle ext 1]]</f>
        <v xml:space="preserve">*CB-110                                           NEGRO    </v>
      </c>
      <c r="AA306" s="128" t="e">
        <f>+VLOOKUP(Tabla3[[#This Row],[CODIGO2]],ESTANDAR!$B$3:$C$9,2,FALSE)</f>
        <v>#N/A</v>
      </c>
      <c r="AB306" s="128" t="str">
        <f>+MID(Tabla3[[#This Row],['# Viaje]],10,1)</f>
        <v/>
      </c>
    </row>
    <row r="307" spans="1:28" ht="15" hidden="1" customHeight="1">
      <c r="A307" s="173" t="s">
        <v>1512</v>
      </c>
      <c r="B307" s="174">
        <v>42948</v>
      </c>
      <c r="C307" s="173" t="s">
        <v>1231</v>
      </c>
      <c r="D307" s="173" t="s">
        <v>1237</v>
      </c>
      <c r="E307" s="173" t="s">
        <v>1232</v>
      </c>
      <c r="F307" s="173">
        <v>2</v>
      </c>
      <c r="G307" s="173" t="s">
        <v>81</v>
      </c>
      <c r="H307" s="173">
        <v>2</v>
      </c>
      <c r="I307" s="173" t="s">
        <v>1513</v>
      </c>
      <c r="J307" s="173" t="s">
        <v>27</v>
      </c>
      <c r="K307" s="173" t="s">
        <v>26</v>
      </c>
      <c r="L307" s="173"/>
      <c r="M307" s="173" t="s">
        <v>80</v>
      </c>
      <c r="N307" s="173">
        <v>890705577</v>
      </c>
      <c r="O307" s="175">
        <v>5789916</v>
      </c>
      <c r="P307" s="7"/>
      <c r="Q307" s="16">
        <f>+IF(IFERROR(VLOOKUP(Tabla3[[#This Row],[Cliente factura]],Tabla4[[NIT]:[TOTAL CREDITO]],3,FALSE),0)="",0,IFERROR(VLOOKUP(Tabla3[[#This Row],[Cliente factura]],Tabla4[[NIT]:[TOTAL CREDITO]],3,FALSE),0))</f>
        <v>281000000</v>
      </c>
      <c r="R307" s="9">
        <f>+IFERROR(VLOOKUP(Tabla3[[#This Row],[Cliente factura]],Tabla4[[NIT]:[TOTAL CREDITO]],6,FALSE),0)</f>
        <v>0</v>
      </c>
      <c r="S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7" s="10" t="str">
        <f>VLOOKUP(Tabla3[[#This Row],[Razón social cliente factura]]&amp;Tabla3[[#This Row],[Desc. ciudad]],'Estandar de Rutas'!$C$1:$E$553,2,FALSE)</f>
        <v>5.2</v>
      </c>
      <c r="U307" s="130">
        <f>IFERROR(VLOOKUP(Tabla3[[#This Row],[Referencia]]&amp;Tabla3[[#This Row],[Desc detalle ext 1]],Tabla1[[Referencia-Color]:[Disponibilidad]],3,FALSE),0)</f>
        <v>59</v>
      </c>
      <c r="V307" s="13"/>
      <c r="W307" s="17">
        <f>+Tabla3[[#This Row],[Cant. Programada]]*Tabla3[[#This Row],[Precio unit]]</f>
        <v>0</v>
      </c>
      <c r="X307" s="8"/>
      <c r="Y307" s="8"/>
      <c r="Z307" s="8" t="str">
        <f>+Tabla3[[#This Row],[Referencia]]&amp;Tabla3[[#This Row],[Desc detalle ext 1]]</f>
        <v>*XR 150L                                          NEGRO BLA</v>
      </c>
      <c r="AA307" s="128" t="e">
        <f>+VLOOKUP(Tabla3[[#This Row],[CODIGO2]],ESTANDAR!$B$3:$C$9,2,FALSE)</f>
        <v>#N/A</v>
      </c>
      <c r="AB307" s="128" t="str">
        <f>+MID(Tabla3[[#This Row],['# Viaje]],10,1)</f>
        <v/>
      </c>
    </row>
    <row r="308" spans="1:28" ht="15" hidden="1" customHeight="1">
      <c r="A308" s="173" t="s">
        <v>1512</v>
      </c>
      <c r="B308" s="174">
        <v>42948</v>
      </c>
      <c r="C308" s="173" t="s">
        <v>1231</v>
      </c>
      <c r="D308" s="173" t="s">
        <v>1237</v>
      </c>
      <c r="E308" s="173" t="s">
        <v>1232</v>
      </c>
      <c r="F308" s="173">
        <v>1</v>
      </c>
      <c r="G308" s="173" t="s">
        <v>81</v>
      </c>
      <c r="H308" s="173">
        <v>1</v>
      </c>
      <c r="I308" s="173" t="s">
        <v>1513</v>
      </c>
      <c r="J308" s="173" t="s">
        <v>10</v>
      </c>
      <c r="K308" s="173" t="s">
        <v>13</v>
      </c>
      <c r="L308" s="173"/>
      <c r="M308" s="173" t="s">
        <v>80</v>
      </c>
      <c r="N308" s="173">
        <v>890705577</v>
      </c>
      <c r="O308" s="175">
        <v>7554622</v>
      </c>
      <c r="P308" s="7"/>
      <c r="Q308" s="16">
        <f>+IF(IFERROR(VLOOKUP(Tabla3[[#This Row],[Cliente factura]],Tabla4[[NIT]:[TOTAL CREDITO]],3,FALSE),0)="",0,IFERROR(VLOOKUP(Tabla3[[#This Row],[Cliente factura]],Tabla4[[NIT]:[TOTAL CREDITO]],3,FALSE),0))</f>
        <v>281000000</v>
      </c>
      <c r="R308" s="9">
        <f>+IFERROR(VLOOKUP(Tabla3[[#This Row],[Cliente factura]],Tabla4[[NIT]:[TOTAL CREDITO]],6,FALSE),0)</f>
        <v>0</v>
      </c>
      <c r="S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8" s="10" t="str">
        <f>VLOOKUP(Tabla3[[#This Row],[Razón social cliente factura]]&amp;Tabla3[[#This Row],[Desc. ciudad]],'Estandar de Rutas'!$C$1:$E$553,2,FALSE)</f>
        <v>5.2</v>
      </c>
      <c r="U308" s="130">
        <f>IFERROR(VLOOKUP(Tabla3[[#This Row],[Referencia]]&amp;Tabla3[[#This Row],[Desc detalle ext 1]],Tabla1[[Referencia-Color]:[Disponibilidad]],3,FALSE),0)</f>
        <v>75</v>
      </c>
      <c r="V308" s="13"/>
      <c r="W308" s="17">
        <f>+Tabla3[[#This Row],[Cant. Programada]]*Tabla3[[#This Row],[Precio unit]]</f>
        <v>0</v>
      </c>
      <c r="X308" s="8"/>
      <c r="Y308" s="8"/>
      <c r="Z308" s="8" t="str">
        <f>+Tabla3[[#This Row],[Referencia]]&amp;Tabla3[[#This Row],[Desc detalle ext 1]]</f>
        <v>CB 190R                                           ROJO NEGR</v>
      </c>
      <c r="AA308" s="128" t="e">
        <f>+VLOOKUP(Tabla3[[#This Row],[CODIGO2]],ESTANDAR!$B$3:$C$9,2,FALSE)</f>
        <v>#N/A</v>
      </c>
      <c r="AB308" s="128" t="str">
        <f>+MID(Tabla3[[#This Row],['# Viaje]],10,1)</f>
        <v/>
      </c>
    </row>
    <row r="309" spans="1:28" ht="15" hidden="1" customHeight="1">
      <c r="A309" s="173" t="s">
        <v>1512</v>
      </c>
      <c r="B309" s="174">
        <v>42948</v>
      </c>
      <c r="C309" s="173" t="s">
        <v>1231</v>
      </c>
      <c r="D309" s="173" t="s">
        <v>1237</v>
      </c>
      <c r="E309" s="173" t="s">
        <v>1232</v>
      </c>
      <c r="F309" s="173">
        <v>1</v>
      </c>
      <c r="G309" s="173" t="s">
        <v>81</v>
      </c>
      <c r="H309" s="173">
        <v>1</v>
      </c>
      <c r="I309" s="173" t="s">
        <v>1513</v>
      </c>
      <c r="J309" s="173" t="s">
        <v>10</v>
      </c>
      <c r="K309" s="173" t="s">
        <v>11</v>
      </c>
      <c r="L309" s="173"/>
      <c r="M309" s="173" t="s">
        <v>80</v>
      </c>
      <c r="N309" s="173">
        <v>890705577</v>
      </c>
      <c r="O309" s="175">
        <v>7554622</v>
      </c>
      <c r="P309" s="7"/>
      <c r="Q309" s="16">
        <f>+IF(IFERROR(VLOOKUP(Tabla3[[#This Row],[Cliente factura]],Tabla4[[NIT]:[TOTAL CREDITO]],3,FALSE),0)="",0,IFERROR(VLOOKUP(Tabla3[[#This Row],[Cliente factura]],Tabla4[[NIT]:[TOTAL CREDITO]],3,FALSE),0))</f>
        <v>281000000</v>
      </c>
      <c r="R309" s="9">
        <f>+IFERROR(VLOOKUP(Tabla3[[#This Row],[Cliente factura]],Tabla4[[NIT]:[TOTAL CREDITO]],6,FALSE),0)</f>
        <v>0</v>
      </c>
      <c r="S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9" s="10" t="str">
        <f>VLOOKUP(Tabla3[[#This Row],[Razón social cliente factura]]&amp;Tabla3[[#This Row],[Desc. ciudad]],'Estandar de Rutas'!$C$1:$E$553,2,FALSE)</f>
        <v>5.2</v>
      </c>
      <c r="U309" s="130">
        <f>IFERROR(VLOOKUP(Tabla3[[#This Row],[Referencia]]&amp;Tabla3[[#This Row],[Desc detalle ext 1]],Tabla1[[Referencia-Color]:[Disponibilidad]],3,FALSE),0)</f>
        <v>0</v>
      </c>
      <c r="V309" s="13"/>
      <c r="W309" s="17">
        <f>+Tabla3[[#This Row],[Cant. Programada]]*Tabla3[[#This Row],[Precio unit]]</f>
        <v>0</v>
      </c>
      <c r="X309" s="8"/>
      <c r="Y309" s="8"/>
      <c r="Z309" s="8" t="str">
        <f>+Tabla3[[#This Row],[Referencia]]&amp;Tabla3[[#This Row],[Desc detalle ext 1]]</f>
        <v>CB 190R                                           NEGRO ONI</v>
      </c>
      <c r="AA309" s="128" t="e">
        <f>+VLOOKUP(Tabla3[[#This Row],[CODIGO2]],ESTANDAR!$B$3:$C$9,2,FALSE)</f>
        <v>#N/A</v>
      </c>
      <c r="AB309" s="128" t="str">
        <f>+MID(Tabla3[[#This Row],['# Viaje]],10,1)</f>
        <v/>
      </c>
    </row>
    <row r="310" spans="1:28" ht="15" hidden="1" customHeight="1">
      <c r="A310" s="173" t="s">
        <v>1512</v>
      </c>
      <c r="B310" s="174">
        <v>42948</v>
      </c>
      <c r="C310" s="173" t="s">
        <v>1231</v>
      </c>
      <c r="D310" s="173" t="s">
        <v>1237</v>
      </c>
      <c r="E310" s="173" t="s">
        <v>1232</v>
      </c>
      <c r="F310" s="173">
        <v>1</v>
      </c>
      <c r="G310" s="173" t="s">
        <v>81</v>
      </c>
      <c r="H310" s="173">
        <v>1</v>
      </c>
      <c r="I310" s="173" t="s">
        <v>1513</v>
      </c>
      <c r="J310" s="173" t="s">
        <v>25</v>
      </c>
      <c r="K310" s="173" t="s">
        <v>26</v>
      </c>
      <c r="L310" s="173"/>
      <c r="M310" s="173" t="s">
        <v>80</v>
      </c>
      <c r="N310" s="173">
        <v>890705577</v>
      </c>
      <c r="O310" s="175">
        <v>3521008</v>
      </c>
      <c r="P310" s="7"/>
      <c r="Q310" s="16">
        <f>+IF(IFERROR(VLOOKUP(Tabla3[[#This Row],[Cliente factura]],Tabla4[[NIT]:[TOTAL CREDITO]],3,FALSE),0)="",0,IFERROR(VLOOKUP(Tabla3[[#This Row],[Cliente factura]],Tabla4[[NIT]:[TOTAL CREDITO]],3,FALSE),0))</f>
        <v>281000000</v>
      </c>
      <c r="R310" s="9">
        <f>+IFERROR(VLOOKUP(Tabla3[[#This Row],[Cliente factura]],Tabla4[[NIT]:[TOTAL CREDITO]],6,FALSE),0)</f>
        <v>0</v>
      </c>
      <c r="S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0" s="10" t="str">
        <f>VLOOKUP(Tabla3[[#This Row],[Razón social cliente factura]]&amp;Tabla3[[#This Row],[Desc. ciudad]],'Estandar de Rutas'!$C$1:$E$553,2,FALSE)</f>
        <v>5.2</v>
      </c>
      <c r="U310" s="130">
        <f>IFERROR(VLOOKUP(Tabla3[[#This Row],[Referencia]]&amp;Tabla3[[#This Row],[Desc detalle ext 1]],Tabla1[[Referencia-Color]:[Disponibilidad]],3,FALSE),0)</f>
        <v>15</v>
      </c>
      <c r="V310" s="13"/>
      <c r="W310" s="17">
        <f>+Tabla3[[#This Row],[Cant. Programada]]*Tabla3[[#This Row],[Precio unit]]</f>
        <v>0</v>
      </c>
      <c r="X310" s="130"/>
      <c r="Y310" s="8"/>
      <c r="Z310" s="8" t="str">
        <f>+Tabla3[[#This Row],[Referencia]]&amp;Tabla3[[#This Row],[Desc detalle ext 1]]</f>
        <v>DIO 110                                           NEGRO BLA</v>
      </c>
      <c r="AA310" s="128" t="e">
        <f>+VLOOKUP(Tabla3[[#This Row],[CODIGO2]],ESTANDAR!$B$3:$C$9,2,FALSE)</f>
        <v>#N/A</v>
      </c>
      <c r="AB310" s="128" t="str">
        <f>+MID(Tabla3[[#This Row],['# Viaje]],10,1)</f>
        <v/>
      </c>
    </row>
    <row r="311" spans="1:28" ht="15" hidden="1" customHeight="1">
      <c r="A311" s="173" t="s">
        <v>1512</v>
      </c>
      <c r="B311" s="174">
        <v>42948</v>
      </c>
      <c r="C311" s="173" t="s">
        <v>1231</v>
      </c>
      <c r="D311" s="173" t="s">
        <v>1237</v>
      </c>
      <c r="E311" s="173" t="s">
        <v>1232</v>
      </c>
      <c r="F311" s="173">
        <v>1</v>
      </c>
      <c r="G311" s="173" t="s">
        <v>81</v>
      </c>
      <c r="H311" s="173">
        <v>1</v>
      </c>
      <c r="I311" s="173" t="s">
        <v>1513</v>
      </c>
      <c r="J311" s="173" t="s">
        <v>25</v>
      </c>
      <c r="K311" s="173" t="s">
        <v>31</v>
      </c>
      <c r="L311" s="173"/>
      <c r="M311" s="173" t="s">
        <v>80</v>
      </c>
      <c r="N311" s="173">
        <v>890705577</v>
      </c>
      <c r="O311" s="175">
        <v>3521008</v>
      </c>
      <c r="P311" s="7"/>
      <c r="Q311" s="16">
        <f>+IF(IFERROR(VLOOKUP(Tabla3[[#This Row],[Cliente factura]],Tabla4[[NIT]:[TOTAL CREDITO]],3,FALSE),0)="",0,IFERROR(VLOOKUP(Tabla3[[#This Row],[Cliente factura]],Tabla4[[NIT]:[TOTAL CREDITO]],3,FALSE),0))</f>
        <v>281000000</v>
      </c>
      <c r="R311" s="9">
        <f>+IFERROR(VLOOKUP(Tabla3[[#This Row],[Cliente factura]],Tabla4[[NIT]:[TOTAL CREDITO]],6,FALSE),0)</f>
        <v>0</v>
      </c>
      <c r="S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1" s="10" t="str">
        <f>VLOOKUP(Tabla3[[#This Row],[Razón social cliente factura]]&amp;Tabla3[[#This Row],[Desc. ciudad]],'Estandar de Rutas'!$C$1:$E$553,2,FALSE)</f>
        <v>5.2</v>
      </c>
      <c r="U311" s="130">
        <f>IFERROR(VLOOKUP(Tabla3[[#This Row],[Referencia]]&amp;Tabla3[[#This Row],[Desc detalle ext 1]],Tabla1[[Referencia-Color]:[Disponibilidad]],3,FALSE),0)</f>
        <v>8</v>
      </c>
      <c r="V311" s="13"/>
      <c r="W311" s="17">
        <f>+Tabla3[[#This Row],[Cant. Programada]]*Tabla3[[#This Row],[Precio unit]]</f>
        <v>0</v>
      </c>
      <c r="X311" s="8"/>
      <c r="Y311" s="8"/>
      <c r="Z311" s="8" t="str">
        <f>+Tabla3[[#This Row],[Referencia]]&amp;Tabla3[[#This Row],[Desc detalle ext 1]]</f>
        <v>DIO 110                                           AZUL BLAN</v>
      </c>
      <c r="AA311" s="128" t="e">
        <f>+VLOOKUP(Tabla3[[#This Row],[CODIGO2]],ESTANDAR!$B$3:$C$9,2,FALSE)</f>
        <v>#N/A</v>
      </c>
      <c r="AB311" s="128" t="str">
        <f>+MID(Tabla3[[#This Row],['# Viaje]],10,1)</f>
        <v/>
      </c>
    </row>
    <row r="312" spans="1:28" ht="15" hidden="1" customHeight="1">
      <c r="A312" s="173" t="s">
        <v>1512</v>
      </c>
      <c r="B312" s="174">
        <v>42948</v>
      </c>
      <c r="C312" s="173" t="s">
        <v>1231</v>
      </c>
      <c r="D312" s="173" t="s">
        <v>1237</v>
      </c>
      <c r="E312" s="173" t="s">
        <v>1232</v>
      </c>
      <c r="F312" s="173">
        <v>1</v>
      </c>
      <c r="G312" s="173" t="s">
        <v>81</v>
      </c>
      <c r="H312" s="173">
        <v>1</v>
      </c>
      <c r="I312" s="173" t="s">
        <v>1513</v>
      </c>
      <c r="J312" s="173" t="s">
        <v>25</v>
      </c>
      <c r="K312" s="173" t="s">
        <v>1422</v>
      </c>
      <c r="L312" s="173"/>
      <c r="M312" s="173" t="s">
        <v>80</v>
      </c>
      <c r="N312" s="173">
        <v>890705577</v>
      </c>
      <c r="O312" s="175">
        <v>3521008</v>
      </c>
      <c r="P312" s="7"/>
      <c r="Q312" s="16">
        <f>+IF(IFERROR(VLOOKUP(Tabla3[[#This Row],[Cliente factura]],Tabla4[[NIT]:[TOTAL CREDITO]],3,FALSE),0)="",0,IFERROR(VLOOKUP(Tabla3[[#This Row],[Cliente factura]],Tabla4[[NIT]:[TOTAL CREDITO]],3,FALSE),0))</f>
        <v>281000000</v>
      </c>
      <c r="R312" s="9">
        <f>+IFERROR(VLOOKUP(Tabla3[[#This Row],[Cliente factura]],Tabla4[[NIT]:[TOTAL CREDITO]],6,FALSE),0)</f>
        <v>0</v>
      </c>
      <c r="S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2" s="10" t="str">
        <f>VLOOKUP(Tabla3[[#This Row],[Razón social cliente factura]]&amp;Tabla3[[#This Row],[Desc. ciudad]],'Estandar de Rutas'!$C$1:$E$553,2,FALSE)</f>
        <v>5.2</v>
      </c>
      <c r="U312" s="130">
        <f>IFERROR(VLOOKUP(Tabla3[[#This Row],[Referencia]]&amp;Tabla3[[#This Row],[Desc detalle ext 1]],Tabla1[[Referencia-Color]:[Disponibilidad]],3,FALSE),0)</f>
        <v>3</v>
      </c>
      <c r="V312" s="13"/>
      <c r="W312" s="17">
        <f>+Tabla3[[#This Row],[Cant. Programada]]*Tabla3[[#This Row],[Precio unit]]</f>
        <v>0</v>
      </c>
      <c r="X312" s="130"/>
      <c r="Y312" s="8"/>
      <c r="Z312" s="8" t="str">
        <f>+Tabla3[[#This Row],[Referencia]]&amp;Tabla3[[#This Row],[Desc detalle ext 1]]</f>
        <v>DIO 110                                           ROJO BLAN</v>
      </c>
      <c r="AA312" s="128" t="e">
        <f>+VLOOKUP(Tabla3[[#This Row],[CODIGO2]],ESTANDAR!$B$3:$C$9,2,FALSE)</f>
        <v>#N/A</v>
      </c>
      <c r="AB312" s="128" t="str">
        <f>+MID(Tabla3[[#This Row],['# Viaje]],10,1)</f>
        <v/>
      </c>
    </row>
    <row r="313" spans="1:28" ht="15" hidden="1" customHeight="1">
      <c r="A313" s="173" t="s">
        <v>1512</v>
      </c>
      <c r="B313" s="174">
        <v>42948</v>
      </c>
      <c r="C313" s="173" t="s">
        <v>1231</v>
      </c>
      <c r="D313" s="173" t="s">
        <v>1237</v>
      </c>
      <c r="E313" s="173" t="s">
        <v>1232</v>
      </c>
      <c r="F313" s="173">
        <v>2</v>
      </c>
      <c r="G313" s="173" t="s">
        <v>81</v>
      </c>
      <c r="H313" s="173">
        <v>2</v>
      </c>
      <c r="I313" s="173" t="s">
        <v>1513</v>
      </c>
      <c r="J313" s="173" t="s">
        <v>1430</v>
      </c>
      <c r="K313" s="173" t="s">
        <v>1431</v>
      </c>
      <c r="L313" s="173"/>
      <c r="M313" s="173" t="s">
        <v>80</v>
      </c>
      <c r="N313" s="173">
        <v>890705577</v>
      </c>
      <c r="O313" s="175">
        <v>3941176</v>
      </c>
      <c r="P313" s="7"/>
      <c r="Q313" s="16">
        <f>+IF(IFERROR(VLOOKUP(Tabla3[[#This Row],[Cliente factura]],Tabla4[[NIT]:[TOTAL CREDITO]],3,FALSE),0)="",0,IFERROR(VLOOKUP(Tabla3[[#This Row],[Cliente factura]],Tabla4[[NIT]:[TOTAL CREDITO]],3,FALSE),0))</f>
        <v>281000000</v>
      </c>
      <c r="R313" s="9">
        <f>+IFERROR(VLOOKUP(Tabla3[[#This Row],[Cliente factura]],Tabla4[[NIT]:[TOTAL CREDITO]],6,FALSE),0)</f>
        <v>0</v>
      </c>
      <c r="S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3" s="10" t="str">
        <f>VLOOKUP(Tabla3[[#This Row],[Razón social cliente factura]]&amp;Tabla3[[#This Row],[Desc. ciudad]],'Estandar de Rutas'!$C$1:$E$553,2,FALSE)</f>
        <v>5.2</v>
      </c>
      <c r="U313" s="130">
        <f>IFERROR(VLOOKUP(Tabla3[[#This Row],[Referencia]]&amp;Tabla3[[#This Row],[Desc detalle ext 1]],Tabla1[[Referencia-Color]:[Disponibilidad]],3,FALSE),0)</f>
        <v>0</v>
      </c>
      <c r="V313" s="13"/>
      <c r="W313" s="17">
        <f>+Tabla3[[#This Row],[Cant. Programada]]*Tabla3[[#This Row],[Precio unit]]</f>
        <v>0</v>
      </c>
      <c r="X313" s="130"/>
      <c r="Y313" s="129"/>
      <c r="Z313" s="8" t="str">
        <f>+Tabla3[[#This Row],[Referencia]]&amp;Tabla3[[#This Row],[Desc detalle ext 1]]</f>
        <v xml:space="preserve">WAVE 110S                                         ROJO     </v>
      </c>
      <c r="AA313" s="128" t="e">
        <f>+VLOOKUP(Tabla3[[#This Row],[CODIGO2]],ESTANDAR!$B$3:$C$9,2,FALSE)</f>
        <v>#N/A</v>
      </c>
      <c r="AB313" s="128" t="str">
        <f>+MID(Tabla3[[#This Row],['# Viaje]],10,1)</f>
        <v/>
      </c>
    </row>
    <row r="314" spans="1:28" ht="15" hidden="1" customHeight="1">
      <c r="A314" s="173" t="s">
        <v>1512</v>
      </c>
      <c r="B314" s="174">
        <v>42948</v>
      </c>
      <c r="C314" s="173" t="s">
        <v>1231</v>
      </c>
      <c r="D314" s="173" t="s">
        <v>1237</v>
      </c>
      <c r="E314" s="173" t="s">
        <v>1232</v>
      </c>
      <c r="F314" s="173">
        <v>2</v>
      </c>
      <c r="G314" s="173" t="s">
        <v>81</v>
      </c>
      <c r="H314" s="173">
        <v>2</v>
      </c>
      <c r="I314" s="173" t="s">
        <v>1513</v>
      </c>
      <c r="J314" s="173" t="s">
        <v>1234</v>
      </c>
      <c r="K314" s="173" t="s">
        <v>17</v>
      </c>
      <c r="L314" s="173"/>
      <c r="M314" s="173" t="s">
        <v>80</v>
      </c>
      <c r="N314" s="173">
        <v>890705577</v>
      </c>
      <c r="O314" s="175">
        <v>5453782</v>
      </c>
      <c r="P314" s="7"/>
      <c r="Q314" s="16">
        <f>+IF(IFERROR(VLOOKUP(Tabla3[[#This Row],[Cliente factura]],Tabla4[[NIT]:[TOTAL CREDITO]],3,FALSE),0)="",0,IFERROR(VLOOKUP(Tabla3[[#This Row],[Cliente factura]],Tabla4[[NIT]:[TOTAL CREDITO]],3,FALSE),0))</f>
        <v>281000000</v>
      </c>
      <c r="R314" s="9">
        <f>+IFERROR(VLOOKUP(Tabla3[[#This Row],[Cliente factura]],Tabla4[[NIT]:[TOTAL CREDITO]],6,FALSE),0)</f>
        <v>0</v>
      </c>
      <c r="S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4" s="10" t="str">
        <f>VLOOKUP(Tabla3[[#This Row],[Razón social cliente factura]]&amp;Tabla3[[#This Row],[Desc. ciudad]],'Estandar de Rutas'!$C$1:$E$553,2,FALSE)</f>
        <v>5.2</v>
      </c>
      <c r="U314" s="130">
        <f>IFERROR(VLOOKUP(Tabla3[[#This Row],[Referencia]]&amp;Tabla3[[#This Row],[Desc detalle ext 1]],Tabla1[[Referencia-Color]:[Disponibilidad]],3,FALSE),0)</f>
        <v>0</v>
      </c>
      <c r="V314" s="13"/>
      <c r="W314" s="17">
        <f>+Tabla3[[#This Row],[Cant. Programada]]*Tabla3[[#This Row],[Precio unit]]</f>
        <v>0</v>
      </c>
      <c r="X314" s="130"/>
      <c r="Y314" s="129"/>
      <c r="Z314" s="8" t="str">
        <f>+Tabla3[[#This Row],[Referencia]]&amp;Tabla3[[#This Row],[Desc detalle ext 1]]</f>
        <v>CB 160F STD                                       ROJO SPOR</v>
      </c>
      <c r="AA314" s="128" t="e">
        <f>+VLOOKUP(Tabla3[[#This Row],[CODIGO2]],ESTANDAR!$B$3:$C$9,2,FALSE)</f>
        <v>#N/A</v>
      </c>
      <c r="AB314" s="128" t="str">
        <f>+MID(Tabla3[[#This Row],['# Viaje]],10,1)</f>
        <v/>
      </c>
    </row>
    <row r="315" spans="1:28" ht="15" hidden="1" customHeight="1">
      <c r="A315" s="173" t="s">
        <v>1512</v>
      </c>
      <c r="B315" s="174">
        <v>42948</v>
      </c>
      <c r="C315" s="173" t="s">
        <v>1231</v>
      </c>
      <c r="D315" s="173" t="s">
        <v>1237</v>
      </c>
      <c r="E315" s="173" t="s">
        <v>1232</v>
      </c>
      <c r="F315" s="173">
        <v>2</v>
      </c>
      <c r="G315" s="173" t="s">
        <v>81</v>
      </c>
      <c r="H315" s="173">
        <v>2</v>
      </c>
      <c r="I315" s="173" t="s">
        <v>1513</v>
      </c>
      <c r="J315" s="173" t="s">
        <v>1234</v>
      </c>
      <c r="K315" s="173" t="s">
        <v>355</v>
      </c>
      <c r="L315" s="173"/>
      <c r="M315" s="173" t="s">
        <v>80</v>
      </c>
      <c r="N315" s="173">
        <v>890705577</v>
      </c>
      <c r="O315" s="175">
        <v>5453782</v>
      </c>
      <c r="P315" s="7"/>
      <c r="Q315" s="16">
        <f>+IF(IFERROR(VLOOKUP(Tabla3[[#This Row],[Cliente factura]],Tabla4[[NIT]:[TOTAL CREDITO]],3,FALSE),0)="",0,IFERROR(VLOOKUP(Tabla3[[#This Row],[Cliente factura]],Tabla4[[NIT]:[TOTAL CREDITO]],3,FALSE),0))</f>
        <v>281000000</v>
      </c>
      <c r="R315" s="9">
        <f>+IFERROR(VLOOKUP(Tabla3[[#This Row],[Cliente factura]],Tabla4[[NIT]:[TOTAL CREDITO]],6,FALSE),0)</f>
        <v>0</v>
      </c>
      <c r="S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5" s="10" t="str">
        <f>VLOOKUP(Tabla3[[#This Row],[Razón social cliente factura]]&amp;Tabla3[[#This Row],[Desc. ciudad]],'Estandar de Rutas'!$C$1:$E$553,2,FALSE)</f>
        <v>5.2</v>
      </c>
      <c r="U315" s="130">
        <f>IFERROR(VLOOKUP(Tabla3[[#This Row],[Referencia]]&amp;Tabla3[[#This Row],[Desc detalle ext 1]],Tabla1[[Referencia-Color]:[Disponibilidad]],3,FALSE),0)</f>
        <v>0</v>
      </c>
      <c r="V315" s="13"/>
      <c r="W315" s="17">
        <f>+Tabla3[[#This Row],[Cant. Programada]]*Tabla3[[#This Row],[Precio unit]]</f>
        <v>0</v>
      </c>
      <c r="X315" s="130"/>
      <c r="Y315" s="129"/>
      <c r="Z315" s="8" t="str">
        <f>+Tabla3[[#This Row],[Referencia]]&amp;Tabla3[[#This Row],[Desc detalle ext 1]]</f>
        <v>CB 160F STD                                       NEGRO PER</v>
      </c>
      <c r="AA315" s="128" t="e">
        <f>+VLOOKUP(Tabla3[[#This Row],[CODIGO2]],ESTANDAR!$B$3:$C$9,2,FALSE)</f>
        <v>#N/A</v>
      </c>
      <c r="AB315" s="128" t="str">
        <f>+MID(Tabla3[[#This Row],['# Viaje]],10,1)</f>
        <v/>
      </c>
    </row>
    <row r="316" spans="1:28" ht="15" hidden="1" customHeight="1">
      <c r="A316" s="173" t="s">
        <v>1512</v>
      </c>
      <c r="B316" s="174">
        <v>42948</v>
      </c>
      <c r="C316" s="173" t="s">
        <v>1231</v>
      </c>
      <c r="D316" s="173" t="s">
        <v>1237</v>
      </c>
      <c r="E316" s="173" t="s">
        <v>1232</v>
      </c>
      <c r="F316" s="173">
        <v>2</v>
      </c>
      <c r="G316" s="173" t="s">
        <v>81</v>
      </c>
      <c r="H316" s="173">
        <v>2</v>
      </c>
      <c r="I316" s="173" t="s">
        <v>1513</v>
      </c>
      <c r="J316" s="173" t="s">
        <v>1451</v>
      </c>
      <c r="K316" s="173" t="s">
        <v>1449</v>
      </c>
      <c r="L316" s="173"/>
      <c r="M316" s="173" t="s">
        <v>80</v>
      </c>
      <c r="N316" s="173">
        <v>890705577</v>
      </c>
      <c r="O316" s="175">
        <v>3696639</v>
      </c>
      <c r="P316" s="7"/>
      <c r="Q316" s="16">
        <f>+IF(IFERROR(VLOOKUP(Tabla3[[#This Row],[Cliente factura]],Tabla4[[NIT]:[TOTAL CREDITO]],3,FALSE),0)="",0,IFERROR(VLOOKUP(Tabla3[[#This Row],[Cliente factura]],Tabla4[[NIT]:[TOTAL CREDITO]],3,FALSE),0))</f>
        <v>281000000</v>
      </c>
      <c r="R316" s="9">
        <f>+IFERROR(VLOOKUP(Tabla3[[#This Row],[Cliente factura]],Tabla4[[NIT]:[TOTAL CREDITO]],6,FALSE),0)</f>
        <v>0</v>
      </c>
      <c r="S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6" s="10" t="str">
        <f>VLOOKUP(Tabla3[[#This Row],[Razón social cliente factura]]&amp;Tabla3[[#This Row],[Desc. ciudad]],'Estandar de Rutas'!$C$1:$E$553,2,FALSE)</f>
        <v>5.2</v>
      </c>
      <c r="U316" s="130">
        <f>IFERROR(VLOOKUP(Tabla3[[#This Row],[Referencia]]&amp;Tabla3[[#This Row],[Desc detalle ext 1]],Tabla1[[Referencia-Color]:[Disponibilidad]],3,FALSE),0)</f>
        <v>24</v>
      </c>
      <c r="V316" s="13"/>
      <c r="W316" s="17">
        <f>+Tabla3[[#This Row],[Cant. Programada]]*Tabla3[[#This Row],[Precio unit]]</f>
        <v>0</v>
      </c>
      <c r="X316" s="8"/>
      <c r="Y316" s="8"/>
      <c r="Z316" s="8" t="str">
        <f>+Tabla3[[#This Row],[Referencia]]&amp;Tabla3[[#This Row],[Desc detalle ext 1]]</f>
        <v xml:space="preserve">CB 110 DLX                                        GRIS     </v>
      </c>
      <c r="AA316" s="128" t="e">
        <f>+VLOOKUP(Tabla3[[#This Row],[CODIGO2]],ESTANDAR!$B$3:$C$9,2,FALSE)</f>
        <v>#N/A</v>
      </c>
      <c r="AB316" s="128" t="str">
        <f>+MID(Tabla3[[#This Row],['# Viaje]],10,1)</f>
        <v/>
      </c>
    </row>
    <row r="317" spans="1:28" ht="15" hidden="1" customHeight="1">
      <c r="A317" s="173" t="s">
        <v>1512</v>
      </c>
      <c r="B317" s="174">
        <v>42948</v>
      </c>
      <c r="C317" s="173" t="s">
        <v>1231</v>
      </c>
      <c r="D317" s="173" t="s">
        <v>1237</v>
      </c>
      <c r="E317" s="173" t="s">
        <v>1232</v>
      </c>
      <c r="F317" s="173">
        <v>5</v>
      </c>
      <c r="G317" s="173" t="s">
        <v>81</v>
      </c>
      <c r="H317" s="173">
        <v>5</v>
      </c>
      <c r="I317" s="173" t="s">
        <v>1513</v>
      </c>
      <c r="J317" s="173" t="s">
        <v>1451</v>
      </c>
      <c r="K317" s="173" t="s">
        <v>1452</v>
      </c>
      <c r="L317" s="173"/>
      <c r="M317" s="173" t="s">
        <v>80</v>
      </c>
      <c r="N317" s="173">
        <v>890705577</v>
      </c>
      <c r="O317" s="175">
        <v>3696639</v>
      </c>
      <c r="P317" s="7"/>
      <c r="Q317" s="16">
        <f>+IF(IFERROR(VLOOKUP(Tabla3[[#This Row],[Cliente factura]],Tabla4[[NIT]:[TOTAL CREDITO]],3,FALSE),0)="",0,IFERROR(VLOOKUP(Tabla3[[#This Row],[Cliente factura]],Tabla4[[NIT]:[TOTAL CREDITO]],3,FALSE),0))</f>
        <v>281000000</v>
      </c>
      <c r="R317" s="9">
        <f>+IFERROR(VLOOKUP(Tabla3[[#This Row],[Cliente factura]],Tabla4[[NIT]:[TOTAL CREDITO]],6,FALSE),0)</f>
        <v>0</v>
      </c>
      <c r="S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7" s="10" t="str">
        <f>VLOOKUP(Tabla3[[#This Row],[Razón social cliente factura]]&amp;Tabla3[[#This Row],[Desc. ciudad]],'Estandar de Rutas'!$C$1:$E$553,2,FALSE)</f>
        <v>5.2</v>
      </c>
      <c r="U317" s="130">
        <f>IFERROR(VLOOKUP(Tabla3[[#This Row],[Referencia]]&amp;Tabla3[[#This Row],[Desc detalle ext 1]],Tabla1[[Referencia-Color]:[Disponibilidad]],3,FALSE),0)</f>
        <v>21</v>
      </c>
      <c r="V317" s="13"/>
      <c r="W317" s="17">
        <f>+Tabla3[[#This Row],[Cant. Programada]]*Tabla3[[#This Row],[Precio unit]]</f>
        <v>0</v>
      </c>
      <c r="X317" s="8"/>
      <c r="Y317" s="8"/>
      <c r="Z317" s="8" t="str">
        <f>+Tabla3[[#This Row],[Referencia]]&amp;Tabla3[[#This Row],[Desc detalle ext 1]]</f>
        <v xml:space="preserve">CB 110 DLX                                        AZUL     </v>
      </c>
      <c r="AA317" s="128" t="e">
        <f>+VLOOKUP(Tabla3[[#This Row],[CODIGO2]],ESTANDAR!$B$3:$C$9,2,FALSE)</f>
        <v>#N/A</v>
      </c>
      <c r="AB317" s="128" t="str">
        <f>+MID(Tabla3[[#This Row],['# Viaje]],10,1)</f>
        <v/>
      </c>
    </row>
    <row r="318" spans="1:28" ht="15" hidden="1" customHeight="1">
      <c r="A318" s="173" t="s">
        <v>1512</v>
      </c>
      <c r="B318" s="174">
        <v>42948</v>
      </c>
      <c r="C318" s="173" t="s">
        <v>1231</v>
      </c>
      <c r="D318" s="173" t="s">
        <v>1237</v>
      </c>
      <c r="E318" s="173" t="s">
        <v>1232</v>
      </c>
      <c r="F318" s="173">
        <v>10</v>
      </c>
      <c r="G318" s="173" t="s">
        <v>81</v>
      </c>
      <c r="H318" s="173">
        <v>10</v>
      </c>
      <c r="I318" s="173" t="s">
        <v>1513</v>
      </c>
      <c r="J318" s="173" t="s">
        <v>1451</v>
      </c>
      <c r="K318" s="173" t="s">
        <v>16</v>
      </c>
      <c r="L318" s="173"/>
      <c r="M318" s="173" t="s">
        <v>80</v>
      </c>
      <c r="N318" s="173">
        <v>890705577</v>
      </c>
      <c r="O318" s="175">
        <v>3696639</v>
      </c>
      <c r="P318" s="7"/>
      <c r="Q318" s="16">
        <f>+IF(IFERROR(VLOOKUP(Tabla3[[#This Row],[Cliente factura]],Tabla4[[NIT]:[TOTAL CREDITO]],3,FALSE),0)="",0,IFERROR(VLOOKUP(Tabla3[[#This Row],[Cliente factura]],Tabla4[[NIT]:[TOTAL CREDITO]],3,FALSE),0))</f>
        <v>281000000</v>
      </c>
      <c r="R318" s="9">
        <f>+IFERROR(VLOOKUP(Tabla3[[#This Row],[Cliente factura]],Tabla4[[NIT]:[TOTAL CREDITO]],6,FALSE),0)</f>
        <v>0</v>
      </c>
      <c r="S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8" s="10" t="str">
        <f>VLOOKUP(Tabla3[[#This Row],[Razón social cliente factura]]&amp;Tabla3[[#This Row],[Desc. ciudad]],'Estandar de Rutas'!$C$1:$E$553,2,FALSE)</f>
        <v>5.2</v>
      </c>
      <c r="U318" s="130">
        <f>IFERROR(VLOOKUP(Tabla3[[#This Row],[Referencia]]&amp;Tabla3[[#This Row],[Desc detalle ext 1]],Tabla1[[Referencia-Color]:[Disponibilidad]],3,FALSE),0)</f>
        <v>3</v>
      </c>
      <c r="V318" s="13"/>
      <c r="W318" s="17">
        <f>+Tabla3[[#This Row],[Cant. Programada]]*Tabla3[[#This Row],[Precio unit]]</f>
        <v>0</v>
      </c>
      <c r="X318" s="8"/>
      <c r="Y318" s="8"/>
      <c r="Z318" s="8" t="str">
        <f>+Tabla3[[#This Row],[Referencia]]&amp;Tabla3[[#This Row],[Desc detalle ext 1]]</f>
        <v xml:space="preserve">CB 110 DLX                                        NEGRO    </v>
      </c>
      <c r="AA318" s="128" t="e">
        <f>+VLOOKUP(Tabla3[[#This Row],[CODIGO2]],ESTANDAR!$B$3:$C$9,2,FALSE)</f>
        <v>#N/A</v>
      </c>
      <c r="AB318" s="128" t="str">
        <f>+MID(Tabla3[[#This Row],['# Viaje]],10,1)</f>
        <v/>
      </c>
    </row>
    <row r="319" spans="1:28" ht="15" hidden="1" customHeight="1">
      <c r="A319" s="173" t="s">
        <v>1514</v>
      </c>
      <c r="B319" s="174">
        <v>42948</v>
      </c>
      <c r="C319" s="173" t="s">
        <v>1231</v>
      </c>
      <c r="D319" s="173" t="s">
        <v>1237</v>
      </c>
      <c r="E319" s="173" t="s">
        <v>1232</v>
      </c>
      <c r="F319" s="173">
        <v>7</v>
      </c>
      <c r="G319" s="173" t="s">
        <v>81</v>
      </c>
      <c r="H319" s="173">
        <v>7</v>
      </c>
      <c r="I319" s="173" t="s">
        <v>1515</v>
      </c>
      <c r="J319" s="173" t="s">
        <v>14</v>
      </c>
      <c r="K319" s="173" t="s">
        <v>17</v>
      </c>
      <c r="L319" s="173"/>
      <c r="M319" s="173" t="s">
        <v>84</v>
      </c>
      <c r="N319" s="173">
        <v>890705577</v>
      </c>
      <c r="O319" s="175">
        <v>3360504</v>
      </c>
      <c r="P319" s="7"/>
      <c r="Q319" s="16">
        <f>+IF(IFERROR(VLOOKUP(Tabla3[[#This Row],[Cliente factura]],Tabla4[[NIT]:[TOTAL CREDITO]],3,FALSE),0)="",0,IFERROR(VLOOKUP(Tabla3[[#This Row],[Cliente factura]],Tabla4[[NIT]:[TOTAL CREDITO]],3,FALSE),0))</f>
        <v>281000000</v>
      </c>
      <c r="R319" s="9">
        <f>+IFERROR(VLOOKUP(Tabla3[[#This Row],[Cliente factura]],Tabla4[[NIT]:[TOTAL CREDITO]],6,FALSE),0)</f>
        <v>0</v>
      </c>
      <c r="S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9" s="10" t="str">
        <f>VLOOKUP(Tabla3[[#This Row],[Razón social cliente factura]]&amp;Tabla3[[#This Row],[Desc. ciudad]],'Estandar de Rutas'!$C$1:$E$553,2,FALSE)</f>
        <v>5.2.A</v>
      </c>
      <c r="U319" s="130">
        <f>IFERROR(VLOOKUP(Tabla3[[#This Row],[Referencia]]&amp;Tabla3[[#This Row],[Desc detalle ext 1]],Tabla1[[Referencia-Color]:[Disponibilidad]],3,FALSE),0)</f>
        <v>38</v>
      </c>
      <c r="V319" s="13"/>
      <c r="W319" s="17">
        <f>+Tabla3[[#This Row],[Cant. Programada]]*Tabla3[[#This Row],[Precio unit]]</f>
        <v>0</v>
      </c>
      <c r="X319" s="130"/>
      <c r="Y319" s="8"/>
      <c r="Z319" s="8" t="str">
        <f>+Tabla3[[#This Row],[Referencia]]&amp;Tabla3[[#This Row],[Desc detalle ext 1]]</f>
        <v>*CB-110                                           ROJO SPOR</v>
      </c>
      <c r="AA319" s="128" t="e">
        <f>+VLOOKUP(Tabla3[[#This Row],[CODIGO2]],ESTANDAR!$B$3:$C$9,2,FALSE)</f>
        <v>#N/A</v>
      </c>
      <c r="AB319" s="128" t="str">
        <f>+MID(Tabla3[[#This Row],['# Viaje]],10,1)</f>
        <v/>
      </c>
    </row>
    <row r="320" spans="1:28" ht="15" hidden="1" customHeight="1">
      <c r="A320" s="173" t="s">
        <v>1514</v>
      </c>
      <c r="B320" s="174">
        <v>42948</v>
      </c>
      <c r="C320" s="173" t="s">
        <v>1231</v>
      </c>
      <c r="D320" s="173" t="s">
        <v>1237</v>
      </c>
      <c r="E320" s="173" t="s">
        <v>1232</v>
      </c>
      <c r="F320" s="173">
        <v>5</v>
      </c>
      <c r="G320" s="173" t="s">
        <v>81</v>
      </c>
      <c r="H320" s="173">
        <v>5</v>
      </c>
      <c r="I320" s="173" t="s">
        <v>1515</v>
      </c>
      <c r="J320" s="173" t="s">
        <v>14</v>
      </c>
      <c r="K320" s="173" t="s">
        <v>15</v>
      </c>
      <c r="L320" s="173"/>
      <c r="M320" s="173" t="s">
        <v>84</v>
      </c>
      <c r="N320" s="173">
        <v>890705577</v>
      </c>
      <c r="O320" s="175">
        <v>3360504</v>
      </c>
      <c r="P320" s="7"/>
      <c r="Q320" s="16">
        <f>+IF(IFERROR(VLOOKUP(Tabla3[[#This Row],[Cliente factura]],Tabla4[[NIT]:[TOTAL CREDITO]],3,FALSE),0)="",0,IFERROR(VLOOKUP(Tabla3[[#This Row],[Cliente factura]],Tabla4[[NIT]:[TOTAL CREDITO]],3,FALSE),0))</f>
        <v>281000000</v>
      </c>
      <c r="R320" s="9">
        <f>+IFERROR(VLOOKUP(Tabla3[[#This Row],[Cliente factura]],Tabla4[[NIT]:[TOTAL CREDITO]],6,FALSE),0)</f>
        <v>0</v>
      </c>
      <c r="S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0" s="10" t="str">
        <f>VLOOKUP(Tabla3[[#This Row],[Razón social cliente factura]]&amp;Tabla3[[#This Row],[Desc. ciudad]],'Estandar de Rutas'!$C$1:$E$553,2,FALSE)</f>
        <v>5.2.A</v>
      </c>
      <c r="U320" s="130">
        <f>IFERROR(VLOOKUP(Tabla3[[#This Row],[Referencia]]&amp;Tabla3[[#This Row],[Desc detalle ext 1]],Tabla1[[Referencia-Color]:[Disponibilidad]],3,FALSE),0)</f>
        <v>99</v>
      </c>
      <c r="V320" s="13"/>
      <c r="W320" s="17">
        <f>+Tabla3[[#This Row],[Cant. Programada]]*Tabla3[[#This Row],[Precio unit]]</f>
        <v>0</v>
      </c>
      <c r="X320" s="129"/>
      <c r="Y320" s="8"/>
      <c r="Z320" s="8" t="str">
        <f>+Tabla3[[#This Row],[Referencia]]&amp;Tabla3[[#This Row],[Desc detalle ext 1]]</f>
        <v>*CB-110                                           AZUL FIJI</v>
      </c>
      <c r="AA320" s="128" t="e">
        <f>+VLOOKUP(Tabla3[[#This Row],[CODIGO2]],ESTANDAR!$B$3:$C$9,2,FALSE)</f>
        <v>#N/A</v>
      </c>
      <c r="AB320" s="128" t="str">
        <f>+MID(Tabla3[[#This Row],['# Viaje]],10,1)</f>
        <v/>
      </c>
    </row>
    <row r="321" spans="1:28" ht="15" hidden="1" customHeight="1">
      <c r="A321" s="173" t="s">
        <v>1514</v>
      </c>
      <c r="B321" s="174">
        <v>42948</v>
      </c>
      <c r="C321" s="173" t="s">
        <v>1231</v>
      </c>
      <c r="D321" s="173" t="s">
        <v>1237</v>
      </c>
      <c r="E321" s="173" t="s">
        <v>1232</v>
      </c>
      <c r="F321" s="173">
        <v>8</v>
      </c>
      <c r="G321" s="173" t="s">
        <v>81</v>
      </c>
      <c r="H321" s="173">
        <v>8</v>
      </c>
      <c r="I321" s="173" t="s">
        <v>1515</v>
      </c>
      <c r="J321" s="173" t="s">
        <v>14</v>
      </c>
      <c r="K321" s="173" t="s">
        <v>16</v>
      </c>
      <c r="L321" s="173"/>
      <c r="M321" s="173" t="s">
        <v>84</v>
      </c>
      <c r="N321" s="173">
        <v>890705577</v>
      </c>
      <c r="O321" s="175">
        <v>3360504</v>
      </c>
      <c r="P321" s="7"/>
      <c r="Q321" s="16">
        <f>+IF(IFERROR(VLOOKUP(Tabla3[[#This Row],[Cliente factura]],Tabla4[[NIT]:[TOTAL CREDITO]],3,FALSE),0)="",0,IFERROR(VLOOKUP(Tabla3[[#This Row],[Cliente factura]],Tabla4[[NIT]:[TOTAL CREDITO]],3,FALSE),0))</f>
        <v>281000000</v>
      </c>
      <c r="R321" s="9">
        <f>+IFERROR(VLOOKUP(Tabla3[[#This Row],[Cliente factura]],Tabla4[[NIT]:[TOTAL CREDITO]],6,FALSE),0)</f>
        <v>0</v>
      </c>
      <c r="S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1" s="10" t="str">
        <f>VLOOKUP(Tabla3[[#This Row],[Razón social cliente factura]]&amp;Tabla3[[#This Row],[Desc. ciudad]],'Estandar de Rutas'!$C$1:$E$553,2,FALSE)</f>
        <v>5.2.A</v>
      </c>
      <c r="U321" s="130">
        <f>IFERROR(VLOOKUP(Tabla3[[#This Row],[Referencia]]&amp;Tabla3[[#This Row],[Desc detalle ext 1]],Tabla1[[Referencia-Color]:[Disponibilidad]],3,FALSE),0)</f>
        <v>83</v>
      </c>
      <c r="V321" s="13"/>
      <c r="W321" s="17">
        <f>+Tabla3[[#This Row],[Cant. Programada]]*Tabla3[[#This Row],[Precio unit]]</f>
        <v>0</v>
      </c>
      <c r="X321" s="8"/>
      <c r="Y321" s="8"/>
      <c r="Z321" s="8" t="str">
        <f>+Tabla3[[#This Row],[Referencia]]&amp;Tabla3[[#This Row],[Desc detalle ext 1]]</f>
        <v xml:space="preserve">*CB-110                                           NEGRO    </v>
      </c>
      <c r="AA321" s="128" t="e">
        <f>+VLOOKUP(Tabla3[[#This Row],[CODIGO2]],ESTANDAR!$B$3:$C$9,2,FALSE)</f>
        <v>#N/A</v>
      </c>
      <c r="AB321" s="128" t="str">
        <f>+MID(Tabla3[[#This Row],['# Viaje]],10,1)</f>
        <v/>
      </c>
    </row>
    <row r="322" spans="1:28" ht="15" hidden="1" customHeight="1">
      <c r="A322" s="173" t="s">
        <v>1514</v>
      </c>
      <c r="B322" s="174">
        <v>42948</v>
      </c>
      <c r="C322" s="173" t="s">
        <v>1231</v>
      </c>
      <c r="D322" s="173" t="s">
        <v>1237</v>
      </c>
      <c r="E322" s="173" t="s">
        <v>1232</v>
      </c>
      <c r="F322" s="173">
        <v>2</v>
      </c>
      <c r="G322" s="173" t="s">
        <v>81</v>
      </c>
      <c r="H322" s="173">
        <v>2</v>
      </c>
      <c r="I322" s="173" t="s">
        <v>1515</v>
      </c>
      <c r="J322" s="173" t="s">
        <v>27</v>
      </c>
      <c r="K322" s="173" t="s">
        <v>26</v>
      </c>
      <c r="L322" s="173"/>
      <c r="M322" s="173" t="s">
        <v>84</v>
      </c>
      <c r="N322" s="173">
        <v>890705577</v>
      </c>
      <c r="O322" s="175">
        <v>5789916</v>
      </c>
      <c r="P322" s="7"/>
      <c r="Q322" s="16">
        <f>+IF(IFERROR(VLOOKUP(Tabla3[[#This Row],[Cliente factura]],Tabla4[[NIT]:[TOTAL CREDITO]],3,FALSE),0)="",0,IFERROR(VLOOKUP(Tabla3[[#This Row],[Cliente factura]],Tabla4[[NIT]:[TOTAL CREDITO]],3,FALSE),0))</f>
        <v>281000000</v>
      </c>
      <c r="R322" s="9">
        <f>+IFERROR(VLOOKUP(Tabla3[[#This Row],[Cliente factura]],Tabla4[[NIT]:[TOTAL CREDITO]],6,FALSE),0)</f>
        <v>0</v>
      </c>
      <c r="S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2" s="10" t="str">
        <f>VLOOKUP(Tabla3[[#This Row],[Razón social cliente factura]]&amp;Tabla3[[#This Row],[Desc. ciudad]],'Estandar de Rutas'!$C$1:$E$553,2,FALSE)</f>
        <v>5.2.A</v>
      </c>
      <c r="U322" s="130">
        <f>IFERROR(VLOOKUP(Tabla3[[#This Row],[Referencia]]&amp;Tabla3[[#This Row],[Desc detalle ext 1]],Tabla1[[Referencia-Color]:[Disponibilidad]],3,FALSE),0)</f>
        <v>59</v>
      </c>
      <c r="V322" s="13"/>
      <c r="W322" s="17">
        <f>+Tabla3[[#This Row],[Cant. Programada]]*Tabla3[[#This Row],[Precio unit]]</f>
        <v>0</v>
      </c>
      <c r="X322" s="130"/>
      <c r="Y322" s="8"/>
      <c r="Z322" s="8" t="str">
        <f>+Tabla3[[#This Row],[Referencia]]&amp;Tabla3[[#This Row],[Desc detalle ext 1]]</f>
        <v>*XR 150L                                          NEGRO BLA</v>
      </c>
      <c r="AA322" s="128" t="e">
        <f>+VLOOKUP(Tabla3[[#This Row],[CODIGO2]],ESTANDAR!$B$3:$C$9,2,FALSE)</f>
        <v>#N/A</v>
      </c>
      <c r="AB322" s="128" t="str">
        <f>+MID(Tabla3[[#This Row],['# Viaje]],10,1)</f>
        <v/>
      </c>
    </row>
    <row r="323" spans="1:28" ht="15" hidden="1" customHeight="1">
      <c r="A323" s="173" t="s">
        <v>1514</v>
      </c>
      <c r="B323" s="174">
        <v>42948</v>
      </c>
      <c r="C323" s="173" t="s">
        <v>1231</v>
      </c>
      <c r="D323" s="173" t="s">
        <v>1237</v>
      </c>
      <c r="E323" s="173" t="s">
        <v>1232</v>
      </c>
      <c r="F323" s="173">
        <v>1</v>
      </c>
      <c r="G323" s="173" t="s">
        <v>81</v>
      </c>
      <c r="H323" s="173">
        <v>1</v>
      </c>
      <c r="I323" s="173" t="s">
        <v>1515</v>
      </c>
      <c r="J323" s="173" t="s">
        <v>1234</v>
      </c>
      <c r="K323" s="173" t="s">
        <v>17</v>
      </c>
      <c r="L323" s="173"/>
      <c r="M323" s="173" t="s">
        <v>84</v>
      </c>
      <c r="N323" s="173">
        <v>890705577</v>
      </c>
      <c r="O323" s="175">
        <v>5453782</v>
      </c>
      <c r="P323" s="7"/>
      <c r="Q323" s="16">
        <f>+IF(IFERROR(VLOOKUP(Tabla3[[#This Row],[Cliente factura]],Tabla4[[NIT]:[TOTAL CREDITO]],3,FALSE),0)="",0,IFERROR(VLOOKUP(Tabla3[[#This Row],[Cliente factura]],Tabla4[[NIT]:[TOTAL CREDITO]],3,FALSE),0))</f>
        <v>281000000</v>
      </c>
      <c r="R323" s="9">
        <f>+IFERROR(VLOOKUP(Tabla3[[#This Row],[Cliente factura]],Tabla4[[NIT]:[TOTAL CREDITO]],6,FALSE),0)</f>
        <v>0</v>
      </c>
      <c r="S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3" s="10" t="str">
        <f>VLOOKUP(Tabla3[[#This Row],[Razón social cliente factura]]&amp;Tabla3[[#This Row],[Desc. ciudad]],'Estandar de Rutas'!$C$1:$E$553,2,FALSE)</f>
        <v>5.2.A</v>
      </c>
      <c r="U323" s="130">
        <f>IFERROR(VLOOKUP(Tabla3[[#This Row],[Referencia]]&amp;Tabla3[[#This Row],[Desc detalle ext 1]],Tabla1[[Referencia-Color]:[Disponibilidad]],3,FALSE),0)</f>
        <v>0</v>
      </c>
      <c r="V323" s="13"/>
      <c r="W323" s="17">
        <f>+Tabla3[[#This Row],[Cant. Programada]]*Tabla3[[#This Row],[Precio unit]]</f>
        <v>0</v>
      </c>
      <c r="X323" s="8"/>
      <c r="Y323" s="8"/>
      <c r="Z323" s="8" t="str">
        <f>+Tabla3[[#This Row],[Referencia]]&amp;Tabla3[[#This Row],[Desc detalle ext 1]]</f>
        <v>CB 160F STD                                       ROJO SPOR</v>
      </c>
      <c r="AA323" s="128" t="e">
        <f>+VLOOKUP(Tabla3[[#This Row],[CODIGO2]],ESTANDAR!$B$3:$C$9,2,FALSE)</f>
        <v>#N/A</v>
      </c>
      <c r="AB323" s="128" t="str">
        <f>+MID(Tabla3[[#This Row],['# Viaje]],10,1)</f>
        <v/>
      </c>
    </row>
    <row r="324" spans="1:28" ht="15" hidden="1" customHeight="1">
      <c r="A324" s="173" t="s">
        <v>1514</v>
      </c>
      <c r="B324" s="174">
        <v>42948</v>
      </c>
      <c r="C324" s="173" t="s">
        <v>1231</v>
      </c>
      <c r="D324" s="173" t="s">
        <v>1237</v>
      </c>
      <c r="E324" s="173" t="s">
        <v>1232</v>
      </c>
      <c r="F324" s="173">
        <v>2</v>
      </c>
      <c r="G324" s="173" t="s">
        <v>81</v>
      </c>
      <c r="H324" s="173">
        <v>2</v>
      </c>
      <c r="I324" s="173" t="s">
        <v>1515</v>
      </c>
      <c r="J324" s="173" t="s">
        <v>1451</v>
      </c>
      <c r="K324" s="173" t="s">
        <v>1449</v>
      </c>
      <c r="L324" s="173"/>
      <c r="M324" s="173" t="s">
        <v>84</v>
      </c>
      <c r="N324" s="173">
        <v>890705577</v>
      </c>
      <c r="O324" s="175">
        <v>3696639</v>
      </c>
      <c r="P324" s="7"/>
      <c r="Q324" s="16">
        <f>+IF(IFERROR(VLOOKUP(Tabla3[[#This Row],[Cliente factura]],Tabla4[[NIT]:[TOTAL CREDITO]],3,FALSE),0)="",0,IFERROR(VLOOKUP(Tabla3[[#This Row],[Cliente factura]],Tabla4[[NIT]:[TOTAL CREDITO]],3,FALSE),0))</f>
        <v>281000000</v>
      </c>
      <c r="R324" s="9">
        <f>+IFERROR(VLOOKUP(Tabla3[[#This Row],[Cliente factura]],Tabla4[[NIT]:[TOTAL CREDITO]],6,FALSE),0)</f>
        <v>0</v>
      </c>
      <c r="S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4" s="10" t="str">
        <f>VLOOKUP(Tabla3[[#This Row],[Razón social cliente factura]]&amp;Tabla3[[#This Row],[Desc. ciudad]],'Estandar de Rutas'!$C$1:$E$553,2,FALSE)</f>
        <v>5.2.A</v>
      </c>
      <c r="U324" s="130">
        <f>IFERROR(VLOOKUP(Tabla3[[#This Row],[Referencia]]&amp;Tabla3[[#This Row],[Desc detalle ext 1]],Tabla1[[Referencia-Color]:[Disponibilidad]],3,FALSE),0)</f>
        <v>24</v>
      </c>
      <c r="V324" s="13"/>
      <c r="W324" s="17">
        <f>+Tabla3[[#This Row],[Cant. Programada]]*Tabla3[[#This Row],[Precio unit]]</f>
        <v>0</v>
      </c>
      <c r="X324" s="8"/>
      <c r="Y324" s="8"/>
      <c r="Z324" s="8" t="str">
        <f>+Tabla3[[#This Row],[Referencia]]&amp;Tabla3[[#This Row],[Desc detalle ext 1]]</f>
        <v xml:space="preserve">CB 110 DLX                                        GRIS     </v>
      </c>
      <c r="AA324" s="128" t="e">
        <f>+VLOOKUP(Tabla3[[#This Row],[CODIGO2]],ESTANDAR!$B$3:$C$9,2,FALSE)</f>
        <v>#N/A</v>
      </c>
      <c r="AB324" s="128" t="str">
        <f>+MID(Tabla3[[#This Row],['# Viaje]],10,1)</f>
        <v/>
      </c>
    </row>
    <row r="325" spans="1:28" ht="15" hidden="1" customHeight="1">
      <c r="A325" s="173" t="s">
        <v>1514</v>
      </c>
      <c r="B325" s="174">
        <v>42948</v>
      </c>
      <c r="C325" s="173" t="s">
        <v>1231</v>
      </c>
      <c r="D325" s="173" t="s">
        <v>1237</v>
      </c>
      <c r="E325" s="173" t="s">
        <v>1232</v>
      </c>
      <c r="F325" s="173">
        <v>5</v>
      </c>
      <c r="G325" s="173" t="s">
        <v>81</v>
      </c>
      <c r="H325" s="173">
        <v>5</v>
      </c>
      <c r="I325" s="173" t="s">
        <v>1515</v>
      </c>
      <c r="J325" s="173" t="s">
        <v>1451</v>
      </c>
      <c r="K325" s="173" t="s">
        <v>1431</v>
      </c>
      <c r="L325" s="173"/>
      <c r="M325" s="173" t="s">
        <v>84</v>
      </c>
      <c r="N325" s="173">
        <v>890705577</v>
      </c>
      <c r="O325" s="175">
        <v>3696639</v>
      </c>
      <c r="P325" s="7"/>
      <c r="Q325" s="16">
        <f>+IF(IFERROR(VLOOKUP(Tabla3[[#This Row],[Cliente factura]],Tabla4[[NIT]:[TOTAL CREDITO]],3,FALSE),0)="",0,IFERROR(VLOOKUP(Tabla3[[#This Row],[Cliente factura]],Tabla4[[NIT]:[TOTAL CREDITO]],3,FALSE),0))</f>
        <v>281000000</v>
      </c>
      <c r="R325" s="9">
        <f>+IFERROR(VLOOKUP(Tabla3[[#This Row],[Cliente factura]],Tabla4[[NIT]:[TOTAL CREDITO]],6,FALSE),0)</f>
        <v>0</v>
      </c>
      <c r="S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5" s="10" t="str">
        <f>VLOOKUP(Tabla3[[#This Row],[Razón social cliente factura]]&amp;Tabla3[[#This Row],[Desc. ciudad]],'Estandar de Rutas'!$C$1:$E$553,2,FALSE)</f>
        <v>5.2.A</v>
      </c>
      <c r="U325" s="130">
        <f>IFERROR(VLOOKUP(Tabla3[[#This Row],[Referencia]]&amp;Tabla3[[#This Row],[Desc detalle ext 1]],Tabla1[[Referencia-Color]:[Disponibilidad]],3,FALSE),0)</f>
        <v>21</v>
      </c>
      <c r="V325" s="13"/>
      <c r="W325" s="17">
        <f>+Tabla3[[#This Row],[Cant. Programada]]*Tabla3[[#This Row],[Precio unit]]</f>
        <v>0</v>
      </c>
      <c r="X325" s="8"/>
      <c r="Y325" s="8"/>
      <c r="Z325" s="8" t="str">
        <f>+Tabla3[[#This Row],[Referencia]]&amp;Tabla3[[#This Row],[Desc detalle ext 1]]</f>
        <v xml:space="preserve">CB 110 DLX                                        ROJO     </v>
      </c>
      <c r="AA325" s="128" t="e">
        <f>+VLOOKUP(Tabla3[[#This Row],[CODIGO2]],ESTANDAR!$B$3:$C$9,2,FALSE)</f>
        <v>#N/A</v>
      </c>
      <c r="AB325" s="128" t="str">
        <f>+MID(Tabla3[[#This Row],['# Viaje]],10,1)</f>
        <v/>
      </c>
    </row>
    <row r="326" spans="1:28" ht="15" hidden="1" customHeight="1">
      <c r="A326" s="173" t="s">
        <v>1514</v>
      </c>
      <c r="B326" s="174">
        <v>42948</v>
      </c>
      <c r="C326" s="173" t="s">
        <v>1231</v>
      </c>
      <c r="D326" s="173" t="s">
        <v>1237</v>
      </c>
      <c r="E326" s="173" t="s">
        <v>1232</v>
      </c>
      <c r="F326" s="173">
        <v>8</v>
      </c>
      <c r="G326" s="173" t="s">
        <v>81</v>
      </c>
      <c r="H326" s="173">
        <v>8</v>
      </c>
      <c r="I326" s="173" t="s">
        <v>1515</v>
      </c>
      <c r="J326" s="173" t="s">
        <v>1451</v>
      </c>
      <c r="K326" s="173" t="s">
        <v>1452</v>
      </c>
      <c r="L326" s="173"/>
      <c r="M326" s="173" t="s">
        <v>84</v>
      </c>
      <c r="N326" s="173">
        <v>890705577</v>
      </c>
      <c r="O326" s="175">
        <v>3696639</v>
      </c>
      <c r="P326" s="7"/>
      <c r="Q326" s="16">
        <f>+IF(IFERROR(VLOOKUP(Tabla3[[#This Row],[Cliente factura]],Tabla4[[NIT]:[TOTAL CREDITO]],3,FALSE),0)="",0,IFERROR(VLOOKUP(Tabla3[[#This Row],[Cliente factura]],Tabla4[[NIT]:[TOTAL CREDITO]],3,FALSE),0))</f>
        <v>281000000</v>
      </c>
      <c r="R326" s="9">
        <f>+IFERROR(VLOOKUP(Tabla3[[#This Row],[Cliente factura]],Tabla4[[NIT]:[TOTAL CREDITO]],6,FALSE),0)</f>
        <v>0</v>
      </c>
      <c r="S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6" s="10" t="str">
        <f>VLOOKUP(Tabla3[[#This Row],[Razón social cliente factura]]&amp;Tabla3[[#This Row],[Desc. ciudad]],'Estandar de Rutas'!$C$1:$E$553,2,FALSE)</f>
        <v>5.2.A</v>
      </c>
      <c r="U326" s="130">
        <f>IFERROR(VLOOKUP(Tabla3[[#This Row],[Referencia]]&amp;Tabla3[[#This Row],[Desc detalle ext 1]],Tabla1[[Referencia-Color]:[Disponibilidad]],3,FALSE),0)</f>
        <v>21</v>
      </c>
      <c r="V326" s="13"/>
      <c r="W326" s="17">
        <f>+Tabla3[[#This Row],[Cant. Programada]]*Tabla3[[#This Row],[Precio unit]]</f>
        <v>0</v>
      </c>
      <c r="X326" s="8"/>
      <c r="Y326" s="8"/>
      <c r="Z326" s="8" t="str">
        <f>+Tabla3[[#This Row],[Referencia]]&amp;Tabla3[[#This Row],[Desc detalle ext 1]]</f>
        <v xml:space="preserve">CB 110 DLX                                        AZUL     </v>
      </c>
      <c r="AA326" s="128" t="e">
        <f>+VLOOKUP(Tabla3[[#This Row],[CODIGO2]],ESTANDAR!$B$3:$C$9,2,FALSE)</f>
        <v>#N/A</v>
      </c>
      <c r="AB326" s="128" t="str">
        <f>+MID(Tabla3[[#This Row],['# Viaje]],10,1)</f>
        <v/>
      </c>
    </row>
    <row r="327" spans="1:28" ht="15" hidden="1" customHeight="1">
      <c r="A327" s="173" t="s">
        <v>1514</v>
      </c>
      <c r="B327" s="174">
        <v>42948</v>
      </c>
      <c r="C327" s="173" t="s">
        <v>1231</v>
      </c>
      <c r="D327" s="173" t="s">
        <v>1237</v>
      </c>
      <c r="E327" s="173" t="s">
        <v>1232</v>
      </c>
      <c r="F327" s="173">
        <v>10</v>
      </c>
      <c r="G327" s="173" t="s">
        <v>81</v>
      </c>
      <c r="H327" s="173">
        <v>10</v>
      </c>
      <c r="I327" s="173" t="s">
        <v>1515</v>
      </c>
      <c r="J327" s="173" t="s">
        <v>1451</v>
      </c>
      <c r="K327" s="173" t="s">
        <v>16</v>
      </c>
      <c r="L327" s="173"/>
      <c r="M327" s="173" t="s">
        <v>84</v>
      </c>
      <c r="N327" s="173">
        <v>890705577</v>
      </c>
      <c r="O327" s="175">
        <v>3696639</v>
      </c>
      <c r="P327" s="7"/>
      <c r="Q327" s="16">
        <f>+IF(IFERROR(VLOOKUP(Tabla3[[#This Row],[Cliente factura]],Tabla4[[NIT]:[TOTAL CREDITO]],3,FALSE),0)="",0,IFERROR(VLOOKUP(Tabla3[[#This Row],[Cliente factura]],Tabla4[[NIT]:[TOTAL CREDITO]],3,FALSE),0))</f>
        <v>281000000</v>
      </c>
      <c r="R327" s="9">
        <f>+IFERROR(VLOOKUP(Tabla3[[#This Row],[Cliente factura]],Tabla4[[NIT]:[TOTAL CREDITO]],6,FALSE),0)</f>
        <v>0</v>
      </c>
      <c r="S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7" s="10" t="str">
        <f>VLOOKUP(Tabla3[[#This Row],[Razón social cliente factura]]&amp;Tabla3[[#This Row],[Desc. ciudad]],'Estandar de Rutas'!$C$1:$E$553,2,FALSE)</f>
        <v>5.2.A</v>
      </c>
      <c r="U327" s="130">
        <f>IFERROR(VLOOKUP(Tabla3[[#This Row],[Referencia]]&amp;Tabla3[[#This Row],[Desc detalle ext 1]],Tabla1[[Referencia-Color]:[Disponibilidad]],3,FALSE),0)</f>
        <v>3</v>
      </c>
      <c r="V327" s="13"/>
      <c r="W327" s="17">
        <f>+Tabla3[[#This Row],[Cant. Programada]]*Tabla3[[#This Row],[Precio unit]]</f>
        <v>0</v>
      </c>
      <c r="X327" s="8"/>
      <c r="Y327" s="8"/>
      <c r="Z327" s="8" t="str">
        <f>+Tabla3[[#This Row],[Referencia]]&amp;Tabla3[[#This Row],[Desc detalle ext 1]]</f>
        <v xml:space="preserve">CB 110 DLX                                        NEGRO    </v>
      </c>
      <c r="AA327" s="128" t="e">
        <f>+VLOOKUP(Tabla3[[#This Row],[CODIGO2]],ESTANDAR!$B$3:$C$9,2,FALSE)</f>
        <v>#N/A</v>
      </c>
      <c r="AB327" s="128" t="str">
        <f>+MID(Tabla3[[#This Row],['# Viaje]],10,1)</f>
        <v/>
      </c>
    </row>
    <row r="328" spans="1:28" ht="15" hidden="1" customHeight="1">
      <c r="A328" s="173" t="s">
        <v>1516</v>
      </c>
      <c r="B328" s="174">
        <v>42948</v>
      </c>
      <c r="C328" s="173" t="s">
        <v>1231</v>
      </c>
      <c r="D328" s="173" t="s">
        <v>1487</v>
      </c>
      <c r="E328" s="173" t="s">
        <v>1232</v>
      </c>
      <c r="F328" s="173">
        <v>10</v>
      </c>
      <c r="G328" s="173" t="s">
        <v>85</v>
      </c>
      <c r="H328" s="173">
        <v>10</v>
      </c>
      <c r="I328" s="173" t="s">
        <v>1517</v>
      </c>
      <c r="J328" s="173" t="s">
        <v>1428</v>
      </c>
      <c r="K328" s="173" t="s">
        <v>1461</v>
      </c>
      <c r="L328" s="173"/>
      <c r="M328" s="173" t="s">
        <v>86</v>
      </c>
      <c r="N328" s="173">
        <v>900052338</v>
      </c>
      <c r="O328" s="175">
        <v>3067227</v>
      </c>
      <c r="P328" s="7"/>
      <c r="Q3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8" s="9">
        <f>+IFERROR(VLOOKUP(Tabla3[[#This Row],[Cliente factura]],Tabla4[[NIT]:[TOTAL CREDITO]],6,FALSE),0)</f>
        <v>0</v>
      </c>
      <c r="S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8" s="10" t="str">
        <f>VLOOKUP(Tabla3[[#This Row],[Razón social cliente factura]]&amp;Tabla3[[#This Row],[Desc. ciudad]],'Estandar de Rutas'!$C$1:$E$553,2,FALSE)</f>
        <v>11.2</v>
      </c>
      <c r="U328" s="130">
        <f>IFERROR(VLOOKUP(Tabla3[[#This Row],[Referencia]]&amp;Tabla3[[#This Row],[Desc detalle ext 1]],Tabla1[[Referencia-Color]:[Disponibilidad]],3,FALSE),0)</f>
        <v>0</v>
      </c>
      <c r="V328" s="13"/>
      <c r="W328" s="17">
        <f>+Tabla3[[#This Row],[Cant. Programada]]*Tabla3[[#This Row],[Precio unit]]</f>
        <v>0</v>
      </c>
      <c r="X328" s="8"/>
      <c r="Y328" s="8"/>
      <c r="Z328" s="8" t="str">
        <f>+Tabla3[[#This Row],[Referencia]]&amp;Tabla3[[#This Row],[Desc detalle ext 1]]</f>
        <v>DREAM  NEO                                        ROJO ALFA</v>
      </c>
      <c r="AA328" s="128" t="e">
        <f>+VLOOKUP(Tabla3[[#This Row],[CODIGO2]],ESTANDAR!$B$3:$C$9,2,FALSE)</f>
        <v>#N/A</v>
      </c>
      <c r="AB328" s="128" t="str">
        <f>+MID(Tabla3[[#This Row],['# Viaje]],10,1)</f>
        <v/>
      </c>
    </row>
    <row r="329" spans="1:28" ht="15" hidden="1" customHeight="1">
      <c r="A329" s="173" t="s">
        <v>1516</v>
      </c>
      <c r="B329" s="174">
        <v>42948</v>
      </c>
      <c r="C329" s="173" t="s">
        <v>1231</v>
      </c>
      <c r="D329" s="173" t="s">
        <v>1487</v>
      </c>
      <c r="E329" s="173" t="s">
        <v>1232</v>
      </c>
      <c r="F329" s="173">
        <v>2</v>
      </c>
      <c r="G329" s="173" t="s">
        <v>85</v>
      </c>
      <c r="H329" s="173">
        <v>2</v>
      </c>
      <c r="I329" s="173" t="s">
        <v>1517</v>
      </c>
      <c r="J329" s="173" t="s">
        <v>1428</v>
      </c>
      <c r="K329" s="173" t="s">
        <v>32</v>
      </c>
      <c r="L329" s="173"/>
      <c r="M329" s="173" t="s">
        <v>86</v>
      </c>
      <c r="N329" s="173">
        <v>900052338</v>
      </c>
      <c r="O329" s="175">
        <v>3067227</v>
      </c>
      <c r="P329" s="7"/>
      <c r="Q3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9" s="9">
        <f>+IFERROR(VLOOKUP(Tabla3[[#This Row],[Cliente factura]],Tabla4[[NIT]:[TOTAL CREDITO]],6,FALSE),0)</f>
        <v>0</v>
      </c>
      <c r="S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9" s="10" t="str">
        <f>VLOOKUP(Tabla3[[#This Row],[Razón social cliente factura]]&amp;Tabla3[[#This Row],[Desc. ciudad]],'Estandar de Rutas'!$C$1:$E$553,2,FALSE)</f>
        <v>11.2</v>
      </c>
      <c r="U329" s="130">
        <f>IFERROR(VLOOKUP(Tabla3[[#This Row],[Referencia]]&amp;Tabla3[[#This Row],[Desc detalle ext 1]],Tabla1[[Referencia-Color]:[Disponibilidad]],3,FALSE),0)</f>
        <v>0</v>
      </c>
      <c r="V329" s="13"/>
      <c r="W329" s="17">
        <f>+Tabla3[[#This Row],[Cant. Programada]]*Tabla3[[#This Row],[Precio unit]]</f>
        <v>0</v>
      </c>
      <c r="X329" s="129"/>
      <c r="Y329" s="129"/>
      <c r="Z329" s="8" t="str">
        <f>+Tabla3[[#This Row],[Referencia]]&amp;Tabla3[[#This Row],[Desc detalle ext 1]]</f>
        <v>DREAM  NEO                                        NEGRO ROJ</v>
      </c>
      <c r="AA329" s="128" t="e">
        <f>+VLOOKUP(Tabla3[[#This Row],[CODIGO2]],ESTANDAR!$B$3:$C$9,2,FALSE)</f>
        <v>#N/A</v>
      </c>
      <c r="AB329" s="128" t="str">
        <f>+MID(Tabla3[[#This Row],['# Viaje]],10,1)</f>
        <v/>
      </c>
    </row>
    <row r="330" spans="1:28" ht="15" hidden="1" customHeight="1">
      <c r="A330" s="173" t="s">
        <v>1516</v>
      </c>
      <c r="B330" s="174">
        <v>42948</v>
      </c>
      <c r="C330" s="173" t="s">
        <v>1231</v>
      </c>
      <c r="D330" s="173" t="s">
        <v>1487</v>
      </c>
      <c r="E330" s="173" t="s">
        <v>1232</v>
      </c>
      <c r="F330" s="173">
        <v>8</v>
      </c>
      <c r="G330" s="173" t="s">
        <v>85</v>
      </c>
      <c r="H330" s="173">
        <v>8</v>
      </c>
      <c r="I330" s="173" t="s">
        <v>1517</v>
      </c>
      <c r="J330" s="173" t="s">
        <v>1428</v>
      </c>
      <c r="K330" s="173" t="s">
        <v>1429</v>
      </c>
      <c r="L330" s="173"/>
      <c r="M330" s="173" t="s">
        <v>86</v>
      </c>
      <c r="N330" s="173">
        <v>900052338</v>
      </c>
      <c r="O330" s="175">
        <v>3067227</v>
      </c>
      <c r="P330" s="7"/>
      <c r="Q3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0" s="9">
        <f>+IFERROR(VLOOKUP(Tabla3[[#This Row],[Cliente factura]],Tabla4[[NIT]:[TOTAL CREDITO]],6,FALSE),0)</f>
        <v>0</v>
      </c>
      <c r="S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0" s="10" t="str">
        <f>VLOOKUP(Tabla3[[#This Row],[Razón social cliente factura]]&amp;Tabla3[[#This Row],[Desc. ciudad]],'Estandar de Rutas'!$C$1:$E$553,2,FALSE)</f>
        <v>11.2</v>
      </c>
      <c r="U330" s="130">
        <f>IFERROR(VLOOKUP(Tabla3[[#This Row],[Referencia]]&amp;Tabla3[[#This Row],[Desc detalle ext 1]],Tabla1[[Referencia-Color]:[Disponibilidad]],3,FALSE),0)</f>
        <v>0</v>
      </c>
      <c r="V330" s="13"/>
      <c r="W330" s="17">
        <f>+Tabla3[[#This Row],[Cant. Programada]]*Tabla3[[#This Row],[Precio unit]]</f>
        <v>0</v>
      </c>
      <c r="X330" s="8"/>
      <c r="Y330" s="8"/>
      <c r="Z330" s="8" t="str">
        <f>+Tabla3[[#This Row],[Referencia]]&amp;Tabla3[[#This Row],[Desc detalle ext 1]]</f>
        <v>DREAM  NEO                                        NEGRO AZU</v>
      </c>
      <c r="AA330" s="128" t="e">
        <f>+VLOOKUP(Tabla3[[#This Row],[CODIGO2]],ESTANDAR!$B$3:$C$9,2,FALSE)</f>
        <v>#N/A</v>
      </c>
      <c r="AB330" s="128" t="str">
        <f>+MID(Tabla3[[#This Row],['# Viaje]],10,1)</f>
        <v/>
      </c>
    </row>
    <row r="331" spans="1:28" ht="15" hidden="1" customHeight="1">
      <c r="A331" s="173" t="s">
        <v>1516</v>
      </c>
      <c r="B331" s="174">
        <v>42948</v>
      </c>
      <c r="C331" s="173" t="s">
        <v>1231</v>
      </c>
      <c r="D331" s="173" t="s">
        <v>1487</v>
      </c>
      <c r="E331" s="173" t="s">
        <v>1232</v>
      </c>
      <c r="F331" s="173">
        <v>2</v>
      </c>
      <c r="G331" s="173" t="s">
        <v>85</v>
      </c>
      <c r="H331" s="173">
        <v>2</v>
      </c>
      <c r="I331" s="173" t="s">
        <v>1517</v>
      </c>
      <c r="J331" s="173" t="s">
        <v>1451</v>
      </c>
      <c r="K331" s="173" t="s">
        <v>16</v>
      </c>
      <c r="L331" s="173"/>
      <c r="M331" s="173" t="s">
        <v>86</v>
      </c>
      <c r="N331" s="173">
        <v>900052338</v>
      </c>
      <c r="O331" s="175">
        <v>3696639</v>
      </c>
      <c r="P331" s="7"/>
      <c r="Q3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1" s="9">
        <f>+IFERROR(VLOOKUP(Tabla3[[#This Row],[Cliente factura]],Tabla4[[NIT]:[TOTAL CREDITO]],6,FALSE),0)</f>
        <v>0</v>
      </c>
      <c r="S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1" s="10" t="str">
        <f>VLOOKUP(Tabla3[[#This Row],[Razón social cliente factura]]&amp;Tabla3[[#This Row],[Desc. ciudad]],'Estandar de Rutas'!$C$1:$E$553,2,FALSE)</f>
        <v>11.2</v>
      </c>
      <c r="U331" s="130">
        <f>IFERROR(VLOOKUP(Tabla3[[#This Row],[Referencia]]&amp;Tabla3[[#This Row],[Desc detalle ext 1]],Tabla1[[Referencia-Color]:[Disponibilidad]],3,FALSE),0)</f>
        <v>3</v>
      </c>
      <c r="V331" s="13"/>
      <c r="W331" s="17">
        <f>+Tabla3[[#This Row],[Cant. Programada]]*Tabla3[[#This Row],[Precio unit]]</f>
        <v>0</v>
      </c>
      <c r="X331" s="8"/>
      <c r="Y331" s="8"/>
      <c r="Z331" s="8" t="str">
        <f>+Tabla3[[#This Row],[Referencia]]&amp;Tabla3[[#This Row],[Desc detalle ext 1]]</f>
        <v xml:space="preserve">CB 110 DLX                                        NEGRO    </v>
      </c>
      <c r="AA331" s="128" t="e">
        <f>+VLOOKUP(Tabla3[[#This Row],[CODIGO2]],ESTANDAR!$B$3:$C$9,2,FALSE)</f>
        <v>#N/A</v>
      </c>
      <c r="AB331" s="128" t="str">
        <f>+MID(Tabla3[[#This Row],['# Viaje]],10,1)</f>
        <v/>
      </c>
    </row>
    <row r="332" spans="1:28" ht="15" hidden="1" customHeight="1">
      <c r="A332" s="173" t="s">
        <v>1518</v>
      </c>
      <c r="B332" s="174">
        <v>42948</v>
      </c>
      <c r="C332" s="173" t="s">
        <v>1231</v>
      </c>
      <c r="D332" s="173" t="s">
        <v>1478</v>
      </c>
      <c r="E332" s="173" t="s">
        <v>1479</v>
      </c>
      <c r="F332" s="173">
        <v>1</v>
      </c>
      <c r="G332" s="173" t="s">
        <v>208</v>
      </c>
      <c r="H332" s="173">
        <v>1</v>
      </c>
      <c r="I332" s="173" t="s">
        <v>1519</v>
      </c>
      <c r="J332" s="173" t="s">
        <v>14</v>
      </c>
      <c r="K332" s="173" t="s">
        <v>1417</v>
      </c>
      <c r="L332" s="173"/>
      <c r="M332" s="173" t="s">
        <v>209</v>
      </c>
      <c r="N332" s="173">
        <v>890802350</v>
      </c>
      <c r="O332" s="175">
        <v>3360504</v>
      </c>
      <c r="P332" s="7"/>
      <c r="Q332" s="16">
        <f>+IF(IFERROR(VLOOKUP(Tabla3[[#This Row],[Cliente factura]],Tabla4[[NIT]:[TOTAL CREDITO]],3,FALSE),0)="",0,IFERROR(VLOOKUP(Tabla3[[#This Row],[Cliente factura]],Tabla4[[NIT]:[TOTAL CREDITO]],3,FALSE),0))</f>
        <v>0</v>
      </c>
      <c r="R332" s="9">
        <f>+IFERROR(VLOOKUP(Tabla3[[#This Row],[Cliente factura]],Tabla4[[NIT]:[TOTAL CREDITO]],6,FALSE),0)</f>
        <v>158000000</v>
      </c>
      <c r="S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2" s="10" t="str">
        <f>VLOOKUP(Tabla3[[#This Row],[Razón social cliente factura]]&amp;Tabla3[[#This Row],[Desc. ciudad]],'Estandar de Rutas'!$C$1:$E$553,2,FALSE)</f>
        <v>8.1</v>
      </c>
      <c r="U332" s="130">
        <f>IFERROR(VLOOKUP(Tabla3[[#This Row],[Referencia]]&amp;Tabla3[[#This Row],[Desc detalle ext 1]],Tabla1[[Referencia-Color]:[Disponibilidad]],3,FALSE),0)</f>
        <v>24</v>
      </c>
      <c r="V332" s="13"/>
      <c r="W332" s="17">
        <f>+Tabla3[[#This Row],[Cant. Programada]]*Tabla3[[#This Row],[Precio unit]]</f>
        <v>0</v>
      </c>
      <c r="X332" s="129"/>
      <c r="Y332" s="129"/>
      <c r="Z332" s="8" t="str">
        <f>+Tabla3[[#This Row],[Referencia]]&amp;Tabla3[[#This Row],[Desc detalle ext 1]]</f>
        <v xml:space="preserve">*CB-110                                           GRIS MET </v>
      </c>
      <c r="AA332" s="128" t="e">
        <f>+VLOOKUP(Tabla3[[#This Row],[CODIGO2]],ESTANDAR!$B$3:$C$9,2,FALSE)</f>
        <v>#N/A</v>
      </c>
      <c r="AB332" s="128" t="str">
        <f>+MID(Tabla3[[#This Row],['# Viaje]],10,1)</f>
        <v/>
      </c>
    </row>
    <row r="333" spans="1:28" ht="15" hidden="1" customHeight="1">
      <c r="A333" s="173" t="s">
        <v>1518</v>
      </c>
      <c r="B333" s="174">
        <v>42948</v>
      </c>
      <c r="C333" s="173" t="s">
        <v>1231</v>
      </c>
      <c r="D333" s="173" t="s">
        <v>1478</v>
      </c>
      <c r="E333" s="173" t="s">
        <v>1479</v>
      </c>
      <c r="F333" s="173">
        <v>1</v>
      </c>
      <c r="G333" s="173" t="s">
        <v>208</v>
      </c>
      <c r="H333" s="173">
        <v>1</v>
      </c>
      <c r="I333" s="173" t="s">
        <v>1519</v>
      </c>
      <c r="J333" s="173" t="s">
        <v>27</v>
      </c>
      <c r="K333" s="173" t="s">
        <v>26</v>
      </c>
      <c r="L333" s="173"/>
      <c r="M333" s="173" t="s">
        <v>209</v>
      </c>
      <c r="N333" s="173">
        <v>890802350</v>
      </c>
      <c r="O333" s="175">
        <v>5789916</v>
      </c>
      <c r="P333" s="7"/>
      <c r="Q333" s="16">
        <f>+IF(IFERROR(VLOOKUP(Tabla3[[#This Row],[Cliente factura]],Tabla4[[NIT]:[TOTAL CREDITO]],3,FALSE),0)="",0,IFERROR(VLOOKUP(Tabla3[[#This Row],[Cliente factura]],Tabla4[[NIT]:[TOTAL CREDITO]],3,FALSE),0))</f>
        <v>0</v>
      </c>
      <c r="R333" s="9">
        <f>+IFERROR(VLOOKUP(Tabla3[[#This Row],[Cliente factura]],Tabla4[[NIT]:[TOTAL CREDITO]],6,FALSE),0)</f>
        <v>158000000</v>
      </c>
      <c r="S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3" s="10" t="str">
        <f>VLOOKUP(Tabla3[[#This Row],[Razón social cliente factura]]&amp;Tabla3[[#This Row],[Desc. ciudad]],'Estandar de Rutas'!$C$1:$E$553,2,FALSE)</f>
        <v>8.1</v>
      </c>
      <c r="U333" s="130">
        <f>IFERROR(VLOOKUP(Tabla3[[#This Row],[Referencia]]&amp;Tabla3[[#This Row],[Desc detalle ext 1]],Tabla1[[Referencia-Color]:[Disponibilidad]],3,FALSE),0)</f>
        <v>59</v>
      </c>
      <c r="V333" s="13"/>
      <c r="W333" s="17">
        <f>+Tabla3[[#This Row],[Cant. Programada]]*Tabla3[[#This Row],[Precio unit]]</f>
        <v>0</v>
      </c>
      <c r="X333" s="8"/>
      <c r="Y333" s="8"/>
      <c r="Z333" s="8" t="str">
        <f>+Tabla3[[#This Row],[Referencia]]&amp;Tabla3[[#This Row],[Desc detalle ext 1]]</f>
        <v>*XR 150L                                          NEGRO BLA</v>
      </c>
      <c r="AA333" s="128" t="e">
        <f>+VLOOKUP(Tabla3[[#This Row],[CODIGO2]],ESTANDAR!$B$3:$C$9,2,FALSE)</f>
        <v>#N/A</v>
      </c>
      <c r="AB333" s="128" t="str">
        <f>+MID(Tabla3[[#This Row],['# Viaje]],10,1)</f>
        <v/>
      </c>
    </row>
    <row r="334" spans="1:28" ht="15" hidden="1" customHeight="1">
      <c r="A334" s="173" t="s">
        <v>1518</v>
      </c>
      <c r="B334" s="174">
        <v>42948</v>
      </c>
      <c r="C334" s="173" t="s">
        <v>1231</v>
      </c>
      <c r="D334" s="173" t="s">
        <v>1478</v>
      </c>
      <c r="E334" s="173" t="s">
        <v>1479</v>
      </c>
      <c r="F334" s="173">
        <v>1</v>
      </c>
      <c r="G334" s="173" t="s">
        <v>208</v>
      </c>
      <c r="H334" s="173">
        <v>1</v>
      </c>
      <c r="I334" s="173" t="s">
        <v>1519</v>
      </c>
      <c r="J334" s="173" t="s">
        <v>1451</v>
      </c>
      <c r="K334" s="173" t="s">
        <v>1452</v>
      </c>
      <c r="L334" s="173"/>
      <c r="M334" s="173" t="s">
        <v>209</v>
      </c>
      <c r="N334" s="173">
        <v>890802350</v>
      </c>
      <c r="O334" s="175">
        <v>3696639</v>
      </c>
      <c r="P334" s="7"/>
      <c r="Q334" s="16">
        <f>+IF(IFERROR(VLOOKUP(Tabla3[[#This Row],[Cliente factura]],Tabla4[[NIT]:[TOTAL CREDITO]],3,FALSE),0)="",0,IFERROR(VLOOKUP(Tabla3[[#This Row],[Cliente factura]],Tabla4[[NIT]:[TOTAL CREDITO]],3,FALSE),0))</f>
        <v>0</v>
      </c>
      <c r="R334" s="9">
        <f>+IFERROR(VLOOKUP(Tabla3[[#This Row],[Cliente factura]],Tabla4[[NIT]:[TOTAL CREDITO]],6,FALSE),0)</f>
        <v>158000000</v>
      </c>
      <c r="S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4" s="10" t="str">
        <f>VLOOKUP(Tabla3[[#This Row],[Razón social cliente factura]]&amp;Tabla3[[#This Row],[Desc. ciudad]],'Estandar de Rutas'!$C$1:$E$553,2,FALSE)</f>
        <v>8.1</v>
      </c>
      <c r="U334" s="130">
        <f>IFERROR(VLOOKUP(Tabla3[[#This Row],[Referencia]]&amp;Tabla3[[#This Row],[Desc detalle ext 1]],Tabla1[[Referencia-Color]:[Disponibilidad]],3,FALSE),0)</f>
        <v>21</v>
      </c>
      <c r="V334" s="13"/>
      <c r="W334" s="17">
        <f>+Tabla3[[#This Row],[Cant. Programada]]*Tabla3[[#This Row],[Precio unit]]</f>
        <v>0</v>
      </c>
      <c r="X334" s="8"/>
      <c r="Y334" s="8"/>
      <c r="Z334" s="8" t="str">
        <f>+Tabla3[[#This Row],[Referencia]]&amp;Tabla3[[#This Row],[Desc detalle ext 1]]</f>
        <v xml:space="preserve">CB 110 DLX                                        AZUL     </v>
      </c>
      <c r="AA334" s="128" t="e">
        <f>+VLOOKUP(Tabla3[[#This Row],[CODIGO2]],ESTANDAR!$B$3:$C$9,2,FALSE)</f>
        <v>#N/A</v>
      </c>
      <c r="AB334" s="128" t="str">
        <f>+MID(Tabla3[[#This Row],['# Viaje]],10,1)</f>
        <v/>
      </c>
    </row>
    <row r="335" spans="1:28" ht="15" hidden="1" customHeight="1">
      <c r="A335" s="173" t="s">
        <v>1518</v>
      </c>
      <c r="B335" s="174">
        <v>42948</v>
      </c>
      <c r="C335" s="173" t="s">
        <v>1231</v>
      </c>
      <c r="D335" s="173" t="s">
        <v>1478</v>
      </c>
      <c r="E335" s="173" t="s">
        <v>1479</v>
      </c>
      <c r="F335" s="173">
        <v>1</v>
      </c>
      <c r="G335" s="173" t="s">
        <v>208</v>
      </c>
      <c r="H335" s="173">
        <v>1</v>
      </c>
      <c r="I335" s="173" t="s">
        <v>1519</v>
      </c>
      <c r="J335" s="173" t="s">
        <v>1451</v>
      </c>
      <c r="K335" s="173" t="s">
        <v>1449</v>
      </c>
      <c r="L335" s="173"/>
      <c r="M335" s="173" t="s">
        <v>209</v>
      </c>
      <c r="N335" s="173">
        <v>890802350</v>
      </c>
      <c r="O335" s="175">
        <v>3696639</v>
      </c>
      <c r="P335" s="7"/>
      <c r="Q335" s="16">
        <f>+IF(IFERROR(VLOOKUP(Tabla3[[#This Row],[Cliente factura]],Tabla4[[NIT]:[TOTAL CREDITO]],3,FALSE),0)="",0,IFERROR(VLOOKUP(Tabla3[[#This Row],[Cliente factura]],Tabla4[[NIT]:[TOTAL CREDITO]],3,FALSE),0))</f>
        <v>0</v>
      </c>
      <c r="R335" s="9">
        <f>+IFERROR(VLOOKUP(Tabla3[[#This Row],[Cliente factura]],Tabla4[[NIT]:[TOTAL CREDITO]],6,FALSE),0)</f>
        <v>158000000</v>
      </c>
      <c r="S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5" s="10" t="str">
        <f>VLOOKUP(Tabla3[[#This Row],[Razón social cliente factura]]&amp;Tabla3[[#This Row],[Desc. ciudad]],'Estandar de Rutas'!$C$1:$E$553,2,FALSE)</f>
        <v>8.1</v>
      </c>
      <c r="U335" s="130">
        <f>IFERROR(VLOOKUP(Tabla3[[#This Row],[Referencia]]&amp;Tabla3[[#This Row],[Desc detalle ext 1]],Tabla1[[Referencia-Color]:[Disponibilidad]],3,FALSE),0)</f>
        <v>24</v>
      </c>
      <c r="V335" s="13"/>
      <c r="W335" s="17">
        <f>+Tabla3[[#This Row],[Cant. Programada]]*Tabla3[[#This Row],[Precio unit]]</f>
        <v>0</v>
      </c>
      <c r="X335" s="129"/>
      <c r="Y335" s="129"/>
      <c r="Z335" s="8" t="str">
        <f>+Tabla3[[#This Row],[Referencia]]&amp;Tabla3[[#This Row],[Desc detalle ext 1]]</f>
        <v xml:space="preserve">CB 110 DLX                                        GRIS     </v>
      </c>
      <c r="AA335" s="128" t="e">
        <f>+VLOOKUP(Tabla3[[#This Row],[CODIGO2]],ESTANDAR!$B$3:$C$9,2,FALSE)</f>
        <v>#N/A</v>
      </c>
      <c r="AB335" s="128" t="str">
        <f>+MID(Tabla3[[#This Row],['# Viaje]],10,1)</f>
        <v/>
      </c>
    </row>
    <row r="336" spans="1:28" ht="15" hidden="1" customHeight="1">
      <c r="A336" s="173" t="s">
        <v>1518</v>
      </c>
      <c r="B336" s="174">
        <v>42948</v>
      </c>
      <c r="C336" s="173" t="s">
        <v>1231</v>
      </c>
      <c r="D336" s="173" t="s">
        <v>1478</v>
      </c>
      <c r="E336" s="173" t="s">
        <v>1479</v>
      </c>
      <c r="F336" s="173">
        <v>1</v>
      </c>
      <c r="G336" s="173" t="s">
        <v>208</v>
      </c>
      <c r="H336" s="173">
        <v>1</v>
      </c>
      <c r="I336" s="173" t="s">
        <v>1519</v>
      </c>
      <c r="J336" s="173" t="s">
        <v>1451</v>
      </c>
      <c r="K336" s="173" t="s">
        <v>16</v>
      </c>
      <c r="L336" s="173"/>
      <c r="M336" s="173" t="s">
        <v>209</v>
      </c>
      <c r="N336" s="173">
        <v>890802350</v>
      </c>
      <c r="O336" s="175">
        <v>3696639</v>
      </c>
      <c r="P336" s="7"/>
      <c r="Q336" s="16">
        <f>+IF(IFERROR(VLOOKUP(Tabla3[[#This Row],[Cliente factura]],Tabla4[[NIT]:[TOTAL CREDITO]],3,FALSE),0)="",0,IFERROR(VLOOKUP(Tabla3[[#This Row],[Cliente factura]],Tabla4[[NIT]:[TOTAL CREDITO]],3,FALSE),0))</f>
        <v>0</v>
      </c>
      <c r="R336" s="9">
        <f>+IFERROR(VLOOKUP(Tabla3[[#This Row],[Cliente factura]],Tabla4[[NIT]:[TOTAL CREDITO]],6,FALSE),0)</f>
        <v>158000000</v>
      </c>
      <c r="S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6" s="10" t="str">
        <f>VLOOKUP(Tabla3[[#This Row],[Razón social cliente factura]]&amp;Tabla3[[#This Row],[Desc. ciudad]],'Estandar de Rutas'!$C$1:$E$553,2,FALSE)</f>
        <v>8.1</v>
      </c>
      <c r="U336" s="130">
        <f>IFERROR(VLOOKUP(Tabla3[[#This Row],[Referencia]]&amp;Tabla3[[#This Row],[Desc detalle ext 1]],Tabla1[[Referencia-Color]:[Disponibilidad]],3,FALSE),0)</f>
        <v>3</v>
      </c>
      <c r="V336" s="13"/>
      <c r="W336" s="17">
        <f>+Tabla3[[#This Row],[Cant. Programada]]*Tabla3[[#This Row],[Precio unit]]</f>
        <v>0</v>
      </c>
      <c r="X336" s="8"/>
      <c r="Y336" s="8"/>
      <c r="Z336" s="8" t="str">
        <f>+Tabla3[[#This Row],[Referencia]]&amp;Tabla3[[#This Row],[Desc detalle ext 1]]</f>
        <v xml:space="preserve">CB 110 DLX                                        NEGRO    </v>
      </c>
      <c r="AA336" s="128" t="e">
        <f>+VLOOKUP(Tabla3[[#This Row],[CODIGO2]],ESTANDAR!$B$3:$C$9,2,FALSE)</f>
        <v>#N/A</v>
      </c>
      <c r="AB336" s="128" t="str">
        <f>+MID(Tabla3[[#This Row],['# Viaje]],10,1)</f>
        <v/>
      </c>
    </row>
    <row r="337" spans="1:28" ht="15" hidden="1" customHeight="1">
      <c r="A337" s="173" t="s">
        <v>1520</v>
      </c>
      <c r="B337" s="174">
        <v>42948</v>
      </c>
      <c r="C337" s="173" t="s">
        <v>1477</v>
      </c>
      <c r="D337" s="173" t="s">
        <v>1478</v>
      </c>
      <c r="E337" s="173" t="s">
        <v>1479</v>
      </c>
      <c r="F337" s="173">
        <v>2</v>
      </c>
      <c r="G337" s="173" t="s">
        <v>75</v>
      </c>
      <c r="H337" s="173">
        <v>2</v>
      </c>
      <c r="I337" s="173" t="s">
        <v>75</v>
      </c>
      <c r="J337" s="173" t="s">
        <v>14</v>
      </c>
      <c r="K337" s="173" t="s">
        <v>1417</v>
      </c>
      <c r="L337" s="173"/>
      <c r="M337" s="173" t="s">
        <v>76</v>
      </c>
      <c r="N337" s="173">
        <v>838000154</v>
      </c>
      <c r="O337" s="175">
        <v>3360504</v>
      </c>
      <c r="P337" s="7"/>
      <c r="Q3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7" s="9">
        <f>+IFERROR(VLOOKUP(Tabla3[[#This Row],[Cliente factura]],Tabla4[[NIT]:[TOTAL CREDITO]],6,FALSE),0)</f>
        <v>0</v>
      </c>
      <c r="S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7" s="10" t="str">
        <f>VLOOKUP(Tabla3[[#This Row],[Razón social cliente factura]]&amp;Tabla3[[#This Row],[Desc. ciudad]],'Estandar de Rutas'!$C$1:$E$553,2,FALSE)</f>
        <v>7.2</v>
      </c>
      <c r="U337" s="130">
        <f>IFERROR(VLOOKUP(Tabla3[[#This Row],[Referencia]]&amp;Tabla3[[#This Row],[Desc detalle ext 1]],Tabla1[[Referencia-Color]:[Disponibilidad]],3,FALSE),0)</f>
        <v>24</v>
      </c>
      <c r="V337" s="13"/>
      <c r="W337" s="17">
        <f>+Tabla3[[#This Row],[Cant. Programada]]*Tabla3[[#This Row],[Precio unit]]</f>
        <v>0</v>
      </c>
      <c r="X337" s="8"/>
      <c r="Y337" s="8"/>
      <c r="Z337" s="8" t="str">
        <f>+Tabla3[[#This Row],[Referencia]]&amp;Tabla3[[#This Row],[Desc detalle ext 1]]</f>
        <v xml:space="preserve">*CB-110                                           GRIS MET </v>
      </c>
      <c r="AA337" s="128" t="e">
        <f>+VLOOKUP(Tabla3[[#This Row],[CODIGO2]],ESTANDAR!$B$3:$C$9,2,FALSE)</f>
        <v>#N/A</v>
      </c>
      <c r="AB337" s="128" t="str">
        <f>+MID(Tabla3[[#This Row],['# Viaje]],10,1)</f>
        <v/>
      </c>
    </row>
    <row r="338" spans="1:28" ht="15" hidden="1" customHeight="1">
      <c r="A338" s="173" t="s">
        <v>1520</v>
      </c>
      <c r="B338" s="174">
        <v>42948</v>
      </c>
      <c r="C338" s="173" t="s">
        <v>1477</v>
      </c>
      <c r="D338" s="173" t="s">
        <v>1478</v>
      </c>
      <c r="E338" s="173" t="s">
        <v>1479</v>
      </c>
      <c r="F338" s="173">
        <v>2</v>
      </c>
      <c r="G338" s="173" t="s">
        <v>75</v>
      </c>
      <c r="H338" s="173">
        <v>2</v>
      </c>
      <c r="I338" s="173" t="s">
        <v>75</v>
      </c>
      <c r="J338" s="173" t="s">
        <v>14</v>
      </c>
      <c r="K338" s="173" t="s">
        <v>17</v>
      </c>
      <c r="L338" s="173"/>
      <c r="M338" s="173" t="s">
        <v>76</v>
      </c>
      <c r="N338" s="173">
        <v>838000154</v>
      </c>
      <c r="O338" s="175">
        <v>3360504</v>
      </c>
      <c r="P338" s="7"/>
      <c r="Q3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8" s="9">
        <f>+IFERROR(VLOOKUP(Tabla3[[#This Row],[Cliente factura]],Tabla4[[NIT]:[TOTAL CREDITO]],6,FALSE),0)</f>
        <v>0</v>
      </c>
      <c r="S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8" s="10" t="str">
        <f>VLOOKUP(Tabla3[[#This Row],[Razón social cliente factura]]&amp;Tabla3[[#This Row],[Desc. ciudad]],'Estandar de Rutas'!$C$1:$E$553,2,FALSE)</f>
        <v>7.2</v>
      </c>
      <c r="U338" s="130">
        <f>IFERROR(VLOOKUP(Tabla3[[#This Row],[Referencia]]&amp;Tabla3[[#This Row],[Desc detalle ext 1]],Tabla1[[Referencia-Color]:[Disponibilidad]],3,FALSE),0)</f>
        <v>38</v>
      </c>
      <c r="V338" s="13"/>
      <c r="W338" s="17">
        <f>+Tabla3[[#This Row],[Cant. Programada]]*Tabla3[[#This Row],[Precio unit]]</f>
        <v>0</v>
      </c>
      <c r="X338" s="8"/>
      <c r="Y338" s="8"/>
      <c r="Z338" s="8" t="str">
        <f>+Tabla3[[#This Row],[Referencia]]&amp;Tabla3[[#This Row],[Desc detalle ext 1]]</f>
        <v>*CB-110                                           ROJO SPOR</v>
      </c>
      <c r="AA338" s="128" t="e">
        <f>+VLOOKUP(Tabla3[[#This Row],[CODIGO2]],ESTANDAR!$B$3:$C$9,2,FALSE)</f>
        <v>#N/A</v>
      </c>
      <c r="AB338" s="128" t="str">
        <f>+MID(Tabla3[[#This Row],['# Viaje]],10,1)</f>
        <v/>
      </c>
    </row>
    <row r="339" spans="1:28" ht="15" hidden="1" customHeight="1">
      <c r="A339" s="173" t="s">
        <v>1520</v>
      </c>
      <c r="B339" s="174">
        <v>42948</v>
      </c>
      <c r="C339" s="173" t="s">
        <v>1477</v>
      </c>
      <c r="D339" s="173" t="s">
        <v>1478</v>
      </c>
      <c r="E339" s="173" t="s">
        <v>1479</v>
      </c>
      <c r="F339" s="173">
        <v>8</v>
      </c>
      <c r="G339" s="173" t="s">
        <v>75</v>
      </c>
      <c r="H339" s="173">
        <v>8</v>
      </c>
      <c r="I339" s="173" t="s">
        <v>75</v>
      </c>
      <c r="J339" s="173" t="s">
        <v>14</v>
      </c>
      <c r="K339" s="173" t="s">
        <v>16</v>
      </c>
      <c r="L339" s="173"/>
      <c r="M339" s="173" t="s">
        <v>76</v>
      </c>
      <c r="N339" s="173">
        <v>838000154</v>
      </c>
      <c r="O339" s="175">
        <v>3360504</v>
      </c>
      <c r="P339" s="7"/>
      <c r="Q3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9" s="9">
        <f>+IFERROR(VLOOKUP(Tabla3[[#This Row],[Cliente factura]],Tabla4[[NIT]:[TOTAL CREDITO]],6,FALSE),0)</f>
        <v>0</v>
      </c>
      <c r="S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9" s="10" t="str">
        <f>VLOOKUP(Tabla3[[#This Row],[Razón social cliente factura]]&amp;Tabla3[[#This Row],[Desc. ciudad]],'Estandar de Rutas'!$C$1:$E$553,2,FALSE)</f>
        <v>7.2</v>
      </c>
      <c r="U339" s="130">
        <f>IFERROR(VLOOKUP(Tabla3[[#This Row],[Referencia]]&amp;Tabla3[[#This Row],[Desc detalle ext 1]],Tabla1[[Referencia-Color]:[Disponibilidad]],3,FALSE),0)</f>
        <v>83</v>
      </c>
      <c r="V339" s="13"/>
      <c r="W339" s="17">
        <f>+Tabla3[[#This Row],[Cant. Programada]]*Tabla3[[#This Row],[Precio unit]]</f>
        <v>0</v>
      </c>
      <c r="X339" s="8"/>
      <c r="Y339" s="8"/>
      <c r="Z339" s="8" t="str">
        <f>+Tabla3[[#This Row],[Referencia]]&amp;Tabla3[[#This Row],[Desc detalle ext 1]]</f>
        <v xml:space="preserve">*CB-110                                           NEGRO    </v>
      </c>
      <c r="AA339" s="128" t="e">
        <f>+VLOOKUP(Tabla3[[#This Row],[CODIGO2]],ESTANDAR!$B$3:$C$9,2,FALSE)</f>
        <v>#N/A</v>
      </c>
      <c r="AB339" s="128" t="str">
        <f>+MID(Tabla3[[#This Row],['# Viaje]],10,1)</f>
        <v/>
      </c>
    </row>
    <row r="340" spans="1:28" ht="15" hidden="1" customHeight="1">
      <c r="A340" s="173" t="s">
        <v>1520</v>
      </c>
      <c r="B340" s="174">
        <v>42948</v>
      </c>
      <c r="C340" s="173" t="s">
        <v>1477</v>
      </c>
      <c r="D340" s="173" t="s">
        <v>1478</v>
      </c>
      <c r="E340" s="173" t="s">
        <v>1479</v>
      </c>
      <c r="F340" s="173">
        <v>1</v>
      </c>
      <c r="G340" s="173" t="s">
        <v>75</v>
      </c>
      <c r="H340" s="173">
        <v>1</v>
      </c>
      <c r="I340" s="173" t="s">
        <v>75</v>
      </c>
      <c r="J340" s="173" t="s">
        <v>14</v>
      </c>
      <c r="K340" s="173" t="s">
        <v>15</v>
      </c>
      <c r="L340" s="173"/>
      <c r="M340" s="173" t="s">
        <v>76</v>
      </c>
      <c r="N340" s="173">
        <v>838000154</v>
      </c>
      <c r="O340" s="175">
        <v>3360504</v>
      </c>
      <c r="P340" s="7"/>
      <c r="Q3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0" s="9">
        <f>+IFERROR(VLOOKUP(Tabla3[[#This Row],[Cliente factura]],Tabla4[[NIT]:[TOTAL CREDITO]],6,FALSE),0)</f>
        <v>0</v>
      </c>
      <c r="S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0" s="10" t="str">
        <f>VLOOKUP(Tabla3[[#This Row],[Razón social cliente factura]]&amp;Tabla3[[#This Row],[Desc. ciudad]],'Estandar de Rutas'!$C$1:$E$553,2,FALSE)</f>
        <v>7.2</v>
      </c>
      <c r="U340" s="130">
        <f>IFERROR(VLOOKUP(Tabla3[[#This Row],[Referencia]]&amp;Tabla3[[#This Row],[Desc detalle ext 1]],Tabla1[[Referencia-Color]:[Disponibilidad]],3,FALSE),0)</f>
        <v>99</v>
      </c>
      <c r="V340" s="13"/>
      <c r="W340" s="17">
        <f>+Tabla3[[#This Row],[Cant. Programada]]*Tabla3[[#This Row],[Precio unit]]</f>
        <v>0</v>
      </c>
      <c r="X340" s="129"/>
      <c r="Y340" s="129"/>
      <c r="Z340" s="8" t="str">
        <f>+Tabla3[[#This Row],[Referencia]]&amp;Tabla3[[#This Row],[Desc detalle ext 1]]</f>
        <v>*CB-110                                           AZUL FIJI</v>
      </c>
      <c r="AA340" s="128" t="e">
        <f>+VLOOKUP(Tabla3[[#This Row],[CODIGO2]],ESTANDAR!$B$3:$C$9,2,FALSE)</f>
        <v>#N/A</v>
      </c>
      <c r="AB340" s="128" t="str">
        <f>+MID(Tabla3[[#This Row],['# Viaje]],10,1)</f>
        <v/>
      </c>
    </row>
    <row r="341" spans="1:28" ht="15" hidden="1" customHeight="1">
      <c r="A341" s="173" t="s">
        <v>1520</v>
      </c>
      <c r="B341" s="174">
        <v>42948</v>
      </c>
      <c r="C341" s="173" t="s">
        <v>1477</v>
      </c>
      <c r="D341" s="173" t="s">
        <v>1478</v>
      </c>
      <c r="E341" s="173" t="s">
        <v>1479</v>
      </c>
      <c r="F341" s="173">
        <v>1</v>
      </c>
      <c r="G341" s="173" t="s">
        <v>75</v>
      </c>
      <c r="H341" s="173">
        <v>1</v>
      </c>
      <c r="I341" s="173" t="s">
        <v>75</v>
      </c>
      <c r="J341" s="173" t="s">
        <v>27</v>
      </c>
      <c r="K341" s="173" t="s">
        <v>32</v>
      </c>
      <c r="L341" s="173"/>
      <c r="M341" s="173" t="s">
        <v>76</v>
      </c>
      <c r="N341" s="173">
        <v>838000154</v>
      </c>
      <c r="O341" s="175">
        <v>5789916</v>
      </c>
      <c r="P341" s="7"/>
      <c r="Q3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1" s="9">
        <f>+IFERROR(VLOOKUP(Tabla3[[#This Row],[Cliente factura]],Tabla4[[NIT]:[TOTAL CREDITO]],6,FALSE),0)</f>
        <v>0</v>
      </c>
      <c r="S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1" s="10" t="str">
        <f>VLOOKUP(Tabla3[[#This Row],[Razón social cliente factura]]&amp;Tabla3[[#This Row],[Desc. ciudad]],'Estandar de Rutas'!$C$1:$E$553,2,FALSE)</f>
        <v>7.2</v>
      </c>
      <c r="U341" s="130">
        <f>IFERROR(VLOOKUP(Tabla3[[#This Row],[Referencia]]&amp;Tabla3[[#This Row],[Desc detalle ext 1]],Tabla1[[Referencia-Color]:[Disponibilidad]],3,FALSE),0)</f>
        <v>7</v>
      </c>
      <c r="V341" s="13"/>
      <c r="W341" s="17">
        <f>+Tabla3[[#This Row],[Cant. Programada]]*Tabla3[[#This Row],[Precio unit]]</f>
        <v>0</v>
      </c>
      <c r="X341" s="8"/>
      <c r="Y341" s="8"/>
      <c r="Z341" s="8" t="str">
        <f>+Tabla3[[#This Row],[Referencia]]&amp;Tabla3[[#This Row],[Desc detalle ext 1]]</f>
        <v>*XR 150L                                          NEGRO ROJ</v>
      </c>
      <c r="AA341" s="128" t="e">
        <f>+VLOOKUP(Tabla3[[#This Row],[CODIGO2]],ESTANDAR!$B$3:$C$9,2,FALSE)</f>
        <v>#N/A</v>
      </c>
      <c r="AB341" s="128" t="str">
        <f>+MID(Tabla3[[#This Row],['# Viaje]],10,1)</f>
        <v/>
      </c>
    </row>
    <row r="342" spans="1:28" ht="15" hidden="1" customHeight="1">
      <c r="A342" s="173" t="s">
        <v>1520</v>
      </c>
      <c r="B342" s="174">
        <v>42948</v>
      </c>
      <c r="C342" s="173" t="s">
        <v>1477</v>
      </c>
      <c r="D342" s="173" t="s">
        <v>1478</v>
      </c>
      <c r="E342" s="173" t="s">
        <v>1479</v>
      </c>
      <c r="F342" s="173">
        <v>1</v>
      </c>
      <c r="G342" s="173" t="s">
        <v>75</v>
      </c>
      <c r="H342" s="173">
        <v>1</v>
      </c>
      <c r="I342" s="173" t="s">
        <v>75</v>
      </c>
      <c r="J342" s="173" t="s">
        <v>27</v>
      </c>
      <c r="K342" s="173" t="s">
        <v>26</v>
      </c>
      <c r="L342" s="173"/>
      <c r="M342" s="173" t="s">
        <v>76</v>
      </c>
      <c r="N342" s="173">
        <v>838000154</v>
      </c>
      <c r="O342" s="175">
        <v>5789916</v>
      </c>
      <c r="P342" s="7"/>
      <c r="Q3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2" s="9">
        <f>+IFERROR(VLOOKUP(Tabla3[[#This Row],[Cliente factura]],Tabla4[[NIT]:[TOTAL CREDITO]],6,FALSE),0)</f>
        <v>0</v>
      </c>
      <c r="S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2" s="10" t="str">
        <f>VLOOKUP(Tabla3[[#This Row],[Razón social cliente factura]]&amp;Tabla3[[#This Row],[Desc. ciudad]],'Estandar de Rutas'!$C$1:$E$553,2,FALSE)</f>
        <v>7.2</v>
      </c>
      <c r="U342" s="130">
        <f>IFERROR(VLOOKUP(Tabla3[[#This Row],[Referencia]]&amp;Tabla3[[#This Row],[Desc detalle ext 1]],Tabla1[[Referencia-Color]:[Disponibilidad]],3,FALSE),0)</f>
        <v>59</v>
      </c>
      <c r="V342" s="13"/>
      <c r="W342" s="17">
        <f>+Tabla3[[#This Row],[Cant. Programada]]*Tabla3[[#This Row],[Precio unit]]</f>
        <v>0</v>
      </c>
      <c r="X342" s="129"/>
      <c r="Y342" s="129"/>
      <c r="Z342" s="8" t="str">
        <f>+Tabla3[[#This Row],[Referencia]]&amp;Tabla3[[#This Row],[Desc detalle ext 1]]</f>
        <v>*XR 150L                                          NEGRO BLA</v>
      </c>
      <c r="AA342" s="128" t="e">
        <f>+VLOOKUP(Tabla3[[#This Row],[CODIGO2]],ESTANDAR!$B$3:$C$9,2,FALSE)</f>
        <v>#N/A</v>
      </c>
      <c r="AB342" s="128" t="str">
        <f>+MID(Tabla3[[#This Row],['# Viaje]],10,1)</f>
        <v/>
      </c>
    </row>
    <row r="343" spans="1:28" ht="15" hidden="1" customHeight="1">
      <c r="A343" s="173" t="s">
        <v>1520</v>
      </c>
      <c r="B343" s="174">
        <v>42948</v>
      </c>
      <c r="C343" s="173" t="s">
        <v>1477</v>
      </c>
      <c r="D343" s="173" t="s">
        <v>1478</v>
      </c>
      <c r="E343" s="173" t="s">
        <v>1479</v>
      </c>
      <c r="F343" s="173">
        <v>1</v>
      </c>
      <c r="G343" s="173" t="s">
        <v>75</v>
      </c>
      <c r="H343" s="173">
        <v>1</v>
      </c>
      <c r="I343" s="173" t="s">
        <v>75</v>
      </c>
      <c r="J343" s="173" t="s">
        <v>27</v>
      </c>
      <c r="K343" s="173" t="s">
        <v>16</v>
      </c>
      <c r="L343" s="173"/>
      <c r="M343" s="173" t="s">
        <v>76</v>
      </c>
      <c r="N343" s="173">
        <v>838000154</v>
      </c>
      <c r="O343" s="175">
        <v>5789916</v>
      </c>
      <c r="P343" s="7"/>
      <c r="Q3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3" s="9">
        <f>+IFERROR(VLOOKUP(Tabla3[[#This Row],[Cliente factura]],Tabla4[[NIT]:[TOTAL CREDITO]],6,FALSE),0)</f>
        <v>0</v>
      </c>
      <c r="S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3" s="10" t="str">
        <f>VLOOKUP(Tabla3[[#This Row],[Razón social cliente factura]]&amp;Tabla3[[#This Row],[Desc. ciudad]],'Estandar de Rutas'!$C$1:$E$553,2,FALSE)</f>
        <v>7.2</v>
      </c>
      <c r="U343" s="130">
        <f>IFERROR(VLOOKUP(Tabla3[[#This Row],[Referencia]]&amp;Tabla3[[#This Row],[Desc detalle ext 1]],Tabla1[[Referencia-Color]:[Disponibilidad]],3,FALSE),0)</f>
        <v>3</v>
      </c>
      <c r="V343" s="13"/>
      <c r="W343" s="17">
        <f>+Tabla3[[#This Row],[Cant. Programada]]*Tabla3[[#This Row],[Precio unit]]</f>
        <v>0</v>
      </c>
      <c r="X343" s="8"/>
      <c r="Y343" s="8"/>
      <c r="Z343" s="8" t="str">
        <f>+Tabla3[[#This Row],[Referencia]]&amp;Tabla3[[#This Row],[Desc detalle ext 1]]</f>
        <v xml:space="preserve">*XR 150L                                          NEGRO    </v>
      </c>
      <c r="AA343" s="128" t="e">
        <f>+VLOOKUP(Tabla3[[#This Row],[CODIGO2]],ESTANDAR!$B$3:$C$9,2,FALSE)</f>
        <v>#N/A</v>
      </c>
      <c r="AB343" s="128" t="str">
        <f>+MID(Tabla3[[#This Row],['# Viaje]],10,1)</f>
        <v/>
      </c>
    </row>
    <row r="344" spans="1:28" ht="15" hidden="1" customHeight="1">
      <c r="A344" s="173" t="s">
        <v>1520</v>
      </c>
      <c r="B344" s="174">
        <v>42948</v>
      </c>
      <c r="C344" s="173" t="s">
        <v>1477</v>
      </c>
      <c r="D344" s="173" t="s">
        <v>1478</v>
      </c>
      <c r="E344" s="173" t="s">
        <v>1479</v>
      </c>
      <c r="F344" s="173">
        <v>6</v>
      </c>
      <c r="G344" s="173" t="s">
        <v>75</v>
      </c>
      <c r="H344" s="173">
        <v>6</v>
      </c>
      <c r="I344" s="173" t="s">
        <v>75</v>
      </c>
      <c r="J344" s="173" t="s">
        <v>25</v>
      </c>
      <c r="K344" s="173" t="s">
        <v>26</v>
      </c>
      <c r="L344" s="173"/>
      <c r="M344" s="173" t="s">
        <v>76</v>
      </c>
      <c r="N344" s="173">
        <v>838000154</v>
      </c>
      <c r="O344" s="175">
        <v>3521008</v>
      </c>
      <c r="P344" s="7"/>
      <c r="Q3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4" s="9">
        <f>+IFERROR(VLOOKUP(Tabla3[[#This Row],[Cliente factura]],Tabla4[[NIT]:[TOTAL CREDITO]],6,FALSE),0)</f>
        <v>0</v>
      </c>
      <c r="S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4" s="10" t="str">
        <f>VLOOKUP(Tabla3[[#This Row],[Razón social cliente factura]]&amp;Tabla3[[#This Row],[Desc. ciudad]],'Estandar de Rutas'!$C$1:$E$553,2,FALSE)</f>
        <v>7.2</v>
      </c>
      <c r="U344" s="130">
        <f>IFERROR(VLOOKUP(Tabla3[[#This Row],[Referencia]]&amp;Tabla3[[#This Row],[Desc detalle ext 1]],Tabla1[[Referencia-Color]:[Disponibilidad]],3,FALSE),0)</f>
        <v>15</v>
      </c>
      <c r="V344" s="13"/>
      <c r="W344" s="17">
        <f>+Tabla3[[#This Row],[Cant. Programada]]*Tabla3[[#This Row],[Precio unit]]</f>
        <v>0</v>
      </c>
      <c r="X344" s="8"/>
      <c r="Y344" s="8"/>
      <c r="Z344" s="8" t="str">
        <f>+Tabla3[[#This Row],[Referencia]]&amp;Tabla3[[#This Row],[Desc detalle ext 1]]</f>
        <v>DIO 110                                           NEGRO BLA</v>
      </c>
      <c r="AA344" s="128" t="e">
        <f>+VLOOKUP(Tabla3[[#This Row],[CODIGO2]],ESTANDAR!$B$3:$C$9,2,FALSE)</f>
        <v>#N/A</v>
      </c>
      <c r="AB344" s="128" t="str">
        <f>+MID(Tabla3[[#This Row],['# Viaje]],10,1)</f>
        <v/>
      </c>
    </row>
    <row r="345" spans="1:28" ht="15" hidden="1" customHeight="1">
      <c r="A345" s="173" t="s">
        <v>1520</v>
      </c>
      <c r="B345" s="174">
        <v>42948</v>
      </c>
      <c r="C345" s="173" t="s">
        <v>1477</v>
      </c>
      <c r="D345" s="173" t="s">
        <v>1478</v>
      </c>
      <c r="E345" s="173" t="s">
        <v>1479</v>
      </c>
      <c r="F345" s="173">
        <v>1</v>
      </c>
      <c r="G345" s="173" t="s">
        <v>75</v>
      </c>
      <c r="H345" s="173">
        <v>1</v>
      </c>
      <c r="I345" s="173" t="s">
        <v>75</v>
      </c>
      <c r="J345" s="173" t="s">
        <v>1433</v>
      </c>
      <c r="K345" s="173" t="s">
        <v>1431</v>
      </c>
      <c r="L345" s="173"/>
      <c r="M345" s="173" t="s">
        <v>76</v>
      </c>
      <c r="N345" s="173">
        <v>838000154</v>
      </c>
      <c r="O345" s="175">
        <v>3521008</v>
      </c>
      <c r="P345" s="7"/>
      <c r="Q3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5" s="9">
        <f>+IFERROR(VLOOKUP(Tabla3[[#This Row],[Cliente factura]],Tabla4[[NIT]:[TOTAL CREDITO]],6,FALSE),0)</f>
        <v>0</v>
      </c>
      <c r="S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5" s="10" t="str">
        <f>VLOOKUP(Tabla3[[#This Row],[Razón social cliente factura]]&amp;Tabla3[[#This Row],[Desc. ciudad]],'Estandar de Rutas'!$C$1:$E$553,2,FALSE)</f>
        <v>7.2</v>
      </c>
      <c r="U345" s="130">
        <f>IFERROR(VLOOKUP(Tabla3[[#This Row],[Referencia]]&amp;Tabla3[[#This Row],[Desc detalle ext 1]],Tabla1[[Referencia-Color]:[Disponibilidad]],3,FALSE),0)</f>
        <v>0</v>
      </c>
      <c r="V345" s="13"/>
      <c r="W345" s="17">
        <f>+Tabla3[[#This Row],[Cant. Programada]]*Tabla3[[#This Row],[Precio unit]]</f>
        <v>0</v>
      </c>
      <c r="X345" s="8"/>
      <c r="Y345" s="8"/>
      <c r="Z345" s="8" t="str">
        <f>+Tabla3[[#This Row],[Referencia]]&amp;Tabla3[[#This Row],[Desc detalle ext 1]]</f>
        <v xml:space="preserve">DIO  110                                          ROJO     </v>
      </c>
      <c r="AA345" s="128" t="e">
        <f>+VLOOKUP(Tabla3[[#This Row],[CODIGO2]],ESTANDAR!$B$3:$C$9,2,FALSE)</f>
        <v>#N/A</v>
      </c>
      <c r="AB345" s="128" t="str">
        <f>+MID(Tabla3[[#This Row],['# Viaje]],10,1)</f>
        <v/>
      </c>
    </row>
    <row r="346" spans="1:28" ht="15" hidden="1" customHeight="1">
      <c r="A346" s="173" t="s">
        <v>1520</v>
      </c>
      <c r="B346" s="174">
        <v>42948</v>
      </c>
      <c r="C346" s="173" t="s">
        <v>1477</v>
      </c>
      <c r="D346" s="173" t="s">
        <v>1478</v>
      </c>
      <c r="E346" s="173" t="s">
        <v>1479</v>
      </c>
      <c r="F346" s="173">
        <v>4</v>
      </c>
      <c r="G346" s="173" t="s">
        <v>75</v>
      </c>
      <c r="H346" s="173">
        <v>4</v>
      </c>
      <c r="I346" s="173" t="s">
        <v>75</v>
      </c>
      <c r="J346" s="173" t="s">
        <v>1433</v>
      </c>
      <c r="K346" s="173" t="s">
        <v>1434</v>
      </c>
      <c r="L346" s="173"/>
      <c r="M346" s="173" t="s">
        <v>76</v>
      </c>
      <c r="N346" s="173">
        <v>838000154</v>
      </c>
      <c r="O346" s="175">
        <v>3521008</v>
      </c>
      <c r="P346" s="7"/>
      <c r="Q3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6" s="9">
        <f>+IFERROR(VLOOKUP(Tabla3[[#This Row],[Cliente factura]],Tabla4[[NIT]:[TOTAL CREDITO]],6,FALSE),0)</f>
        <v>0</v>
      </c>
      <c r="S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6" s="10" t="str">
        <f>VLOOKUP(Tabla3[[#This Row],[Razón social cliente factura]]&amp;Tabla3[[#This Row],[Desc. ciudad]],'Estandar de Rutas'!$C$1:$E$553,2,FALSE)</f>
        <v>7.2</v>
      </c>
      <c r="U346" s="130">
        <f>IFERROR(VLOOKUP(Tabla3[[#This Row],[Referencia]]&amp;Tabla3[[#This Row],[Desc detalle ext 1]],Tabla1[[Referencia-Color]:[Disponibilidad]],3,FALSE),0)</f>
        <v>23</v>
      </c>
      <c r="V346" s="13"/>
      <c r="W346" s="17">
        <f>+Tabla3[[#This Row],[Cant. Programada]]*Tabla3[[#This Row],[Precio unit]]</f>
        <v>0</v>
      </c>
      <c r="X346" s="8"/>
      <c r="Y346" s="8"/>
      <c r="Z346" s="8" t="str">
        <f>+Tabla3[[#This Row],[Referencia]]&amp;Tabla3[[#This Row],[Desc detalle ext 1]]</f>
        <v>DIO  110                                          BLANCO NE</v>
      </c>
      <c r="AA346" s="128" t="e">
        <f>+VLOOKUP(Tabla3[[#This Row],[CODIGO2]],ESTANDAR!$B$3:$C$9,2,FALSE)</f>
        <v>#N/A</v>
      </c>
      <c r="AB346" s="128" t="str">
        <f>+MID(Tabla3[[#This Row],['# Viaje]],10,1)</f>
        <v/>
      </c>
    </row>
    <row r="347" spans="1:28" ht="15" hidden="1" customHeight="1">
      <c r="A347" s="173" t="s">
        <v>1520</v>
      </c>
      <c r="B347" s="174">
        <v>42948</v>
      </c>
      <c r="C347" s="173" t="s">
        <v>1477</v>
      </c>
      <c r="D347" s="173" t="s">
        <v>1478</v>
      </c>
      <c r="E347" s="173" t="s">
        <v>1479</v>
      </c>
      <c r="F347" s="173">
        <v>1</v>
      </c>
      <c r="G347" s="173" t="s">
        <v>75</v>
      </c>
      <c r="H347" s="173">
        <v>1</v>
      </c>
      <c r="I347" s="173" t="s">
        <v>75</v>
      </c>
      <c r="J347" s="173" t="s">
        <v>1428</v>
      </c>
      <c r="K347" s="173" t="s">
        <v>32</v>
      </c>
      <c r="L347" s="173"/>
      <c r="M347" s="173" t="s">
        <v>76</v>
      </c>
      <c r="N347" s="173">
        <v>838000154</v>
      </c>
      <c r="O347" s="175">
        <v>3067227</v>
      </c>
      <c r="P347" s="7"/>
      <c r="Q3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7" s="9">
        <f>+IFERROR(VLOOKUP(Tabla3[[#This Row],[Cliente factura]],Tabla4[[NIT]:[TOTAL CREDITO]],6,FALSE),0)</f>
        <v>0</v>
      </c>
      <c r="S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7" s="10" t="str">
        <f>VLOOKUP(Tabla3[[#This Row],[Razón social cliente factura]]&amp;Tabla3[[#This Row],[Desc. ciudad]],'Estandar de Rutas'!$C$1:$E$553,2,FALSE)</f>
        <v>7.2</v>
      </c>
      <c r="U347" s="130">
        <f>IFERROR(VLOOKUP(Tabla3[[#This Row],[Referencia]]&amp;Tabla3[[#This Row],[Desc detalle ext 1]],Tabla1[[Referencia-Color]:[Disponibilidad]],3,FALSE),0)</f>
        <v>0</v>
      </c>
      <c r="V347" s="13"/>
      <c r="W347" s="17">
        <f>+Tabla3[[#This Row],[Cant. Programada]]*Tabla3[[#This Row],[Precio unit]]</f>
        <v>0</v>
      </c>
      <c r="X347" s="8"/>
      <c r="Y347" s="8"/>
      <c r="Z347" s="8" t="str">
        <f>+Tabla3[[#This Row],[Referencia]]&amp;Tabla3[[#This Row],[Desc detalle ext 1]]</f>
        <v>DREAM  NEO                                        NEGRO ROJ</v>
      </c>
      <c r="AA347" s="128" t="e">
        <f>+VLOOKUP(Tabla3[[#This Row],[CODIGO2]],ESTANDAR!$B$3:$C$9,2,FALSE)</f>
        <v>#N/A</v>
      </c>
      <c r="AB347" s="128" t="str">
        <f>+MID(Tabla3[[#This Row],['# Viaje]],10,1)</f>
        <v/>
      </c>
    </row>
    <row r="348" spans="1:28" ht="15" hidden="1" customHeight="1">
      <c r="A348" s="173" t="s">
        <v>1520</v>
      </c>
      <c r="B348" s="174">
        <v>42948</v>
      </c>
      <c r="C348" s="173" t="s">
        <v>1477</v>
      </c>
      <c r="D348" s="173" t="s">
        <v>1478</v>
      </c>
      <c r="E348" s="173" t="s">
        <v>1479</v>
      </c>
      <c r="F348" s="173">
        <v>1</v>
      </c>
      <c r="G348" s="173" t="s">
        <v>75</v>
      </c>
      <c r="H348" s="173">
        <v>1</v>
      </c>
      <c r="I348" s="173" t="s">
        <v>75</v>
      </c>
      <c r="J348" s="173" t="s">
        <v>1451</v>
      </c>
      <c r="K348" s="173" t="s">
        <v>1449</v>
      </c>
      <c r="L348" s="173"/>
      <c r="M348" s="173" t="s">
        <v>76</v>
      </c>
      <c r="N348" s="173">
        <v>838000154</v>
      </c>
      <c r="O348" s="175">
        <v>3696639</v>
      </c>
      <c r="P348" s="7"/>
      <c r="Q3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8" s="9">
        <f>+IFERROR(VLOOKUP(Tabla3[[#This Row],[Cliente factura]],Tabla4[[NIT]:[TOTAL CREDITO]],6,FALSE),0)</f>
        <v>0</v>
      </c>
      <c r="S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8" s="10" t="str">
        <f>VLOOKUP(Tabla3[[#This Row],[Razón social cliente factura]]&amp;Tabla3[[#This Row],[Desc. ciudad]],'Estandar de Rutas'!$C$1:$E$553,2,FALSE)</f>
        <v>7.2</v>
      </c>
      <c r="U348" s="130">
        <f>IFERROR(VLOOKUP(Tabla3[[#This Row],[Referencia]]&amp;Tabla3[[#This Row],[Desc detalle ext 1]],Tabla1[[Referencia-Color]:[Disponibilidad]],3,FALSE),0)</f>
        <v>24</v>
      </c>
      <c r="V348" s="13"/>
      <c r="W348" s="17">
        <f>+Tabla3[[#This Row],[Cant. Programada]]*Tabla3[[#This Row],[Precio unit]]</f>
        <v>0</v>
      </c>
      <c r="X348" s="8"/>
      <c r="Y348" s="8"/>
      <c r="Z348" s="8" t="str">
        <f>+Tabla3[[#This Row],[Referencia]]&amp;Tabla3[[#This Row],[Desc detalle ext 1]]</f>
        <v xml:space="preserve">CB 110 DLX                                        GRIS     </v>
      </c>
      <c r="AA348" s="128" t="e">
        <f>+VLOOKUP(Tabla3[[#This Row],[CODIGO2]],ESTANDAR!$B$3:$C$9,2,FALSE)</f>
        <v>#N/A</v>
      </c>
      <c r="AB348" s="128" t="str">
        <f>+MID(Tabla3[[#This Row],['# Viaje]],10,1)</f>
        <v/>
      </c>
    </row>
    <row r="349" spans="1:28" ht="15" hidden="1" customHeight="1">
      <c r="A349" s="173" t="s">
        <v>1520</v>
      </c>
      <c r="B349" s="174">
        <v>42948</v>
      </c>
      <c r="C349" s="173" t="s">
        <v>1477</v>
      </c>
      <c r="D349" s="173" t="s">
        <v>1478</v>
      </c>
      <c r="E349" s="173" t="s">
        <v>1479</v>
      </c>
      <c r="F349" s="173">
        <v>1</v>
      </c>
      <c r="G349" s="173" t="s">
        <v>75</v>
      </c>
      <c r="H349" s="173">
        <v>1</v>
      </c>
      <c r="I349" s="173" t="s">
        <v>75</v>
      </c>
      <c r="J349" s="173" t="s">
        <v>1451</v>
      </c>
      <c r="K349" s="173" t="s">
        <v>1431</v>
      </c>
      <c r="L349" s="173"/>
      <c r="M349" s="173" t="s">
        <v>76</v>
      </c>
      <c r="N349" s="173">
        <v>838000154</v>
      </c>
      <c r="O349" s="175">
        <v>3696639</v>
      </c>
      <c r="P349" s="7"/>
      <c r="Q3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9" s="9">
        <f>+IFERROR(VLOOKUP(Tabla3[[#This Row],[Cliente factura]],Tabla4[[NIT]:[TOTAL CREDITO]],6,FALSE),0)</f>
        <v>0</v>
      </c>
      <c r="S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9" s="10" t="str">
        <f>VLOOKUP(Tabla3[[#This Row],[Razón social cliente factura]]&amp;Tabla3[[#This Row],[Desc. ciudad]],'Estandar de Rutas'!$C$1:$E$553,2,FALSE)</f>
        <v>7.2</v>
      </c>
      <c r="U349" s="130">
        <f>IFERROR(VLOOKUP(Tabla3[[#This Row],[Referencia]]&amp;Tabla3[[#This Row],[Desc detalle ext 1]],Tabla1[[Referencia-Color]:[Disponibilidad]],3,FALSE),0)</f>
        <v>21</v>
      </c>
      <c r="V349" s="13"/>
      <c r="W349" s="17">
        <f>+Tabla3[[#This Row],[Cant. Programada]]*Tabla3[[#This Row],[Precio unit]]</f>
        <v>0</v>
      </c>
      <c r="X349" s="8"/>
      <c r="Y349" s="8"/>
      <c r="Z349" s="8" t="str">
        <f>+Tabla3[[#This Row],[Referencia]]&amp;Tabla3[[#This Row],[Desc detalle ext 1]]</f>
        <v xml:space="preserve">CB 110 DLX                                        ROJO     </v>
      </c>
      <c r="AA349" s="128" t="e">
        <f>+VLOOKUP(Tabla3[[#This Row],[CODIGO2]],ESTANDAR!$B$3:$C$9,2,FALSE)</f>
        <v>#N/A</v>
      </c>
      <c r="AB349" s="128" t="str">
        <f>+MID(Tabla3[[#This Row],['# Viaje]],10,1)</f>
        <v/>
      </c>
    </row>
    <row r="350" spans="1:28" ht="15" hidden="1" customHeight="1">
      <c r="A350" s="173" t="s">
        <v>1520</v>
      </c>
      <c r="B350" s="174">
        <v>42948</v>
      </c>
      <c r="C350" s="173" t="s">
        <v>1477</v>
      </c>
      <c r="D350" s="173" t="s">
        <v>1478</v>
      </c>
      <c r="E350" s="173" t="s">
        <v>1479</v>
      </c>
      <c r="F350" s="173">
        <v>4</v>
      </c>
      <c r="G350" s="173" t="s">
        <v>75</v>
      </c>
      <c r="H350" s="173">
        <v>4</v>
      </c>
      <c r="I350" s="173" t="s">
        <v>75</v>
      </c>
      <c r="J350" s="173" t="s">
        <v>1451</v>
      </c>
      <c r="K350" s="173" t="s">
        <v>16</v>
      </c>
      <c r="L350" s="173"/>
      <c r="M350" s="173" t="s">
        <v>76</v>
      </c>
      <c r="N350" s="173">
        <v>838000154</v>
      </c>
      <c r="O350" s="175">
        <v>3696639</v>
      </c>
      <c r="P350" s="7"/>
      <c r="Q3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50" s="9">
        <f>+IFERROR(VLOOKUP(Tabla3[[#This Row],[Cliente factura]],Tabla4[[NIT]:[TOTAL CREDITO]],6,FALSE),0)</f>
        <v>0</v>
      </c>
      <c r="S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50" s="10" t="str">
        <f>VLOOKUP(Tabla3[[#This Row],[Razón social cliente factura]]&amp;Tabla3[[#This Row],[Desc. ciudad]],'Estandar de Rutas'!$C$1:$E$553,2,FALSE)</f>
        <v>7.2</v>
      </c>
      <c r="U350" s="130">
        <f>IFERROR(VLOOKUP(Tabla3[[#This Row],[Referencia]]&amp;Tabla3[[#This Row],[Desc detalle ext 1]],Tabla1[[Referencia-Color]:[Disponibilidad]],3,FALSE),0)</f>
        <v>3</v>
      </c>
      <c r="V350" s="13"/>
      <c r="W350" s="17">
        <f>+Tabla3[[#This Row],[Cant. Programada]]*Tabla3[[#This Row],[Precio unit]]</f>
        <v>0</v>
      </c>
      <c r="X350" s="8"/>
      <c r="Y350" s="8"/>
      <c r="Z350" s="8" t="str">
        <f>+Tabla3[[#This Row],[Referencia]]&amp;Tabla3[[#This Row],[Desc detalle ext 1]]</f>
        <v xml:space="preserve">CB 110 DLX                                        NEGRO    </v>
      </c>
      <c r="AA350" s="128" t="e">
        <f>+VLOOKUP(Tabla3[[#This Row],[CODIGO2]],ESTANDAR!$B$3:$C$9,2,FALSE)</f>
        <v>#N/A</v>
      </c>
      <c r="AB350" s="128" t="str">
        <f>+MID(Tabla3[[#This Row],['# Viaje]],10,1)</f>
        <v/>
      </c>
    </row>
    <row r="351" spans="1:28" ht="15" hidden="1" customHeight="1">
      <c r="A351" s="173" t="s">
        <v>1521</v>
      </c>
      <c r="B351" s="174">
        <v>42948</v>
      </c>
      <c r="C351" s="173" t="s">
        <v>1231</v>
      </c>
      <c r="D351" s="173" t="s">
        <v>1478</v>
      </c>
      <c r="E351" s="173" t="s">
        <v>1232</v>
      </c>
      <c r="F351" s="173">
        <v>10</v>
      </c>
      <c r="G351" s="173" t="s">
        <v>215</v>
      </c>
      <c r="H351" s="173">
        <v>10</v>
      </c>
      <c r="I351" s="173" t="s">
        <v>1522</v>
      </c>
      <c r="J351" s="173" t="s">
        <v>21</v>
      </c>
      <c r="K351" s="173" t="s">
        <v>16</v>
      </c>
      <c r="L351" s="173"/>
      <c r="M351" s="173" t="s">
        <v>216</v>
      </c>
      <c r="N351" s="173">
        <v>817000553</v>
      </c>
      <c r="O351" s="175">
        <v>4109244</v>
      </c>
      <c r="P351" s="7"/>
      <c r="Q351" s="16">
        <f>+IF(IFERROR(VLOOKUP(Tabla3[[#This Row],[Cliente factura]],Tabla4[[NIT]:[TOTAL CREDITO]],3,FALSE),0)="",0,IFERROR(VLOOKUP(Tabla3[[#This Row],[Cliente factura]],Tabla4[[NIT]:[TOTAL CREDITO]],3,FALSE),0))</f>
        <v>137260504</v>
      </c>
      <c r="R351" s="9">
        <f>+IFERROR(VLOOKUP(Tabla3[[#This Row],[Cliente factura]],Tabla4[[NIT]:[TOTAL CREDITO]],6,FALSE),0)</f>
        <v>0</v>
      </c>
      <c r="S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1" s="10" t="str">
        <f>VLOOKUP(Tabla3[[#This Row],[Razón social cliente factura]]&amp;Tabla3[[#This Row],[Desc. ciudad]],'Estandar de Rutas'!$C$1:$E$553,2,FALSE)</f>
        <v>2.1</v>
      </c>
      <c r="U351" s="130">
        <f>IFERROR(VLOOKUP(Tabla3[[#This Row],[Referencia]]&amp;Tabla3[[#This Row],[Desc detalle ext 1]],Tabla1[[Referencia-Color]:[Disponibilidad]],3,FALSE),0)</f>
        <v>6</v>
      </c>
      <c r="V351" s="13"/>
      <c r="W351" s="17">
        <f>+Tabla3[[#This Row],[Cant. Programada]]*Tabla3[[#This Row],[Precio unit]]</f>
        <v>0</v>
      </c>
      <c r="X351" s="8"/>
      <c r="Y351" s="8"/>
      <c r="Z351" s="8" t="str">
        <f>+Tabla3[[#This Row],[Referencia]]&amp;Tabla3[[#This Row],[Desc detalle ext 1]]</f>
        <v xml:space="preserve">*WAVE 110                                         NEGRO    </v>
      </c>
      <c r="AA351" s="128" t="e">
        <f>+VLOOKUP(Tabla3[[#This Row],[CODIGO2]],ESTANDAR!$B$3:$C$9,2,FALSE)</f>
        <v>#N/A</v>
      </c>
      <c r="AB351" s="128" t="str">
        <f>+MID(Tabla3[[#This Row],['# Viaje]],10,1)</f>
        <v/>
      </c>
    </row>
    <row r="352" spans="1:28" ht="15" hidden="1" customHeight="1">
      <c r="A352" s="173" t="s">
        <v>1521</v>
      </c>
      <c r="B352" s="174">
        <v>42948</v>
      </c>
      <c r="C352" s="173" t="s">
        <v>1231</v>
      </c>
      <c r="D352" s="173" t="s">
        <v>1478</v>
      </c>
      <c r="E352" s="173" t="s">
        <v>1232</v>
      </c>
      <c r="F352" s="173">
        <v>9</v>
      </c>
      <c r="G352" s="173" t="s">
        <v>215</v>
      </c>
      <c r="H352" s="173">
        <v>9</v>
      </c>
      <c r="I352" s="173" t="s">
        <v>1522</v>
      </c>
      <c r="J352" s="173" t="s">
        <v>27</v>
      </c>
      <c r="K352" s="173" t="s">
        <v>32</v>
      </c>
      <c r="L352" s="173"/>
      <c r="M352" s="173" t="s">
        <v>216</v>
      </c>
      <c r="N352" s="173">
        <v>817000553</v>
      </c>
      <c r="O352" s="175">
        <v>5789916</v>
      </c>
      <c r="P352" s="7"/>
      <c r="Q352" s="16">
        <f>+IF(IFERROR(VLOOKUP(Tabla3[[#This Row],[Cliente factura]],Tabla4[[NIT]:[TOTAL CREDITO]],3,FALSE),0)="",0,IFERROR(VLOOKUP(Tabla3[[#This Row],[Cliente factura]],Tabla4[[NIT]:[TOTAL CREDITO]],3,FALSE),0))</f>
        <v>137260504</v>
      </c>
      <c r="R352" s="9">
        <f>+IFERROR(VLOOKUP(Tabla3[[#This Row],[Cliente factura]],Tabla4[[NIT]:[TOTAL CREDITO]],6,FALSE),0)</f>
        <v>0</v>
      </c>
      <c r="S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2" s="10" t="str">
        <f>VLOOKUP(Tabla3[[#This Row],[Razón social cliente factura]]&amp;Tabla3[[#This Row],[Desc. ciudad]],'Estandar de Rutas'!$C$1:$E$553,2,FALSE)</f>
        <v>2.1</v>
      </c>
      <c r="U352" s="130">
        <f>IFERROR(VLOOKUP(Tabla3[[#This Row],[Referencia]]&amp;Tabla3[[#This Row],[Desc detalle ext 1]],Tabla1[[Referencia-Color]:[Disponibilidad]],3,FALSE),0)</f>
        <v>7</v>
      </c>
      <c r="V352" s="13"/>
      <c r="W352" s="17">
        <f>+Tabla3[[#This Row],[Cant. Programada]]*Tabla3[[#This Row],[Precio unit]]</f>
        <v>0</v>
      </c>
      <c r="X352" s="8"/>
      <c r="Y352" s="8"/>
      <c r="Z352" s="8" t="str">
        <f>+Tabla3[[#This Row],[Referencia]]&amp;Tabla3[[#This Row],[Desc detalle ext 1]]</f>
        <v>*XR 150L                                          NEGRO ROJ</v>
      </c>
      <c r="AA352" s="128" t="e">
        <f>+VLOOKUP(Tabla3[[#This Row],[CODIGO2]],ESTANDAR!$B$3:$C$9,2,FALSE)</f>
        <v>#N/A</v>
      </c>
      <c r="AB352" s="128" t="str">
        <f>+MID(Tabla3[[#This Row],['# Viaje]],10,1)</f>
        <v/>
      </c>
    </row>
    <row r="353" spans="1:28" ht="15" hidden="1" customHeight="1">
      <c r="A353" s="173" t="s">
        <v>1521</v>
      </c>
      <c r="B353" s="174">
        <v>42948</v>
      </c>
      <c r="C353" s="173" t="s">
        <v>1231</v>
      </c>
      <c r="D353" s="173" t="s">
        <v>1478</v>
      </c>
      <c r="E353" s="173" t="s">
        <v>1232</v>
      </c>
      <c r="F353" s="173">
        <v>15</v>
      </c>
      <c r="G353" s="173" t="s">
        <v>215</v>
      </c>
      <c r="H353" s="173">
        <v>15</v>
      </c>
      <c r="I353" s="173" t="s">
        <v>1522</v>
      </c>
      <c r="J353" s="173" t="s">
        <v>27</v>
      </c>
      <c r="K353" s="173" t="s">
        <v>26</v>
      </c>
      <c r="L353" s="173"/>
      <c r="M353" s="173" t="s">
        <v>216</v>
      </c>
      <c r="N353" s="173">
        <v>817000553</v>
      </c>
      <c r="O353" s="175">
        <v>5789916</v>
      </c>
      <c r="P353" s="7"/>
      <c r="Q353" s="16">
        <f>+IF(IFERROR(VLOOKUP(Tabla3[[#This Row],[Cliente factura]],Tabla4[[NIT]:[TOTAL CREDITO]],3,FALSE),0)="",0,IFERROR(VLOOKUP(Tabla3[[#This Row],[Cliente factura]],Tabla4[[NIT]:[TOTAL CREDITO]],3,FALSE),0))</f>
        <v>137260504</v>
      </c>
      <c r="R353" s="9">
        <f>+IFERROR(VLOOKUP(Tabla3[[#This Row],[Cliente factura]],Tabla4[[NIT]:[TOTAL CREDITO]],6,FALSE),0)</f>
        <v>0</v>
      </c>
      <c r="S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3" s="10" t="str">
        <f>VLOOKUP(Tabla3[[#This Row],[Razón social cliente factura]]&amp;Tabla3[[#This Row],[Desc. ciudad]],'Estandar de Rutas'!$C$1:$E$553,2,FALSE)</f>
        <v>2.1</v>
      </c>
      <c r="U353" s="130">
        <f>IFERROR(VLOOKUP(Tabla3[[#This Row],[Referencia]]&amp;Tabla3[[#This Row],[Desc detalle ext 1]],Tabla1[[Referencia-Color]:[Disponibilidad]],3,FALSE),0)</f>
        <v>59</v>
      </c>
      <c r="V353" s="13"/>
      <c r="W353" s="17">
        <f>+Tabla3[[#This Row],[Cant. Programada]]*Tabla3[[#This Row],[Precio unit]]</f>
        <v>0</v>
      </c>
      <c r="X353" s="8"/>
      <c r="Y353" s="8"/>
      <c r="Z353" s="8" t="str">
        <f>+Tabla3[[#This Row],[Referencia]]&amp;Tabla3[[#This Row],[Desc detalle ext 1]]</f>
        <v>*XR 150L                                          NEGRO BLA</v>
      </c>
      <c r="AA353" s="128" t="e">
        <f>+VLOOKUP(Tabla3[[#This Row],[CODIGO2]],ESTANDAR!$B$3:$C$9,2,FALSE)</f>
        <v>#N/A</v>
      </c>
      <c r="AB353" s="128" t="str">
        <f>+MID(Tabla3[[#This Row],['# Viaje]],10,1)</f>
        <v/>
      </c>
    </row>
    <row r="354" spans="1:28" ht="15" hidden="1" customHeight="1">
      <c r="A354" s="173" t="s">
        <v>1521</v>
      </c>
      <c r="B354" s="174">
        <v>42948</v>
      </c>
      <c r="C354" s="173" t="s">
        <v>1231</v>
      </c>
      <c r="D354" s="173" t="s">
        <v>1478</v>
      </c>
      <c r="E354" s="173" t="s">
        <v>1232</v>
      </c>
      <c r="F354" s="173">
        <v>5</v>
      </c>
      <c r="G354" s="173" t="s">
        <v>215</v>
      </c>
      <c r="H354" s="173">
        <v>5</v>
      </c>
      <c r="I354" s="173" t="s">
        <v>1522</v>
      </c>
      <c r="J354" s="173" t="s">
        <v>27</v>
      </c>
      <c r="K354" s="173" t="s">
        <v>16</v>
      </c>
      <c r="L354" s="173"/>
      <c r="M354" s="173" t="s">
        <v>216</v>
      </c>
      <c r="N354" s="173">
        <v>817000553</v>
      </c>
      <c r="O354" s="175">
        <v>5789916</v>
      </c>
      <c r="P354" s="7"/>
      <c r="Q354" s="16">
        <f>+IF(IFERROR(VLOOKUP(Tabla3[[#This Row],[Cliente factura]],Tabla4[[NIT]:[TOTAL CREDITO]],3,FALSE),0)="",0,IFERROR(VLOOKUP(Tabla3[[#This Row],[Cliente factura]],Tabla4[[NIT]:[TOTAL CREDITO]],3,FALSE),0))</f>
        <v>137260504</v>
      </c>
      <c r="R354" s="9">
        <f>+IFERROR(VLOOKUP(Tabla3[[#This Row],[Cliente factura]],Tabla4[[NIT]:[TOTAL CREDITO]],6,FALSE),0)</f>
        <v>0</v>
      </c>
      <c r="S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4" s="10" t="str">
        <f>VLOOKUP(Tabla3[[#This Row],[Razón social cliente factura]]&amp;Tabla3[[#This Row],[Desc. ciudad]],'Estandar de Rutas'!$C$1:$E$553,2,FALSE)</f>
        <v>2.1</v>
      </c>
      <c r="U354" s="130">
        <f>IFERROR(VLOOKUP(Tabla3[[#This Row],[Referencia]]&amp;Tabla3[[#This Row],[Desc detalle ext 1]],Tabla1[[Referencia-Color]:[Disponibilidad]],3,FALSE),0)</f>
        <v>3</v>
      </c>
      <c r="V354" s="13"/>
      <c r="W354" s="17">
        <f>+Tabla3[[#This Row],[Cant. Programada]]*Tabla3[[#This Row],[Precio unit]]</f>
        <v>0</v>
      </c>
      <c r="X354" s="8"/>
      <c r="Y354" s="8"/>
      <c r="Z354" s="8" t="str">
        <f>+Tabla3[[#This Row],[Referencia]]&amp;Tabla3[[#This Row],[Desc detalle ext 1]]</f>
        <v xml:space="preserve">*XR 150L                                          NEGRO    </v>
      </c>
      <c r="AA354" s="128" t="e">
        <f>+VLOOKUP(Tabla3[[#This Row],[CODIGO2]],ESTANDAR!$B$3:$C$9,2,FALSE)</f>
        <v>#N/A</v>
      </c>
      <c r="AB354" s="128" t="str">
        <f>+MID(Tabla3[[#This Row],['# Viaje]],10,1)</f>
        <v/>
      </c>
    </row>
    <row r="355" spans="1:28" ht="15" hidden="1" customHeight="1">
      <c r="A355" s="173" t="s">
        <v>1521</v>
      </c>
      <c r="B355" s="174">
        <v>42948</v>
      </c>
      <c r="C355" s="173" t="s">
        <v>1231</v>
      </c>
      <c r="D355" s="173" t="s">
        <v>1478</v>
      </c>
      <c r="E355" s="173" t="s">
        <v>1232</v>
      </c>
      <c r="F355" s="173">
        <v>8</v>
      </c>
      <c r="G355" s="173" t="s">
        <v>215</v>
      </c>
      <c r="H355" s="173">
        <v>8</v>
      </c>
      <c r="I355" s="173" t="s">
        <v>1522</v>
      </c>
      <c r="J355" s="173" t="s">
        <v>354</v>
      </c>
      <c r="K355" s="173" t="s">
        <v>17</v>
      </c>
      <c r="L355" s="173"/>
      <c r="M355" s="173" t="s">
        <v>216</v>
      </c>
      <c r="N355" s="173">
        <v>817000553</v>
      </c>
      <c r="O355" s="175">
        <v>6133613</v>
      </c>
      <c r="P355" s="7"/>
      <c r="Q355" s="16">
        <f>+IF(IFERROR(VLOOKUP(Tabla3[[#This Row],[Cliente factura]],Tabla4[[NIT]:[TOTAL CREDITO]],3,FALSE),0)="",0,IFERROR(VLOOKUP(Tabla3[[#This Row],[Cliente factura]],Tabla4[[NIT]:[TOTAL CREDITO]],3,FALSE),0))</f>
        <v>137260504</v>
      </c>
      <c r="R355" s="9">
        <f>+IFERROR(VLOOKUP(Tabla3[[#This Row],[Cliente factura]],Tabla4[[NIT]:[TOTAL CREDITO]],6,FALSE),0)</f>
        <v>0</v>
      </c>
      <c r="S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5" s="10" t="str">
        <f>VLOOKUP(Tabla3[[#This Row],[Razón social cliente factura]]&amp;Tabla3[[#This Row],[Desc. ciudad]],'Estandar de Rutas'!$C$1:$E$553,2,FALSE)</f>
        <v>2.1</v>
      </c>
      <c r="U355" s="130">
        <f>IFERROR(VLOOKUP(Tabla3[[#This Row],[Referencia]]&amp;Tabla3[[#This Row],[Desc detalle ext 1]],Tabla1[[Referencia-Color]:[Disponibilidad]],3,FALSE),0)</f>
        <v>48</v>
      </c>
      <c r="V355" s="13"/>
      <c r="W355" s="17">
        <f>+Tabla3[[#This Row],[Cant. Programada]]*Tabla3[[#This Row],[Precio unit]]</f>
        <v>0</v>
      </c>
      <c r="X355" s="8"/>
      <c r="Y355" s="8"/>
      <c r="Z355" s="8" t="str">
        <f>+Tabla3[[#This Row],[Referencia]]&amp;Tabla3[[#This Row],[Desc detalle ext 1]]</f>
        <v>CB 160F DLX                                       ROJO SPOR</v>
      </c>
      <c r="AA355" s="128" t="e">
        <f>+VLOOKUP(Tabla3[[#This Row],[CODIGO2]],ESTANDAR!$B$3:$C$9,2,FALSE)</f>
        <v>#N/A</v>
      </c>
      <c r="AB355" s="128" t="str">
        <f>+MID(Tabla3[[#This Row],['# Viaje]],10,1)</f>
        <v/>
      </c>
    </row>
    <row r="356" spans="1:28" ht="15" hidden="1" customHeight="1">
      <c r="A356" s="173" t="s">
        <v>1521</v>
      </c>
      <c r="B356" s="174">
        <v>42948</v>
      </c>
      <c r="C356" s="173" t="s">
        <v>1231</v>
      </c>
      <c r="D356" s="173" t="s">
        <v>1478</v>
      </c>
      <c r="E356" s="173" t="s">
        <v>1232</v>
      </c>
      <c r="F356" s="173">
        <v>8</v>
      </c>
      <c r="G356" s="173" t="s">
        <v>215</v>
      </c>
      <c r="H356" s="173">
        <v>8</v>
      </c>
      <c r="I356" s="173" t="s">
        <v>1522</v>
      </c>
      <c r="J356" s="173" t="s">
        <v>354</v>
      </c>
      <c r="K356" s="173" t="s">
        <v>355</v>
      </c>
      <c r="L356" s="173"/>
      <c r="M356" s="173" t="s">
        <v>216</v>
      </c>
      <c r="N356" s="173">
        <v>817000553</v>
      </c>
      <c r="O356" s="175">
        <v>6133613</v>
      </c>
      <c r="P356" s="7"/>
      <c r="Q356" s="16">
        <f>+IF(IFERROR(VLOOKUP(Tabla3[[#This Row],[Cliente factura]],Tabla4[[NIT]:[TOTAL CREDITO]],3,FALSE),0)="",0,IFERROR(VLOOKUP(Tabla3[[#This Row],[Cliente factura]],Tabla4[[NIT]:[TOTAL CREDITO]],3,FALSE),0))</f>
        <v>137260504</v>
      </c>
      <c r="R356" s="9">
        <f>+IFERROR(VLOOKUP(Tabla3[[#This Row],[Cliente factura]],Tabla4[[NIT]:[TOTAL CREDITO]],6,FALSE),0)</f>
        <v>0</v>
      </c>
      <c r="S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6" s="10" t="str">
        <f>VLOOKUP(Tabla3[[#This Row],[Razón social cliente factura]]&amp;Tabla3[[#This Row],[Desc. ciudad]],'Estandar de Rutas'!$C$1:$E$553,2,FALSE)</f>
        <v>2.1</v>
      </c>
      <c r="U356" s="130">
        <f>IFERROR(VLOOKUP(Tabla3[[#This Row],[Referencia]]&amp;Tabla3[[#This Row],[Desc detalle ext 1]],Tabla1[[Referencia-Color]:[Disponibilidad]],3,FALSE),0)</f>
        <v>0</v>
      </c>
      <c r="V356" s="13"/>
      <c r="W356" s="17">
        <f>+Tabla3[[#This Row],[Cant. Programada]]*Tabla3[[#This Row],[Precio unit]]</f>
        <v>0</v>
      </c>
      <c r="X356" s="8"/>
      <c r="Y356" s="8"/>
      <c r="Z356" s="8" t="str">
        <f>+Tabla3[[#This Row],[Referencia]]&amp;Tabla3[[#This Row],[Desc detalle ext 1]]</f>
        <v>CB 160F DLX                                       NEGRO PER</v>
      </c>
      <c r="AA356" s="128" t="e">
        <f>+VLOOKUP(Tabla3[[#This Row],[CODIGO2]],ESTANDAR!$B$3:$C$9,2,FALSE)</f>
        <v>#N/A</v>
      </c>
      <c r="AB356" s="128" t="str">
        <f>+MID(Tabla3[[#This Row],['# Viaje]],10,1)</f>
        <v/>
      </c>
    </row>
    <row r="357" spans="1:28" ht="15" hidden="1" customHeight="1">
      <c r="A357" s="173" t="s">
        <v>1521</v>
      </c>
      <c r="B357" s="174">
        <v>42948</v>
      </c>
      <c r="C357" s="173" t="s">
        <v>1231</v>
      </c>
      <c r="D357" s="173" t="s">
        <v>1478</v>
      </c>
      <c r="E357" s="173" t="s">
        <v>1232</v>
      </c>
      <c r="F357" s="173">
        <v>4</v>
      </c>
      <c r="G357" s="173" t="s">
        <v>215</v>
      </c>
      <c r="H357" s="173">
        <v>4</v>
      </c>
      <c r="I357" s="173" t="s">
        <v>1522</v>
      </c>
      <c r="J357" s="173" t="s">
        <v>354</v>
      </c>
      <c r="K357" s="173" t="s">
        <v>474</v>
      </c>
      <c r="L357" s="173"/>
      <c r="M357" s="173" t="s">
        <v>216</v>
      </c>
      <c r="N357" s="173">
        <v>817000553</v>
      </c>
      <c r="O357" s="175">
        <v>6133613</v>
      </c>
      <c r="P357" s="7"/>
      <c r="Q357" s="16">
        <f>+IF(IFERROR(VLOOKUP(Tabla3[[#This Row],[Cliente factura]],Tabla4[[NIT]:[TOTAL CREDITO]],3,FALSE),0)="",0,IFERROR(VLOOKUP(Tabla3[[#This Row],[Cliente factura]],Tabla4[[NIT]:[TOTAL CREDITO]],3,FALSE),0))</f>
        <v>137260504</v>
      </c>
      <c r="R357" s="9">
        <f>+IFERROR(VLOOKUP(Tabla3[[#This Row],[Cliente factura]],Tabla4[[NIT]:[TOTAL CREDITO]],6,FALSE),0)</f>
        <v>0</v>
      </c>
      <c r="S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7" s="10" t="str">
        <f>VLOOKUP(Tabla3[[#This Row],[Razón social cliente factura]]&amp;Tabla3[[#This Row],[Desc. ciudad]],'Estandar de Rutas'!$C$1:$E$553,2,FALSE)</f>
        <v>2.1</v>
      </c>
      <c r="U357" s="130">
        <f>IFERROR(VLOOKUP(Tabla3[[#This Row],[Referencia]]&amp;Tabla3[[#This Row],[Desc detalle ext 1]],Tabla1[[Referencia-Color]:[Disponibilidad]],3,FALSE),0)</f>
        <v>3</v>
      </c>
      <c r="V357" s="13"/>
      <c r="W357" s="17">
        <f>+Tabla3[[#This Row],[Cant. Programada]]*Tabla3[[#This Row],[Precio unit]]</f>
        <v>0</v>
      </c>
      <c r="X357" s="8"/>
      <c r="Y357" s="8"/>
      <c r="Z357" s="8" t="str">
        <f>+Tabla3[[#This Row],[Referencia]]&amp;Tabla3[[#This Row],[Desc detalle ext 1]]</f>
        <v>CB 160F DLX                                       NARANJA N</v>
      </c>
      <c r="AA357" s="128" t="e">
        <f>+VLOOKUP(Tabla3[[#This Row],[CODIGO2]],ESTANDAR!$B$3:$C$9,2,FALSE)</f>
        <v>#N/A</v>
      </c>
      <c r="AB357" s="128" t="str">
        <f>+MID(Tabla3[[#This Row],['# Viaje]],10,1)</f>
        <v/>
      </c>
    </row>
    <row r="358" spans="1:28" ht="15" hidden="1" customHeight="1">
      <c r="A358" s="173" t="s">
        <v>1521</v>
      </c>
      <c r="B358" s="174">
        <v>42948</v>
      </c>
      <c r="C358" s="173" t="s">
        <v>1231</v>
      </c>
      <c r="D358" s="173" t="s">
        <v>1478</v>
      </c>
      <c r="E358" s="173" t="s">
        <v>1232</v>
      </c>
      <c r="F358" s="173">
        <v>3</v>
      </c>
      <c r="G358" s="173" t="s">
        <v>215</v>
      </c>
      <c r="H358" s="173">
        <v>3</v>
      </c>
      <c r="I358" s="173" t="s">
        <v>1522</v>
      </c>
      <c r="J358" s="173" t="s">
        <v>1433</v>
      </c>
      <c r="K358" s="173" t="s">
        <v>1431</v>
      </c>
      <c r="L358" s="173"/>
      <c r="M358" s="173" t="s">
        <v>216</v>
      </c>
      <c r="N358" s="173">
        <v>817000553</v>
      </c>
      <c r="O358" s="175">
        <v>3521008</v>
      </c>
      <c r="P358" s="7"/>
      <c r="Q358" s="16">
        <f>+IF(IFERROR(VLOOKUP(Tabla3[[#This Row],[Cliente factura]],Tabla4[[NIT]:[TOTAL CREDITO]],3,FALSE),0)="",0,IFERROR(VLOOKUP(Tabla3[[#This Row],[Cliente factura]],Tabla4[[NIT]:[TOTAL CREDITO]],3,FALSE),0))</f>
        <v>137260504</v>
      </c>
      <c r="R358" s="9">
        <f>+IFERROR(VLOOKUP(Tabla3[[#This Row],[Cliente factura]],Tabla4[[NIT]:[TOTAL CREDITO]],6,FALSE),0)</f>
        <v>0</v>
      </c>
      <c r="S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8" s="10" t="str">
        <f>VLOOKUP(Tabla3[[#This Row],[Razón social cliente factura]]&amp;Tabla3[[#This Row],[Desc. ciudad]],'Estandar de Rutas'!$C$1:$E$553,2,FALSE)</f>
        <v>2.1</v>
      </c>
      <c r="U358" s="130">
        <f>IFERROR(VLOOKUP(Tabla3[[#This Row],[Referencia]]&amp;Tabla3[[#This Row],[Desc detalle ext 1]],Tabla1[[Referencia-Color]:[Disponibilidad]],3,FALSE),0)</f>
        <v>0</v>
      </c>
      <c r="V358" s="13"/>
      <c r="W358" s="17">
        <f>+Tabla3[[#This Row],[Cant. Programada]]*Tabla3[[#This Row],[Precio unit]]</f>
        <v>0</v>
      </c>
      <c r="X358" s="8"/>
      <c r="Y358" s="8"/>
      <c r="Z358" s="8" t="str">
        <f>+Tabla3[[#This Row],[Referencia]]&amp;Tabla3[[#This Row],[Desc detalle ext 1]]</f>
        <v xml:space="preserve">DIO  110                                          ROJO     </v>
      </c>
      <c r="AA358" s="128" t="e">
        <f>+VLOOKUP(Tabla3[[#This Row],[CODIGO2]],ESTANDAR!$B$3:$C$9,2,FALSE)</f>
        <v>#N/A</v>
      </c>
      <c r="AB358" s="128" t="str">
        <f>+MID(Tabla3[[#This Row],['# Viaje]],10,1)</f>
        <v/>
      </c>
    </row>
    <row r="359" spans="1:28" ht="15" hidden="1" customHeight="1">
      <c r="A359" s="173" t="s">
        <v>1521</v>
      </c>
      <c r="B359" s="174">
        <v>42948</v>
      </c>
      <c r="C359" s="173" t="s">
        <v>1231</v>
      </c>
      <c r="D359" s="173" t="s">
        <v>1478</v>
      </c>
      <c r="E359" s="173" t="s">
        <v>1232</v>
      </c>
      <c r="F359" s="173">
        <v>3</v>
      </c>
      <c r="G359" s="173" t="s">
        <v>215</v>
      </c>
      <c r="H359" s="173">
        <v>3</v>
      </c>
      <c r="I359" s="173" t="s">
        <v>1522</v>
      </c>
      <c r="J359" s="173" t="s">
        <v>1433</v>
      </c>
      <c r="K359" s="173" t="s">
        <v>1434</v>
      </c>
      <c r="L359" s="173"/>
      <c r="M359" s="173" t="s">
        <v>216</v>
      </c>
      <c r="N359" s="173">
        <v>817000553</v>
      </c>
      <c r="O359" s="175">
        <v>3521008</v>
      </c>
      <c r="P359" s="7"/>
      <c r="Q359" s="16">
        <f>+IF(IFERROR(VLOOKUP(Tabla3[[#This Row],[Cliente factura]],Tabla4[[NIT]:[TOTAL CREDITO]],3,FALSE),0)="",0,IFERROR(VLOOKUP(Tabla3[[#This Row],[Cliente factura]],Tabla4[[NIT]:[TOTAL CREDITO]],3,FALSE),0))</f>
        <v>137260504</v>
      </c>
      <c r="R359" s="9">
        <f>+IFERROR(VLOOKUP(Tabla3[[#This Row],[Cliente factura]],Tabla4[[NIT]:[TOTAL CREDITO]],6,FALSE),0)</f>
        <v>0</v>
      </c>
      <c r="S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9" s="10" t="str">
        <f>VLOOKUP(Tabla3[[#This Row],[Razón social cliente factura]]&amp;Tabla3[[#This Row],[Desc. ciudad]],'Estandar de Rutas'!$C$1:$E$553,2,FALSE)</f>
        <v>2.1</v>
      </c>
      <c r="U359" s="130">
        <f>IFERROR(VLOOKUP(Tabla3[[#This Row],[Referencia]]&amp;Tabla3[[#This Row],[Desc detalle ext 1]],Tabla1[[Referencia-Color]:[Disponibilidad]],3,FALSE),0)</f>
        <v>23</v>
      </c>
      <c r="V359" s="13"/>
      <c r="W359" s="17">
        <f>+Tabla3[[#This Row],[Cant. Programada]]*Tabla3[[#This Row],[Precio unit]]</f>
        <v>0</v>
      </c>
      <c r="X359" s="8"/>
      <c r="Y359" s="8"/>
      <c r="Z359" s="8" t="str">
        <f>+Tabla3[[#This Row],[Referencia]]&amp;Tabla3[[#This Row],[Desc detalle ext 1]]</f>
        <v>DIO  110                                          BLANCO NE</v>
      </c>
      <c r="AA359" s="128" t="e">
        <f>+VLOOKUP(Tabla3[[#This Row],[CODIGO2]],ESTANDAR!$B$3:$C$9,2,FALSE)</f>
        <v>#N/A</v>
      </c>
      <c r="AB359" s="128" t="str">
        <f>+MID(Tabla3[[#This Row],['# Viaje]],10,1)</f>
        <v/>
      </c>
    </row>
    <row r="360" spans="1:28" ht="15" hidden="1" customHeight="1">
      <c r="A360" s="173" t="s">
        <v>1521</v>
      </c>
      <c r="B360" s="174">
        <v>42948</v>
      </c>
      <c r="C360" s="173" t="s">
        <v>1231</v>
      </c>
      <c r="D360" s="173" t="s">
        <v>1478</v>
      </c>
      <c r="E360" s="173" t="s">
        <v>1232</v>
      </c>
      <c r="F360" s="173">
        <v>3</v>
      </c>
      <c r="G360" s="173" t="s">
        <v>215</v>
      </c>
      <c r="H360" s="173">
        <v>3</v>
      </c>
      <c r="I360" s="173" t="s">
        <v>1522</v>
      </c>
      <c r="J360" s="173" t="s">
        <v>1433</v>
      </c>
      <c r="K360" s="173" t="s">
        <v>1452</v>
      </c>
      <c r="L360" s="173"/>
      <c r="M360" s="173" t="s">
        <v>216</v>
      </c>
      <c r="N360" s="173">
        <v>817000553</v>
      </c>
      <c r="O360" s="175">
        <v>3521008</v>
      </c>
      <c r="P360" s="7"/>
      <c r="Q360" s="16">
        <f>+IF(IFERROR(VLOOKUP(Tabla3[[#This Row],[Cliente factura]],Tabla4[[NIT]:[TOTAL CREDITO]],3,FALSE),0)="",0,IFERROR(VLOOKUP(Tabla3[[#This Row],[Cliente factura]],Tabla4[[NIT]:[TOTAL CREDITO]],3,FALSE),0))</f>
        <v>137260504</v>
      </c>
      <c r="R360" s="9">
        <f>+IFERROR(VLOOKUP(Tabla3[[#This Row],[Cliente factura]],Tabla4[[NIT]:[TOTAL CREDITO]],6,FALSE),0)</f>
        <v>0</v>
      </c>
      <c r="S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0" s="10" t="str">
        <f>VLOOKUP(Tabla3[[#This Row],[Razón social cliente factura]]&amp;Tabla3[[#This Row],[Desc. ciudad]],'Estandar de Rutas'!$C$1:$E$553,2,FALSE)</f>
        <v>2.1</v>
      </c>
      <c r="U360" s="130">
        <f>IFERROR(VLOOKUP(Tabla3[[#This Row],[Referencia]]&amp;Tabla3[[#This Row],[Desc detalle ext 1]],Tabla1[[Referencia-Color]:[Disponibilidad]],3,FALSE),0)</f>
        <v>0</v>
      </c>
      <c r="V360" s="13"/>
      <c r="W360" s="17">
        <f>+Tabla3[[#This Row],[Cant. Programada]]*Tabla3[[#This Row],[Precio unit]]</f>
        <v>0</v>
      </c>
      <c r="X360" s="8"/>
      <c r="Y360" s="8"/>
      <c r="Z360" s="8" t="str">
        <f>+Tabla3[[#This Row],[Referencia]]&amp;Tabla3[[#This Row],[Desc detalle ext 1]]</f>
        <v xml:space="preserve">DIO  110                                          AZUL     </v>
      </c>
      <c r="AA360" s="128" t="e">
        <f>+VLOOKUP(Tabla3[[#This Row],[CODIGO2]],ESTANDAR!$B$3:$C$9,2,FALSE)</f>
        <v>#N/A</v>
      </c>
      <c r="AB360" s="128" t="str">
        <f>+MID(Tabla3[[#This Row],['# Viaje]],10,1)</f>
        <v/>
      </c>
    </row>
    <row r="361" spans="1:28" ht="15" hidden="1" customHeight="1">
      <c r="A361" s="173" t="s">
        <v>1521</v>
      </c>
      <c r="B361" s="174">
        <v>42948</v>
      </c>
      <c r="C361" s="173" t="s">
        <v>1231</v>
      </c>
      <c r="D361" s="173" t="s">
        <v>1478</v>
      </c>
      <c r="E361" s="173" t="s">
        <v>1232</v>
      </c>
      <c r="F361" s="173">
        <v>12</v>
      </c>
      <c r="G361" s="173" t="s">
        <v>215</v>
      </c>
      <c r="H361" s="173">
        <v>12</v>
      </c>
      <c r="I361" s="173" t="s">
        <v>1522</v>
      </c>
      <c r="J361" s="173" t="s">
        <v>1428</v>
      </c>
      <c r="K361" s="173" t="s">
        <v>1461</v>
      </c>
      <c r="L361" s="173"/>
      <c r="M361" s="173" t="s">
        <v>216</v>
      </c>
      <c r="N361" s="173">
        <v>817000553</v>
      </c>
      <c r="O361" s="175">
        <v>3067227</v>
      </c>
      <c r="P361" s="7"/>
      <c r="Q361" s="16">
        <f>+IF(IFERROR(VLOOKUP(Tabla3[[#This Row],[Cliente factura]],Tabla4[[NIT]:[TOTAL CREDITO]],3,FALSE),0)="",0,IFERROR(VLOOKUP(Tabla3[[#This Row],[Cliente factura]],Tabla4[[NIT]:[TOTAL CREDITO]],3,FALSE),0))</f>
        <v>137260504</v>
      </c>
      <c r="R361" s="9">
        <f>+IFERROR(VLOOKUP(Tabla3[[#This Row],[Cliente factura]],Tabla4[[NIT]:[TOTAL CREDITO]],6,FALSE),0)</f>
        <v>0</v>
      </c>
      <c r="S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1" s="10" t="str">
        <f>VLOOKUP(Tabla3[[#This Row],[Razón social cliente factura]]&amp;Tabla3[[#This Row],[Desc. ciudad]],'Estandar de Rutas'!$C$1:$E$553,2,FALSE)</f>
        <v>2.1</v>
      </c>
      <c r="U361" s="130">
        <f>IFERROR(VLOOKUP(Tabla3[[#This Row],[Referencia]]&amp;Tabla3[[#This Row],[Desc detalle ext 1]],Tabla1[[Referencia-Color]:[Disponibilidad]],3,FALSE),0)</f>
        <v>0</v>
      </c>
      <c r="V361" s="13"/>
      <c r="W361" s="17">
        <f>+Tabla3[[#This Row],[Cant. Programada]]*Tabla3[[#This Row],[Precio unit]]</f>
        <v>0</v>
      </c>
      <c r="X361" s="8"/>
      <c r="Y361" s="8"/>
      <c r="Z361" s="8" t="str">
        <f>+Tabla3[[#This Row],[Referencia]]&amp;Tabla3[[#This Row],[Desc detalle ext 1]]</f>
        <v>DREAM  NEO                                        ROJO ALFA</v>
      </c>
      <c r="AA361" s="128" t="e">
        <f>+VLOOKUP(Tabla3[[#This Row],[CODIGO2]],ESTANDAR!$B$3:$C$9,2,FALSE)</f>
        <v>#N/A</v>
      </c>
      <c r="AB361" s="128" t="str">
        <f>+MID(Tabla3[[#This Row],['# Viaje]],10,1)</f>
        <v/>
      </c>
    </row>
    <row r="362" spans="1:28" ht="15" hidden="1" customHeight="1">
      <c r="A362" s="173" t="s">
        <v>1521</v>
      </c>
      <c r="B362" s="174">
        <v>42948</v>
      </c>
      <c r="C362" s="173" t="s">
        <v>1231</v>
      </c>
      <c r="D362" s="173" t="s">
        <v>1478</v>
      </c>
      <c r="E362" s="173" t="s">
        <v>1232</v>
      </c>
      <c r="F362" s="173">
        <v>20</v>
      </c>
      <c r="G362" s="173" t="s">
        <v>215</v>
      </c>
      <c r="H362" s="173">
        <v>20</v>
      </c>
      <c r="I362" s="173" t="s">
        <v>1522</v>
      </c>
      <c r="J362" s="173" t="s">
        <v>1428</v>
      </c>
      <c r="K362" s="173" t="s">
        <v>1429</v>
      </c>
      <c r="L362" s="173"/>
      <c r="M362" s="173" t="s">
        <v>216</v>
      </c>
      <c r="N362" s="173">
        <v>817000553</v>
      </c>
      <c r="O362" s="175">
        <v>3067227</v>
      </c>
      <c r="P362" s="7"/>
      <c r="Q362" s="16">
        <f>+IF(IFERROR(VLOOKUP(Tabla3[[#This Row],[Cliente factura]],Tabla4[[NIT]:[TOTAL CREDITO]],3,FALSE),0)="",0,IFERROR(VLOOKUP(Tabla3[[#This Row],[Cliente factura]],Tabla4[[NIT]:[TOTAL CREDITO]],3,FALSE),0))</f>
        <v>137260504</v>
      </c>
      <c r="R362" s="9">
        <f>+IFERROR(VLOOKUP(Tabla3[[#This Row],[Cliente factura]],Tabla4[[NIT]:[TOTAL CREDITO]],6,FALSE),0)</f>
        <v>0</v>
      </c>
      <c r="S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2" s="10" t="str">
        <f>VLOOKUP(Tabla3[[#This Row],[Razón social cliente factura]]&amp;Tabla3[[#This Row],[Desc. ciudad]],'Estandar de Rutas'!$C$1:$E$553,2,FALSE)</f>
        <v>2.1</v>
      </c>
      <c r="U362" s="130">
        <f>IFERROR(VLOOKUP(Tabla3[[#This Row],[Referencia]]&amp;Tabla3[[#This Row],[Desc detalle ext 1]],Tabla1[[Referencia-Color]:[Disponibilidad]],3,FALSE),0)</f>
        <v>0</v>
      </c>
      <c r="V362" s="13"/>
      <c r="W362" s="17">
        <f>+Tabla3[[#This Row],[Cant. Programada]]*Tabla3[[#This Row],[Precio unit]]</f>
        <v>0</v>
      </c>
      <c r="X362" s="8"/>
      <c r="Y362" s="8"/>
      <c r="Z362" s="8" t="str">
        <f>+Tabla3[[#This Row],[Referencia]]&amp;Tabla3[[#This Row],[Desc detalle ext 1]]</f>
        <v>DREAM  NEO                                        NEGRO AZU</v>
      </c>
      <c r="AA362" s="128" t="e">
        <f>+VLOOKUP(Tabla3[[#This Row],[CODIGO2]],ESTANDAR!$B$3:$C$9,2,FALSE)</f>
        <v>#N/A</v>
      </c>
      <c r="AB362" s="128" t="str">
        <f>+MID(Tabla3[[#This Row],['# Viaje]],10,1)</f>
        <v/>
      </c>
    </row>
    <row r="363" spans="1:28" ht="15" hidden="1" customHeight="1">
      <c r="A363" s="173" t="s">
        <v>1521</v>
      </c>
      <c r="B363" s="174">
        <v>42948</v>
      </c>
      <c r="C363" s="173" t="s">
        <v>1231</v>
      </c>
      <c r="D363" s="173" t="s">
        <v>1478</v>
      </c>
      <c r="E363" s="173" t="s">
        <v>1232</v>
      </c>
      <c r="F363" s="173">
        <v>6</v>
      </c>
      <c r="G363" s="173" t="s">
        <v>215</v>
      </c>
      <c r="H363" s="173">
        <v>6</v>
      </c>
      <c r="I363" s="173" t="s">
        <v>1522</v>
      </c>
      <c r="J363" s="173" t="s">
        <v>1430</v>
      </c>
      <c r="K363" s="173" t="s">
        <v>1431</v>
      </c>
      <c r="L363" s="173"/>
      <c r="M363" s="173" t="s">
        <v>216</v>
      </c>
      <c r="N363" s="173">
        <v>817000553</v>
      </c>
      <c r="O363" s="175">
        <v>3941176</v>
      </c>
      <c r="P363" s="7"/>
      <c r="Q363" s="16">
        <f>+IF(IFERROR(VLOOKUP(Tabla3[[#This Row],[Cliente factura]],Tabla4[[NIT]:[TOTAL CREDITO]],3,FALSE),0)="",0,IFERROR(VLOOKUP(Tabla3[[#This Row],[Cliente factura]],Tabla4[[NIT]:[TOTAL CREDITO]],3,FALSE),0))</f>
        <v>137260504</v>
      </c>
      <c r="R363" s="9">
        <f>+IFERROR(VLOOKUP(Tabla3[[#This Row],[Cliente factura]],Tabla4[[NIT]:[TOTAL CREDITO]],6,FALSE),0)</f>
        <v>0</v>
      </c>
      <c r="S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3" s="10" t="str">
        <f>VLOOKUP(Tabla3[[#This Row],[Razón social cliente factura]]&amp;Tabla3[[#This Row],[Desc. ciudad]],'Estandar de Rutas'!$C$1:$E$553,2,FALSE)</f>
        <v>2.1</v>
      </c>
      <c r="U363" s="130">
        <f>IFERROR(VLOOKUP(Tabla3[[#This Row],[Referencia]]&amp;Tabla3[[#This Row],[Desc detalle ext 1]],Tabla1[[Referencia-Color]:[Disponibilidad]],3,FALSE),0)</f>
        <v>0</v>
      </c>
      <c r="V363" s="13"/>
      <c r="W363" s="17">
        <f>+Tabla3[[#This Row],[Cant. Programada]]*Tabla3[[#This Row],[Precio unit]]</f>
        <v>0</v>
      </c>
      <c r="X363" s="8"/>
      <c r="Y363" s="8"/>
      <c r="Z363" s="8" t="str">
        <f>+Tabla3[[#This Row],[Referencia]]&amp;Tabla3[[#This Row],[Desc detalle ext 1]]</f>
        <v xml:space="preserve">WAVE 110S                                         ROJO     </v>
      </c>
      <c r="AA363" s="128" t="e">
        <f>+VLOOKUP(Tabla3[[#This Row],[CODIGO2]],ESTANDAR!$B$3:$C$9,2,FALSE)</f>
        <v>#N/A</v>
      </c>
      <c r="AB363" s="128" t="str">
        <f>+MID(Tabla3[[#This Row],['# Viaje]],10,1)</f>
        <v/>
      </c>
    </row>
    <row r="364" spans="1:28" ht="15" hidden="1" customHeight="1">
      <c r="A364" s="173" t="s">
        <v>1521</v>
      </c>
      <c r="B364" s="174">
        <v>42948</v>
      </c>
      <c r="C364" s="173" t="s">
        <v>1231</v>
      </c>
      <c r="D364" s="173" t="s">
        <v>1478</v>
      </c>
      <c r="E364" s="173" t="s">
        <v>1232</v>
      </c>
      <c r="F364" s="173">
        <v>6</v>
      </c>
      <c r="G364" s="173" t="s">
        <v>215</v>
      </c>
      <c r="H364" s="173">
        <v>6</v>
      </c>
      <c r="I364" s="173" t="s">
        <v>1522</v>
      </c>
      <c r="J364" s="173" t="s">
        <v>1430</v>
      </c>
      <c r="K364" s="173" t="s">
        <v>16</v>
      </c>
      <c r="L364" s="173"/>
      <c r="M364" s="173" t="s">
        <v>216</v>
      </c>
      <c r="N364" s="173">
        <v>817000553</v>
      </c>
      <c r="O364" s="175">
        <v>3941176</v>
      </c>
      <c r="P364" s="7"/>
      <c r="Q364" s="16">
        <f>+IF(IFERROR(VLOOKUP(Tabla3[[#This Row],[Cliente factura]],Tabla4[[NIT]:[TOTAL CREDITO]],3,FALSE),0)="",0,IFERROR(VLOOKUP(Tabla3[[#This Row],[Cliente factura]],Tabla4[[NIT]:[TOTAL CREDITO]],3,FALSE),0))</f>
        <v>137260504</v>
      </c>
      <c r="R364" s="9">
        <f>+IFERROR(VLOOKUP(Tabla3[[#This Row],[Cliente factura]],Tabla4[[NIT]:[TOTAL CREDITO]],6,FALSE),0)</f>
        <v>0</v>
      </c>
      <c r="S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4" s="10" t="str">
        <f>VLOOKUP(Tabla3[[#This Row],[Razón social cliente factura]]&amp;Tabla3[[#This Row],[Desc. ciudad]],'Estandar de Rutas'!$C$1:$E$553,2,FALSE)</f>
        <v>2.1</v>
      </c>
      <c r="U364" s="130">
        <f>IFERROR(VLOOKUP(Tabla3[[#This Row],[Referencia]]&amp;Tabla3[[#This Row],[Desc detalle ext 1]],Tabla1[[Referencia-Color]:[Disponibilidad]],3,FALSE),0)</f>
        <v>0</v>
      </c>
      <c r="V364" s="13"/>
      <c r="W364" s="17">
        <f>+Tabla3[[#This Row],[Cant. Programada]]*Tabla3[[#This Row],[Precio unit]]</f>
        <v>0</v>
      </c>
      <c r="X364" s="8"/>
      <c r="Y364" s="8"/>
      <c r="Z364" s="8" t="str">
        <f>+Tabla3[[#This Row],[Referencia]]&amp;Tabla3[[#This Row],[Desc detalle ext 1]]</f>
        <v xml:space="preserve">WAVE 110S                                         NEGRO    </v>
      </c>
      <c r="AA364" s="128" t="e">
        <f>+VLOOKUP(Tabla3[[#This Row],[CODIGO2]],ESTANDAR!$B$3:$C$9,2,FALSE)</f>
        <v>#N/A</v>
      </c>
      <c r="AB364" s="128" t="str">
        <f>+MID(Tabla3[[#This Row],['# Viaje]],10,1)</f>
        <v/>
      </c>
    </row>
    <row r="365" spans="1:28" ht="15" hidden="1" customHeight="1">
      <c r="A365" s="173" t="s">
        <v>1521</v>
      </c>
      <c r="B365" s="174">
        <v>42948</v>
      </c>
      <c r="C365" s="173" t="s">
        <v>1231</v>
      </c>
      <c r="D365" s="173" t="s">
        <v>1478</v>
      </c>
      <c r="E365" s="173" t="s">
        <v>1232</v>
      </c>
      <c r="F365" s="173">
        <v>4</v>
      </c>
      <c r="G365" s="173" t="s">
        <v>215</v>
      </c>
      <c r="H365" s="173">
        <v>4</v>
      </c>
      <c r="I365" s="173" t="s">
        <v>1522</v>
      </c>
      <c r="J365" s="173" t="s">
        <v>1234</v>
      </c>
      <c r="K365" s="173" t="s">
        <v>17</v>
      </c>
      <c r="L365" s="173"/>
      <c r="M365" s="173" t="s">
        <v>216</v>
      </c>
      <c r="N365" s="173">
        <v>817000553</v>
      </c>
      <c r="O365" s="175">
        <v>5453782</v>
      </c>
      <c r="P365" s="7"/>
      <c r="Q365" s="16">
        <f>+IF(IFERROR(VLOOKUP(Tabla3[[#This Row],[Cliente factura]],Tabla4[[NIT]:[TOTAL CREDITO]],3,FALSE),0)="",0,IFERROR(VLOOKUP(Tabla3[[#This Row],[Cliente factura]],Tabla4[[NIT]:[TOTAL CREDITO]],3,FALSE),0))</f>
        <v>137260504</v>
      </c>
      <c r="R365" s="9">
        <f>+IFERROR(VLOOKUP(Tabla3[[#This Row],[Cliente factura]],Tabla4[[NIT]:[TOTAL CREDITO]],6,FALSE),0)</f>
        <v>0</v>
      </c>
      <c r="S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5" s="10" t="str">
        <f>VLOOKUP(Tabla3[[#This Row],[Razón social cliente factura]]&amp;Tabla3[[#This Row],[Desc. ciudad]],'Estandar de Rutas'!$C$1:$E$553,2,FALSE)</f>
        <v>2.1</v>
      </c>
      <c r="U365" s="130">
        <f>IFERROR(VLOOKUP(Tabla3[[#This Row],[Referencia]]&amp;Tabla3[[#This Row],[Desc detalle ext 1]],Tabla1[[Referencia-Color]:[Disponibilidad]],3,FALSE),0)</f>
        <v>0</v>
      </c>
      <c r="V365" s="13"/>
      <c r="W365" s="17">
        <f>+Tabla3[[#This Row],[Cant. Programada]]*Tabla3[[#This Row],[Precio unit]]</f>
        <v>0</v>
      </c>
      <c r="X365" s="8"/>
      <c r="Y365" s="8"/>
      <c r="Z365" s="8" t="str">
        <f>+Tabla3[[#This Row],[Referencia]]&amp;Tabla3[[#This Row],[Desc detalle ext 1]]</f>
        <v>CB 160F STD                                       ROJO SPOR</v>
      </c>
      <c r="AA365" s="128" t="e">
        <f>+VLOOKUP(Tabla3[[#This Row],[CODIGO2]],ESTANDAR!$B$3:$C$9,2,FALSE)</f>
        <v>#N/A</v>
      </c>
      <c r="AB365" s="128" t="str">
        <f>+MID(Tabla3[[#This Row],['# Viaje]],10,1)</f>
        <v/>
      </c>
    </row>
    <row r="366" spans="1:28" ht="15" hidden="1" customHeight="1">
      <c r="A366" s="173" t="s">
        <v>1521</v>
      </c>
      <c r="B366" s="174">
        <v>42948</v>
      </c>
      <c r="C366" s="173" t="s">
        <v>1231</v>
      </c>
      <c r="D366" s="173" t="s">
        <v>1478</v>
      </c>
      <c r="E366" s="173" t="s">
        <v>1232</v>
      </c>
      <c r="F366" s="173">
        <v>8</v>
      </c>
      <c r="G366" s="173" t="s">
        <v>215</v>
      </c>
      <c r="H366" s="173">
        <v>8</v>
      </c>
      <c r="I366" s="173" t="s">
        <v>1522</v>
      </c>
      <c r="J366" s="173" t="s">
        <v>1234</v>
      </c>
      <c r="K366" s="173" t="s">
        <v>355</v>
      </c>
      <c r="L366" s="173"/>
      <c r="M366" s="173" t="s">
        <v>216</v>
      </c>
      <c r="N366" s="173">
        <v>817000553</v>
      </c>
      <c r="O366" s="175">
        <v>5453782</v>
      </c>
      <c r="P366" s="7"/>
      <c r="Q366" s="16">
        <f>+IF(IFERROR(VLOOKUP(Tabla3[[#This Row],[Cliente factura]],Tabla4[[NIT]:[TOTAL CREDITO]],3,FALSE),0)="",0,IFERROR(VLOOKUP(Tabla3[[#This Row],[Cliente factura]],Tabla4[[NIT]:[TOTAL CREDITO]],3,FALSE),0))</f>
        <v>137260504</v>
      </c>
      <c r="R366" s="9">
        <f>+IFERROR(VLOOKUP(Tabla3[[#This Row],[Cliente factura]],Tabla4[[NIT]:[TOTAL CREDITO]],6,FALSE),0)</f>
        <v>0</v>
      </c>
      <c r="S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6" s="10" t="str">
        <f>VLOOKUP(Tabla3[[#This Row],[Razón social cliente factura]]&amp;Tabla3[[#This Row],[Desc. ciudad]],'Estandar de Rutas'!$C$1:$E$553,2,FALSE)</f>
        <v>2.1</v>
      </c>
      <c r="U366" s="130">
        <f>IFERROR(VLOOKUP(Tabla3[[#This Row],[Referencia]]&amp;Tabla3[[#This Row],[Desc detalle ext 1]],Tabla1[[Referencia-Color]:[Disponibilidad]],3,FALSE),0)</f>
        <v>0</v>
      </c>
      <c r="V366" s="13"/>
      <c r="W366" s="17">
        <f>+Tabla3[[#This Row],[Cant. Programada]]*Tabla3[[#This Row],[Precio unit]]</f>
        <v>0</v>
      </c>
      <c r="X366" s="8"/>
      <c r="Y366" s="8"/>
      <c r="Z366" s="8" t="str">
        <f>+Tabla3[[#This Row],[Referencia]]&amp;Tabla3[[#This Row],[Desc detalle ext 1]]</f>
        <v>CB 160F STD                                       NEGRO PER</v>
      </c>
      <c r="AA366" s="128" t="e">
        <f>+VLOOKUP(Tabla3[[#This Row],[CODIGO2]],ESTANDAR!$B$3:$C$9,2,FALSE)</f>
        <v>#N/A</v>
      </c>
      <c r="AB366" s="128" t="str">
        <f>+MID(Tabla3[[#This Row],['# Viaje]],10,1)</f>
        <v/>
      </c>
    </row>
    <row r="367" spans="1:28" ht="15" hidden="1" customHeight="1">
      <c r="A367" s="173" t="s">
        <v>1521</v>
      </c>
      <c r="B367" s="174">
        <v>42948</v>
      </c>
      <c r="C367" s="173" t="s">
        <v>1231</v>
      </c>
      <c r="D367" s="173" t="s">
        <v>1478</v>
      </c>
      <c r="E367" s="173" t="s">
        <v>1232</v>
      </c>
      <c r="F367" s="173">
        <v>23</v>
      </c>
      <c r="G367" s="173" t="s">
        <v>215</v>
      </c>
      <c r="H367" s="173">
        <v>23</v>
      </c>
      <c r="I367" s="173" t="s">
        <v>1522</v>
      </c>
      <c r="J367" s="173" t="s">
        <v>1451</v>
      </c>
      <c r="K367" s="173" t="s">
        <v>1449</v>
      </c>
      <c r="L367" s="173"/>
      <c r="M367" s="173" t="s">
        <v>216</v>
      </c>
      <c r="N367" s="173">
        <v>817000553</v>
      </c>
      <c r="O367" s="175">
        <v>3696639</v>
      </c>
      <c r="P367" s="7"/>
      <c r="Q367" s="16">
        <f>+IF(IFERROR(VLOOKUP(Tabla3[[#This Row],[Cliente factura]],Tabla4[[NIT]:[TOTAL CREDITO]],3,FALSE),0)="",0,IFERROR(VLOOKUP(Tabla3[[#This Row],[Cliente factura]],Tabla4[[NIT]:[TOTAL CREDITO]],3,FALSE),0))</f>
        <v>137260504</v>
      </c>
      <c r="R367" s="9">
        <f>+IFERROR(VLOOKUP(Tabla3[[#This Row],[Cliente factura]],Tabla4[[NIT]:[TOTAL CREDITO]],6,FALSE),0)</f>
        <v>0</v>
      </c>
      <c r="S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7" s="10" t="str">
        <f>VLOOKUP(Tabla3[[#This Row],[Razón social cliente factura]]&amp;Tabla3[[#This Row],[Desc. ciudad]],'Estandar de Rutas'!$C$1:$E$553,2,FALSE)</f>
        <v>2.1</v>
      </c>
      <c r="U367" s="130">
        <f>IFERROR(VLOOKUP(Tabla3[[#This Row],[Referencia]]&amp;Tabla3[[#This Row],[Desc detalle ext 1]],Tabla1[[Referencia-Color]:[Disponibilidad]],3,FALSE),0)</f>
        <v>24</v>
      </c>
      <c r="V367" s="13"/>
      <c r="W367" s="17">
        <f>+Tabla3[[#This Row],[Cant. Programada]]*Tabla3[[#This Row],[Precio unit]]</f>
        <v>0</v>
      </c>
      <c r="X367" s="8"/>
      <c r="Y367" s="8"/>
      <c r="Z367" s="8" t="str">
        <f>+Tabla3[[#This Row],[Referencia]]&amp;Tabla3[[#This Row],[Desc detalle ext 1]]</f>
        <v xml:space="preserve">CB 110 DLX                                        GRIS     </v>
      </c>
      <c r="AA367" s="128" t="e">
        <f>+VLOOKUP(Tabla3[[#This Row],[CODIGO2]],ESTANDAR!$B$3:$C$9,2,FALSE)</f>
        <v>#N/A</v>
      </c>
      <c r="AB367" s="128" t="str">
        <f>+MID(Tabla3[[#This Row],['# Viaje]],10,1)</f>
        <v/>
      </c>
    </row>
    <row r="368" spans="1:28" ht="15" hidden="1" customHeight="1">
      <c r="A368" s="173" t="s">
        <v>1521</v>
      </c>
      <c r="B368" s="174">
        <v>42948</v>
      </c>
      <c r="C368" s="173" t="s">
        <v>1231</v>
      </c>
      <c r="D368" s="173" t="s">
        <v>1478</v>
      </c>
      <c r="E368" s="173" t="s">
        <v>1232</v>
      </c>
      <c r="F368" s="173">
        <v>21</v>
      </c>
      <c r="G368" s="173" t="s">
        <v>215</v>
      </c>
      <c r="H368" s="173">
        <v>21</v>
      </c>
      <c r="I368" s="173" t="s">
        <v>1522</v>
      </c>
      <c r="J368" s="173" t="s">
        <v>1451</v>
      </c>
      <c r="K368" s="173" t="s">
        <v>1452</v>
      </c>
      <c r="L368" s="173"/>
      <c r="M368" s="173" t="s">
        <v>216</v>
      </c>
      <c r="N368" s="173">
        <v>817000553</v>
      </c>
      <c r="O368" s="175">
        <v>3696639</v>
      </c>
      <c r="P368" s="7"/>
      <c r="Q368" s="16">
        <f>+IF(IFERROR(VLOOKUP(Tabla3[[#This Row],[Cliente factura]],Tabla4[[NIT]:[TOTAL CREDITO]],3,FALSE),0)="",0,IFERROR(VLOOKUP(Tabla3[[#This Row],[Cliente factura]],Tabla4[[NIT]:[TOTAL CREDITO]],3,FALSE),0))</f>
        <v>137260504</v>
      </c>
      <c r="R368" s="9">
        <f>+IFERROR(VLOOKUP(Tabla3[[#This Row],[Cliente factura]],Tabla4[[NIT]:[TOTAL CREDITO]],6,FALSE),0)</f>
        <v>0</v>
      </c>
      <c r="S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8" s="10" t="str">
        <f>VLOOKUP(Tabla3[[#This Row],[Razón social cliente factura]]&amp;Tabla3[[#This Row],[Desc. ciudad]],'Estandar de Rutas'!$C$1:$E$553,2,FALSE)</f>
        <v>2.1</v>
      </c>
      <c r="U368" s="130">
        <f>IFERROR(VLOOKUP(Tabla3[[#This Row],[Referencia]]&amp;Tabla3[[#This Row],[Desc detalle ext 1]],Tabla1[[Referencia-Color]:[Disponibilidad]],3,FALSE),0)</f>
        <v>21</v>
      </c>
      <c r="V368" s="13"/>
      <c r="W368" s="17">
        <f>+Tabla3[[#This Row],[Cant. Programada]]*Tabla3[[#This Row],[Precio unit]]</f>
        <v>0</v>
      </c>
      <c r="X368" s="8"/>
      <c r="Y368" s="8"/>
      <c r="Z368" s="8" t="str">
        <f>+Tabla3[[#This Row],[Referencia]]&amp;Tabla3[[#This Row],[Desc detalle ext 1]]</f>
        <v xml:space="preserve">CB 110 DLX                                        AZUL     </v>
      </c>
      <c r="AA368" s="128" t="e">
        <f>+VLOOKUP(Tabla3[[#This Row],[CODIGO2]],ESTANDAR!$B$3:$C$9,2,FALSE)</f>
        <v>#N/A</v>
      </c>
      <c r="AB368" s="128" t="str">
        <f>+MID(Tabla3[[#This Row],['# Viaje]],10,1)</f>
        <v/>
      </c>
    </row>
    <row r="369" spans="1:28" ht="15" hidden="1" customHeight="1">
      <c r="A369" s="173" t="s">
        <v>1521</v>
      </c>
      <c r="B369" s="174">
        <v>42948</v>
      </c>
      <c r="C369" s="173" t="s">
        <v>1231</v>
      </c>
      <c r="D369" s="173" t="s">
        <v>1478</v>
      </c>
      <c r="E369" s="173" t="s">
        <v>1232</v>
      </c>
      <c r="F369" s="173">
        <v>40</v>
      </c>
      <c r="G369" s="173" t="s">
        <v>215</v>
      </c>
      <c r="H369" s="173">
        <v>40</v>
      </c>
      <c r="I369" s="173" t="s">
        <v>1522</v>
      </c>
      <c r="J369" s="173" t="s">
        <v>1451</v>
      </c>
      <c r="K369" s="173" t="s">
        <v>16</v>
      </c>
      <c r="L369" s="173"/>
      <c r="M369" s="173" t="s">
        <v>216</v>
      </c>
      <c r="N369" s="173">
        <v>817000553</v>
      </c>
      <c r="O369" s="175">
        <v>3696639</v>
      </c>
      <c r="P369" s="7"/>
      <c r="Q369" s="16">
        <f>+IF(IFERROR(VLOOKUP(Tabla3[[#This Row],[Cliente factura]],Tabla4[[NIT]:[TOTAL CREDITO]],3,FALSE),0)="",0,IFERROR(VLOOKUP(Tabla3[[#This Row],[Cliente factura]],Tabla4[[NIT]:[TOTAL CREDITO]],3,FALSE),0))</f>
        <v>137260504</v>
      </c>
      <c r="R369" s="9">
        <f>+IFERROR(VLOOKUP(Tabla3[[#This Row],[Cliente factura]],Tabla4[[NIT]:[TOTAL CREDITO]],6,FALSE),0)</f>
        <v>0</v>
      </c>
      <c r="S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9" s="10" t="str">
        <f>VLOOKUP(Tabla3[[#This Row],[Razón social cliente factura]]&amp;Tabla3[[#This Row],[Desc. ciudad]],'Estandar de Rutas'!$C$1:$E$553,2,FALSE)</f>
        <v>2.1</v>
      </c>
      <c r="U369" s="130">
        <f>IFERROR(VLOOKUP(Tabla3[[#This Row],[Referencia]]&amp;Tabla3[[#This Row],[Desc detalle ext 1]],Tabla1[[Referencia-Color]:[Disponibilidad]],3,FALSE),0)</f>
        <v>3</v>
      </c>
      <c r="V369" s="13"/>
      <c r="W369" s="17">
        <f>+Tabla3[[#This Row],[Cant. Programada]]*Tabla3[[#This Row],[Precio unit]]</f>
        <v>0</v>
      </c>
      <c r="X369" s="8"/>
      <c r="Y369" s="8"/>
      <c r="Z369" s="8" t="str">
        <f>+Tabla3[[#This Row],[Referencia]]&amp;Tabla3[[#This Row],[Desc detalle ext 1]]</f>
        <v xml:space="preserve">CB 110 DLX                                        NEGRO    </v>
      </c>
      <c r="AA369" s="128" t="e">
        <f>+VLOOKUP(Tabla3[[#This Row],[CODIGO2]],ESTANDAR!$B$3:$C$9,2,FALSE)</f>
        <v>#N/A</v>
      </c>
      <c r="AB369" s="128" t="str">
        <f>+MID(Tabla3[[#This Row],['# Viaje]],10,1)</f>
        <v/>
      </c>
    </row>
    <row r="370" spans="1:28" ht="15" hidden="1" customHeight="1">
      <c r="A370" s="173" t="s">
        <v>1523</v>
      </c>
      <c r="B370" s="174">
        <v>42948</v>
      </c>
      <c r="C370" s="173" t="s">
        <v>1477</v>
      </c>
      <c r="D370" s="173" t="s">
        <v>1478</v>
      </c>
      <c r="E370" s="173" t="s">
        <v>1479</v>
      </c>
      <c r="F370" s="173">
        <v>1</v>
      </c>
      <c r="G370" s="173" t="s">
        <v>48</v>
      </c>
      <c r="H370" s="173">
        <v>1</v>
      </c>
      <c r="I370" s="173" t="s">
        <v>1524</v>
      </c>
      <c r="J370" s="173" t="s">
        <v>14</v>
      </c>
      <c r="K370" s="173" t="s">
        <v>1417</v>
      </c>
      <c r="L370" s="173"/>
      <c r="M370" s="173" t="s">
        <v>119</v>
      </c>
      <c r="N370" s="173">
        <v>900330225</v>
      </c>
      <c r="O370" s="175">
        <v>3360504</v>
      </c>
      <c r="P370" s="7"/>
      <c r="Q370" s="16">
        <f>+IF(IFERROR(VLOOKUP(Tabla3[[#This Row],[Cliente factura]],Tabla4[[NIT]:[TOTAL CREDITO]],3,FALSE),0)="",0,IFERROR(VLOOKUP(Tabla3[[#This Row],[Cliente factura]],Tabla4[[NIT]:[TOTAL CREDITO]],3,FALSE),0))</f>
        <v>0</v>
      </c>
      <c r="R370" s="9">
        <f>+IFERROR(VLOOKUP(Tabla3[[#This Row],[Cliente factura]],Tabla4[[NIT]:[TOTAL CREDITO]],6,FALSE),0)</f>
        <v>0</v>
      </c>
      <c r="S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0" s="10" t="str">
        <f>VLOOKUP(Tabla3[[#This Row],[Razón social cliente factura]]&amp;Tabla3[[#This Row],[Desc. ciudad]],'Estandar de Rutas'!$C$1:$E$553,2,FALSE)</f>
        <v>3.1</v>
      </c>
      <c r="U370" s="130">
        <f>IFERROR(VLOOKUP(Tabla3[[#This Row],[Referencia]]&amp;Tabla3[[#This Row],[Desc detalle ext 1]],Tabla1[[Referencia-Color]:[Disponibilidad]],3,FALSE),0)</f>
        <v>24</v>
      </c>
      <c r="V370" s="13"/>
      <c r="W370" s="17">
        <f>+Tabla3[[#This Row],[Cant. Programada]]*Tabla3[[#This Row],[Precio unit]]</f>
        <v>0</v>
      </c>
      <c r="X370" s="8"/>
      <c r="Y370" s="8"/>
      <c r="Z370" s="8" t="str">
        <f>+Tabla3[[#This Row],[Referencia]]&amp;Tabla3[[#This Row],[Desc detalle ext 1]]</f>
        <v xml:space="preserve">*CB-110                                           GRIS MET </v>
      </c>
      <c r="AA370" s="128" t="e">
        <f>+VLOOKUP(Tabla3[[#This Row],[CODIGO2]],ESTANDAR!$B$3:$C$9,2,FALSE)</f>
        <v>#N/A</v>
      </c>
      <c r="AB370" s="128" t="str">
        <f>+MID(Tabla3[[#This Row],['# Viaje]],10,1)</f>
        <v/>
      </c>
    </row>
    <row r="371" spans="1:28" ht="15" hidden="1" customHeight="1">
      <c r="A371" s="173" t="s">
        <v>1523</v>
      </c>
      <c r="B371" s="174">
        <v>42948</v>
      </c>
      <c r="C371" s="173" t="s">
        <v>1477</v>
      </c>
      <c r="D371" s="173" t="s">
        <v>1478</v>
      </c>
      <c r="E371" s="173" t="s">
        <v>1479</v>
      </c>
      <c r="F371" s="173">
        <v>1</v>
      </c>
      <c r="G371" s="173" t="s">
        <v>48</v>
      </c>
      <c r="H371" s="173">
        <v>1</v>
      </c>
      <c r="I371" s="173" t="s">
        <v>1524</v>
      </c>
      <c r="J371" s="173" t="s">
        <v>14</v>
      </c>
      <c r="K371" s="173" t="s">
        <v>17</v>
      </c>
      <c r="L371" s="173"/>
      <c r="M371" s="173" t="s">
        <v>119</v>
      </c>
      <c r="N371" s="173">
        <v>900330225</v>
      </c>
      <c r="O371" s="175">
        <v>3360504</v>
      </c>
      <c r="P371" s="7"/>
      <c r="Q371" s="16">
        <f>+IF(IFERROR(VLOOKUP(Tabla3[[#This Row],[Cliente factura]],Tabla4[[NIT]:[TOTAL CREDITO]],3,FALSE),0)="",0,IFERROR(VLOOKUP(Tabla3[[#This Row],[Cliente factura]],Tabla4[[NIT]:[TOTAL CREDITO]],3,FALSE),0))</f>
        <v>0</v>
      </c>
      <c r="R371" s="9">
        <f>+IFERROR(VLOOKUP(Tabla3[[#This Row],[Cliente factura]],Tabla4[[NIT]:[TOTAL CREDITO]],6,FALSE),0)</f>
        <v>0</v>
      </c>
      <c r="S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1" s="10" t="str">
        <f>VLOOKUP(Tabla3[[#This Row],[Razón social cliente factura]]&amp;Tabla3[[#This Row],[Desc. ciudad]],'Estandar de Rutas'!$C$1:$E$553,2,FALSE)</f>
        <v>3.1</v>
      </c>
      <c r="U371" s="130">
        <f>IFERROR(VLOOKUP(Tabla3[[#This Row],[Referencia]]&amp;Tabla3[[#This Row],[Desc detalle ext 1]],Tabla1[[Referencia-Color]:[Disponibilidad]],3,FALSE),0)</f>
        <v>38</v>
      </c>
      <c r="V371" s="13"/>
      <c r="W371" s="17">
        <f>+Tabla3[[#This Row],[Cant. Programada]]*Tabla3[[#This Row],[Precio unit]]</f>
        <v>0</v>
      </c>
      <c r="X371" s="8"/>
      <c r="Y371" s="8"/>
      <c r="Z371" s="8" t="str">
        <f>+Tabla3[[#This Row],[Referencia]]&amp;Tabla3[[#This Row],[Desc detalle ext 1]]</f>
        <v>*CB-110                                           ROJO SPOR</v>
      </c>
      <c r="AA371" s="128" t="e">
        <f>+VLOOKUP(Tabla3[[#This Row],[CODIGO2]],ESTANDAR!$B$3:$C$9,2,FALSE)</f>
        <v>#N/A</v>
      </c>
      <c r="AB371" s="128" t="str">
        <f>+MID(Tabla3[[#This Row],['# Viaje]],10,1)</f>
        <v/>
      </c>
    </row>
    <row r="372" spans="1:28" ht="15" hidden="1" customHeight="1">
      <c r="A372" s="173" t="s">
        <v>1523</v>
      </c>
      <c r="B372" s="174">
        <v>42948</v>
      </c>
      <c r="C372" s="173" t="s">
        <v>1477</v>
      </c>
      <c r="D372" s="173" t="s">
        <v>1478</v>
      </c>
      <c r="E372" s="173" t="s">
        <v>1479</v>
      </c>
      <c r="F372" s="173">
        <v>2</v>
      </c>
      <c r="G372" s="173" t="s">
        <v>48</v>
      </c>
      <c r="H372" s="173">
        <v>2</v>
      </c>
      <c r="I372" s="173" t="s">
        <v>1524</v>
      </c>
      <c r="J372" s="173" t="s">
        <v>14</v>
      </c>
      <c r="K372" s="173" t="s">
        <v>16</v>
      </c>
      <c r="L372" s="173"/>
      <c r="M372" s="173" t="s">
        <v>119</v>
      </c>
      <c r="N372" s="173">
        <v>900330225</v>
      </c>
      <c r="O372" s="175">
        <v>3360504</v>
      </c>
      <c r="P372" s="7"/>
      <c r="Q372" s="16">
        <f>+IF(IFERROR(VLOOKUP(Tabla3[[#This Row],[Cliente factura]],Tabla4[[NIT]:[TOTAL CREDITO]],3,FALSE),0)="",0,IFERROR(VLOOKUP(Tabla3[[#This Row],[Cliente factura]],Tabla4[[NIT]:[TOTAL CREDITO]],3,FALSE),0))</f>
        <v>0</v>
      </c>
      <c r="R372" s="9">
        <f>+IFERROR(VLOOKUP(Tabla3[[#This Row],[Cliente factura]],Tabla4[[NIT]:[TOTAL CREDITO]],6,FALSE),0)</f>
        <v>0</v>
      </c>
      <c r="S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2" s="10" t="str">
        <f>VLOOKUP(Tabla3[[#This Row],[Razón social cliente factura]]&amp;Tabla3[[#This Row],[Desc. ciudad]],'Estandar de Rutas'!$C$1:$E$553,2,FALSE)</f>
        <v>3.1</v>
      </c>
      <c r="U372" s="130">
        <f>IFERROR(VLOOKUP(Tabla3[[#This Row],[Referencia]]&amp;Tabla3[[#This Row],[Desc detalle ext 1]],Tabla1[[Referencia-Color]:[Disponibilidad]],3,FALSE),0)</f>
        <v>83</v>
      </c>
      <c r="V372" s="13"/>
      <c r="W372" s="17">
        <f>+Tabla3[[#This Row],[Cant. Programada]]*Tabla3[[#This Row],[Precio unit]]</f>
        <v>0</v>
      </c>
      <c r="X372" s="8"/>
      <c r="Y372" s="8"/>
      <c r="Z372" s="8" t="str">
        <f>+Tabla3[[#This Row],[Referencia]]&amp;Tabla3[[#This Row],[Desc detalle ext 1]]</f>
        <v xml:space="preserve">*CB-110                                           NEGRO    </v>
      </c>
      <c r="AA372" s="128" t="e">
        <f>+VLOOKUP(Tabla3[[#This Row],[CODIGO2]],ESTANDAR!$B$3:$C$9,2,FALSE)</f>
        <v>#N/A</v>
      </c>
      <c r="AB372" s="128" t="str">
        <f>+MID(Tabla3[[#This Row],['# Viaje]],10,1)</f>
        <v/>
      </c>
    </row>
    <row r="373" spans="1:28" ht="15" hidden="1" customHeight="1">
      <c r="A373" s="173" t="s">
        <v>1523</v>
      </c>
      <c r="B373" s="174">
        <v>42948</v>
      </c>
      <c r="C373" s="173" t="s">
        <v>1477</v>
      </c>
      <c r="D373" s="173" t="s">
        <v>1478</v>
      </c>
      <c r="E373" s="173" t="s">
        <v>1479</v>
      </c>
      <c r="F373" s="173">
        <v>1</v>
      </c>
      <c r="G373" s="173" t="s">
        <v>48</v>
      </c>
      <c r="H373" s="173">
        <v>1</v>
      </c>
      <c r="I373" s="173" t="s">
        <v>1524</v>
      </c>
      <c r="J373" s="173" t="s">
        <v>14</v>
      </c>
      <c r="K373" s="173" t="s">
        <v>1418</v>
      </c>
      <c r="L373" s="173"/>
      <c r="M373" s="173" t="s">
        <v>119</v>
      </c>
      <c r="N373" s="173">
        <v>900330225</v>
      </c>
      <c r="O373" s="175">
        <v>3360504</v>
      </c>
      <c r="P373" s="7"/>
      <c r="Q373" s="16">
        <f>+IF(IFERROR(VLOOKUP(Tabla3[[#This Row],[Cliente factura]],Tabla4[[NIT]:[TOTAL CREDITO]],3,FALSE),0)="",0,IFERROR(VLOOKUP(Tabla3[[#This Row],[Cliente factura]],Tabla4[[NIT]:[TOTAL CREDITO]],3,FALSE),0))</f>
        <v>0</v>
      </c>
      <c r="R373" s="9">
        <f>+IFERROR(VLOOKUP(Tabla3[[#This Row],[Cliente factura]],Tabla4[[NIT]:[TOTAL CREDITO]],6,FALSE),0)</f>
        <v>0</v>
      </c>
      <c r="S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3" s="10" t="str">
        <f>VLOOKUP(Tabla3[[#This Row],[Razón social cliente factura]]&amp;Tabla3[[#This Row],[Desc. ciudad]],'Estandar de Rutas'!$C$1:$E$553,2,FALSE)</f>
        <v>3.1</v>
      </c>
      <c r="U373" s="130">
        <f>IFERROR(VLOOKUP(Tabla3[[#This Row],[Referencia]]&amp;Tabla3[[#This Row],[Desc detalle ext 1]],Tabla1[[Referencia-Color]:[Disponibilidad]],3,FALSE),0)</f>
        <v>0</v>
      </c>
      <c r="V373" s="13"/>
      <c r="W373" s="17">
        <f>+Tabla3[[#This Row],[Cant. Programada]]*Tabla3[[#This Row],[Precio unit]]</f>
        <v>0</v>
      </c>
      <c r="X373" s="8"/>
      <c r="Y373" s="8"/>
      <c r="Z373" s="8" t="str">
        <f>+Tabla3[[#This Row],[Referencia]]&amp;Tabla3[[#This Row],[Desc detalle ext 1]]</f>
        <v>*CB-110                                           VERDE CAN</v>
      </c>
      <c r="AA373" s="128" t="e">
        <f>+VLOOKUP(Tabla3[[#This Row],[CODIGO2]],ESTANDAR!$B$3:$C$9,2,FALSE)</f>
        <v>#N/A</v>
      </c>
      <c r="AB373" s="128" t="str">
        <f>+MID(Tabla3[[#This Row],['# Viaje]],10,1)</f>
        <v/>
      </c>
    </row>
    <row r="374" spans="1:28" ht="15" hidden="1" customHeight="1">
      <c r="A374" s="173" t="s">
        <v>1523</v>
      </c>
      <c r="B374" s="174">
        <v>42948</v>
      </c>
      <c r="C374" s="173" t="s">
        <v>1477</v>
      </c>
      <c r="D374" s="173" t="s">
        <v>1478</v>
      </c>
      <c r="E374" s="173" t="s">
        <v>1479</v>
      </c>
      <c r="F374" s="173">
        <v>1</v>
      </c>
      <c r="G374" s="173" t="s">
        <v>48</v>
      </c>
      <c r="H374" s="173">
        <v>1</v>
      </c>
      <c r="I374" s="173" t="s">
        <v>1524</v>
      </c>
      <c r="J374" s="173" t="s">
        <v>14</v>
      </c>
      <c r="K374" s="173" t="s">
        <v>15</v>
      </c>
      <c r="L374" s="173"/>
      <c r="M374" s="173" t="s">
        <v>119</v>
      </c>
      <c r="N374" s="173">
        <v>900330225</v>
      </c>
      <c r="O374" s="175">
        <v>3360504</v>
      </c>
      <c r="P374" s="7"/>
      <c r="Q374" s="16">
        <f>+IF(IFERROR(VLOOKUP(Tabla3[[#This Row],[Cliente factura]],Tabla4[[NIT]:[TOTAL CREDITO]],3,FALSE),0)="",0,IFERROR(VLOOKUP(Tabla3[[#This Row],[Cliente factura]],Tabla4[[NIT]:[TOTAL CREDITO]],3,FALSE),0))</f>
        <v>0</v>
      </c>
      <c r="R374" s="9">
        <f>+IFERROR(VLOOKUP(Tabla3[[#This Row],[Cliente factura]],Tabla4[[NIT]:[TOTAL CREDITO]],6,FALSE),0)</f>
        <v>0</v>
      </c>
      <c r="S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4" s="10" t="str">
        <f>VLOOKUP(Tabla3[[#This Row],[Razón social cliente factura]]&amp;Tabla3[[#This Row],[Desc. ciudad]],'Estandar de Rutas'!$C$1:$E$553,2,FALSE)</f>
        <v>3.1</v>
      </c>
      <c r="U374" s="130">
        <f>IFERROR(VLOOKUP(Tabla3[[#This Row],[Referencia]]&amp;Tabla3[[#This Row],[Desc detalle ext 1]],Tabla1[[Referencia-Color]:[Disponibilidad]],3,FALSE),0)</f>
        <v>99</v>
      </c>
      <c r="V374" s="13"/>
      <c r="W374" s="17">
        <f>+Tabla3[[#This Row],[Cant. Programada]]*Tabla3[[#This Row],[Precio unit]]</f>
        <v>0</v>
      </c>
      <c r="X374" s="8"/>
      <c r="Y374" s="8"/>
      <c r="Z374" s="8" t="str">
        <f>+Tabla3[[#This Row],[Referencia]]&amp;Tabla3[[#This Row],[Desc detalle ext 1]]</f>
        <v>*CB-110                                           AZUL FIJI</v>
      </c>
      <c r="AA374" s="128" t="e">
        <f>+VLOOKUP(Tabla3[[#This Row],[CODIGO2]],ESTANDAR!$B$3:$C$9,2,FALSE)</f>
        <v>#N/A</v>
      </c>
      <c r="AB374" s="128" t="str">
        <f>+MID(Tabla3[[#This Row],['# Viaje]],10,1)</f>
        <v/>
      </c>
    </row>
    <row r="375" spans="1:28" ht="15" hidden="1" customHeight="1">
      <c r="A375" s="173" t="s">
        <v>1523</v>
      </c>
      <c r="B375" s="174">
        <v>42948</v>
      </c>
      <c r="C375" s="173" t="s">
        <v>1477</v>
      </c>
      <c r="D375" s="173" t="s">
        <v>1478</v>
      </c>
      <c r="E375" s="173" t="s">
        <v>1479</v>
      </c>
      <c r="F375" s="173">
        <v>1</v>
      </c>
      <c r="G375" s="173" t="s">
        <v>48</v>
      </c>
      <c r="H375" s="173">
        <v>1</v>
      </c>
      <c r="I375" s="173" t="s">
        <v>1524</v>
      </c>
      <c r="J375" s="173" t="s">
        <v>27</v>
      </c>
      <c r="K375" s="173" t="s">
        <v>16</v>
      </c>
      <c r="L375" s="173"/>
      <c r="M375" s="173" t="s">
        <v>119</v>
      </c>
      <c r="N375" s="173">
        <v>900330225</v>
      </c>
      <c r="O375" s="175">
        <v>5789916</v>
      </c>
      <c r="P375" s="7"/>
      <c r="Q375" s="16">
        <f>+IF(IFERROR(VLOOKUP(Tabla3[[#This Row],[Cliente factura]],Tabla4[[NIT]:[TOTAL CREDITO]],3,FALSE),0)="",0,IFERROR(VLOOKUP(Tabla3[[#This Row],[Cliente factura]],Tabla4[[NIT]:[TOTAL CREDITO]],3,FALSE),0))</f>
        <v>0</v>
      </c>
      <c r="R375" s="9">
        <f>+IFERROR(VLOOKUP(Tabla3[[#This Row],[Cliente factura]],Tabla4[[NIT]:[TOTAL CREDITO]],6,FALSE),0)</f>
        <v>0</v>
      </c>
      <c r="S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5" s="10" t="str">
        <f>VLOOKUP(Tabla3[[#This Row],[Razón social cliente factura]]&amp;Tabla3[[#This Row],[Desc. ciudad]],'Estandar de Rutas'!$C$1:$E$553,2,FALSE)</f>
        <v>3.1</v>
      </c>
      <c r="U375" s="130">
        <f>IFERROR(VLOOKUP(Tabla3[[#This Row],[Referencia]]&amp;Tabla3[[#This Row],[Desc detalle ext 1]],Tabla1[[Referencia-Color]:[Disponibilidad]],3,FALSE),0)</f>
        <v>3</v>
      </c>
      <c r="V375" s="13"/>
      <c r="W375" s="17">
        <f>+Tabla3[[#This Row],[Cant. Programada]]*Tabla3[[#This Row],[Precio unit]]</f>
        <v>0</v>
      </c>
      <c r="X375" s="8"/>
      <c r="Y375" s="8"/>
      <c r="Z375" s="8" t="str">
        <f>+Tabla3[[#This Row],[Referencia]]&amp;Tabla3[[#This Row],[Desc detalle ext 1]]</f>
        <v xml:space="preserve">*XR 150L                                          NEGRO    </v>
      </c>
      <c r="AA375" s="128" t="e">
        <f>+VLOOKUP(Tabla3[[#This Row],[CODIGO2]],ESTANDAR!$B$3:$C$9,2,FALSE)</f>
        <v>#N/A</v>
      </c>
      <c r="AB375" s="128" t="str">
        <f>+MID(Tabla3[[#This Row],['# Viaje]],10,1)</f>
        <v/>
      </c>
    </row>
    <row r="376" spans="1:28" ht="15" hidden="1" customHeight="1">
      <c r="A376" s="173" t="s">
        <v>1523</v>
      </c>
      <c r="B376" s="174">
        <v>42948</v>
      </c>
      <c r="C376" s="173" t="s">
        <v>1477</v>
      </c>
      <c r="D376" s="173" t="s">
        <v>1478</v>
      </c>
      <c r="E376" s="173" t="s">
        <v>1479</v>
      </c>
      <c r="F376" s="173">
        <v>1</v>
      </c>
      <c r="G376" s="173" t="s">
        <v>48</v>
      </c>
      <c r="H376" s="173">
        <v>1</v>
      </c>
      <c r="I376" s="173" t="s">
        <v>1524</v>
      </c>
      <c r="J376" s="173" t="s">
        <v>1425</v>
      </c>
      <c r="K376" s="173" t="s">
        <v>1426</v>
      </c>
      <c r="L376" s="173"/>
      <c r="M376" s="173" t="s">
        <v>119</v>
      </c>
      <c r="N376" s="173">
        <v>900330225</v>
      </c>
      <c r="O376" s="175">
        <v>7730252</v>
      </c>
      <c r="P376" s="7"/>
      <c r="Q376" s="16">
        <f>+IF(IFERROR(VLOOKUP(Tabla3[[#This Row],[Cliente factura]],Tabla4[[NIT]:[TOTAL CREDITO]],3,FALSE),0)="",0,IFERROR(VLOOKUP(Tabla3[[#This Row],[Cliente factura]],Tabla4[[NIT]:[TOTAL CREDITO]],3,FALSE),0))</f>
        <v>0</v>
      </c>
      <c r="R376" s="9">
        <f>+IFERROR(VLOOKUP(Tabla3[[#This Row],[Cliente factura]],Tabla4[[NIT]:[TOTAL CREDITO]],6,FALSE),0)</f>
        <v>0</v>
      </c>
      <c r="S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6" s="10" t="str">
        <f>VLOOKUP(Tabla3[[#This Row],[Razón social cliente factura]]&amp;Tabla3[[#This Row],[Desc. ciudad]],'Estandar de Rutas'!$C$1:$E$553,2,FALSE)</f>
        <v>3.1</v>
      </c>
      <c r="U376" s="130">
        <f>IFERROR(VLOOKUP(Tabla3[[#This Row],[Referencia]]&amp;Tabla3[[#This Row],[Desc detalle ext 1]],Tabla1[[Referencia-Color]:[Disponibilidad]],3,FALSE),0)</f>
        <v>104</v>
      </c>
      <c r="V376" s="13"/>
      <c r="W376" s="17">
        <f>+Tabla3[[#This Row],[Cant. Programada]]*Tabla3[[#This Row],[Precio unit]]</f>
        <v>0</v>
      </c>
      <c r="X376" s="8"/>
      <c r="Y376" s="8"/>
      <c r="Z376" s="8" t="str">
        <f>+Tabla3[[#This Row],[Referencia]]&amp;Tabla3[[#This Row],[Desc detalle ext 1]]</f>
        <v>CB 190 REPSOL                                     NARANJA B</v>
      </c>
      <c r="AA376" s="128" t="e">
        <f>+VLOOKUP(Tabla3[[#This Row],[CODIGO2]],ESTANDAR!$B$3:$C$9,2,FALSE)</f>
        <v>#N/A</v>
      </c>
      <c r="AB376" s="128" t="str">
        <f>+MID(Tabla3[[#This Row],['# Viaje]],10,1)</f>
        <v/>
      </c>
    </row>
    <row r="377" spans="1:28" ht="15" hidden="1" customHeight="1">
      <c r="A377" s="173" t="s">
        <v>1523</v>
      </c>
      <c r="B377" s="174">
        <v>42948</v>
      </c>
      <c r="C377" s="173" t="s">
        <v>1477</v>
      </c>
      <c r="D377" s="173" t="s">
        <v>1478</v>
      </c>
      <c r="E377" s="173" t="s">
        <v>1479</v>
      </c>
      <c r="F377" s="173">
        <v>1</v>
      </c>
      <c r="G377" s="173" t="s">
        <v>48</v>
      </c>
      <c r="H377" s="173">
        <v>1</v>
      </c>
      <c r="I377" s="173" t="s">
        <v>1524</v>
      </c>
      <c r="J377" s="173" t="s">
        <v>354</v>
      </c>
      <c r="K377" s="173" t="s">
        <v>17</v>
      </c>
      <c r="L377" s="173"/>
      <c r="M377" s="173" t="s">
        <v>119</v>
      </c>
      <c r="N377" s="173">
        <v>900330225</v>
      </c>
      <c r="O377" s="175">
        <v>6133613</v>
      </c>
      <c r="P377" s="7"/>
      <c r="Q377" s="16">
        <f>+IF(IFERROR(VLOOKUP(Tabla3[[#This Row],[Cliente factura]],Tabla4[[NIT]:[TOTAL CREDITO]],3,FALSE),0)="",0,IFERROR(VLOOKUP(Tabla3[[#This Row],[Cliente factura]],Tabla4[[NIT]:[TOTAL CREDITO]],3,FALSE),0))</f>
        <v>0</v>
      </c>
      <c r="R377" s="9">
        <f>+IFERROR(VLOOKUP(Tabla3[[#This Row],[Cliente factura]],Tabla4[[NIT]:[TOTAL CREDITO]],6,FALSE),0)</f>
        <v>0</v>
      </c>
      <c r="S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7" s="10" t="str">
        <f>VLOOKUP(Tabla3[[#This Row],[Razón social cliente factura]]&amp;Tabla3[[#This Row],[Desc. ciudad]],'Estandar de Rutas'!$C$1:$E$553,2,FALSE)</f>
        <v>3.1</v>
      </c>
      <c r="U377" s="130">
        <f>IFERROR(VLOOKUP(Tabla3[[#This Row],[Referencia]]&amp;Tabla3[[#This Row],[Desc detalle ext 1]],Tabla1[[Referencia-Color]:[Disponibilidad]],3,FALSE),0)</f>
        <v>48</v>
      </c>
      <c r="V377" s="13"/>
      <c r="W377" s="17">
        <f>+Tabla3[[#This Row],[Cant. Programada]]*Tabla3[[#This Row],[Precio unit]]</f>
        <v>0</v>
      </c>
      <c r="X377" s="8"/>
      <c r="Y377" s="8"/>
      <c r="Z377" s="8" t="str">
        <f>+Tabla3[[#This Row],[Referencia]]&amp;Tabla3[[#This Row],[Desc detalle ext 1]]</f>
        <v>CB 160F DLX                                       ROJO SPOR</v>
      </c>
      <c r="AA377" s="128" t="e">
        <f>+VLOOKUP(Tabla3[[#This Row],[CODIGO2]],ESTANDAR!$B$3:$C$9,2,FALSE)</f>
        <v>#N/A</v>
      </c>
      <c r="AB377" s="128" t="str">
        <f>+MID(Tabla3[[#This Row],['# Viaje]],10,1)</f>
        <v/>
      </c>
    </row>
    <row r="378" spans="1:28" ht="15" hidden="1" customHeight="1">
      <c r="A378" s="173" t="s">
        <v>1523</v>
      </c>
      <c r="B378" s="174">
        <v>42948</v>
      </c>
      <c r="C378" s="173" t="s">
        <v>1477</v>
      </c>
      <c r="D378" s="173" t="s">
        <v>1478</v>
      </c>
      <c r="E378" s="173" t="s">
        <v>1479</v>
      </c>
      <c r="F378" s="173">
        <v>1</v>
      </c>
      <c r="G378" s="173" t="s">
        <v>48</v>
      </c>
      <c r="H378" s="173">
        <v>1</v>
      </c>
      <c r="I378" s="173" t="s">
        <v>1524</v>
      </c>
      <c r="J378" s="173" t="s">
        <v>354</v>
      </c>
      <c r="K378" s="173" t="s">
        <v>355</v>
      </c>
      <c r="L378" s="173"/>
      <c r="M378" s="173" t="s">
        <v>119</v>
      </c>
      <c r="N378" s="173">
        <v>900330225</v>
      </c>
      <c r="O378" s="175">
        <v>6133613</v>
      </c>
      <c r="P378" s="7"/>
      <c r="Q378" s="16">
        <f>+IF(IFERROR(VLOOKUP(Tabla3[[#This Row],[Cliente factura]],Tabla4[[NIT]:[TOTAL CREDITO]],3,FALSE),0)="",0,IFERROR(VLOOKUP(Tabla3[[#This Row],[Cliente factura]],Tabla4[[NIT]:[TOTAL CREDITO]],3,FALSE),0))</f>
        <v>0</v>
      </c>
      <c r="R378" s="9">
        <f>+IFERROR(VLOOKUP(Tabla3[[#This Row],[Cliente factura]],Tabla4[[NIT]:[TOTAL CREDITO]],6,FALSE),0)</f>
        <v>0</v>
      </c>
      <c r="S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8" s="10" t="str">
        <f>VLOOKUP(Tabla3[[#This Row],[Razón social cliente factura]]&amp;Tabla3[[#This Row],[Desc. ciudad]],'Estandar de Rutas'!$C$1:$E$553,2,FALSE)</f>
        <v>3.1</v>
      </c>
      <c r="U378" s="130">
        <f>IFERROR(VLOOKUP(Tabla3[[#This Row],[Referencia]]&amp;Tabla3[[#This Row],[Desc detalle ext 1]],Tabla1[[Referencia-Color]:[Disponibilidad]],3,FALSE),0)</f>
        <v>0</v>
      </c>
      <c r="V378" s="13"/>
      <c r="W378" s="17">
        <f>+Tabla3[[#This Row],[Cant. Programada]]*Tabla3[[#This Row],[Precio unit]]</f>
        <v>0</v>
      </c>
      <c r="X378" s="8"/>
      <c r="Y378" s="8"/>
      <c r="Z378" s="8" t="str">
        <f>+Tabla3[[#This Row],[Referencia]]&amp;Tabla3[[#This Row],[Desc detalle ext 1]]</f>
        <v>CB 160F DLX                                       NEGRO PER</v>
      </c>
      <c r="AA378" s="128" t="e">
        <f>+VLOOKUP(Tabla3[[#This Row],[CODIGO2]],ESTANDAR!$B$3:$C$9,2,FALSE)</f>
        <v>#N/A</v>
      </c>
      <c r="AB378" s="128" t="str">
        <f>+MID(Tabla3[[#This Row],['# Viaje]],10,1)</f>
        <v/>
      </c>
    </row>
    <row r="379" spans="1:28" ht="15" hidden="1" customHeight="1">
      <c r="A379" s="173" t="s">
        <v>1523</v>
      </c>
      <c r="B379" s="174">
        <v>42948</v>
      </c>
      <c r="C379" s="173" t="s">
        <v>1477</v>
      </c>
      <c r="D379" s="173" t="s">
        <v>1478</v>
      </c>
      <c r="E379" s="173" t="s">
        <v>1479</v>
      </c>
      <c r="F379" s="173">
        <v>1</v>
      </c>
      <c r="G379" s="173" t="s">
        <v>48</v>
      </c>
      <c r="H379" s="173">
        <v>1</v>
      </c>
      <c r="I379" s="173" t="s">
        <v>1524</v>
      </c>
      <c r="J379" s="173" t="s">
        <v>1433</v>
      </c>
      <c r="K379" s="173" t="s">
        <v>1431</v>
      </c>
      <c r="L379" s="173"/>
      <c r="M379" s="173" t="s">
        <v>119</v>
      </c>
      <c r="N379" s="173">
        <v>900330225</v>
      </c>
      <c r="O379" s="175">
        <v>3521008</v>
      </c>
      <c r="P379" s="7"/>
      <c r="Q379" s="16">
        <f>+IF(IFERROR(VLOOKUP(Tabla3[[#This Row],[Cliente factura]],Tabla4[[NIT]:[TOTAL CREDITO]],3,FALSE),0)="",0,IFERROR(VLOOKUP(Tabla3[[#This Row],[Cliente factura]],Tabla4[[NIT]:[TOTAL CREDITO]],3,FALSE),0))</f>
        <v>0</v>
      </c>
      <c r="R379" s="9">
        <f>+IFERROR(VLOOKUP(Tabla3[[#This Row],[Cliente factura]],Tabla4[[NIT]:[TOTAL CREDITO]],6,FALSE),0)</f>
        <v>0</v>
      </c>
      <c r="S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9" s="10" t="str">
        <f>VLOOKUP(Tabla3[[#This Row],[Razón social cliente factura]]&amp;Tabla3[[#This Row],[Desc. ciudad]],'Estandar de Rutas'!$C$1:$E$553,2,FALSE)</f>
        <v>3.1</v>
      </c>
      <c r="U379" s="130">
        <f>IFERROR(VLOOKUP(Tabla3[[#This Row],[Referencia]]&amp;Tabla3[[#This Row],[Desc detalle ext 1]],Tabla1[[Referencia-Color]:[Disponibilidad]],3,FALSE),0)</f>
        <v>0</v>
      </c>
      <c r="V379" s="13"/>
      <c r="W379" s="17">
        <f>+Tabla3[[#This Row],[Cant. Programada]]*Tabla3[[#This Row],[Precio unit]]</f>
        <v>0</v>
      </c>
      <c r="X379" s="8"/>
      <c r="Y379" s="8"/>
      <c r="Z379" s="8" t="str">
        <f>+Tabla3[[#This Row],[Referencia]]&amp;Tabla3[[#This Row],[Desc detalle ext 1]]</f>
        <v xml:space="preserve">DIO  110                                          ROJO     </v>
      </c>
      <c r="AA379" s="128" t="e">
        <f>+VLOOKUP(Tabla3[[#This Row],[CODIGO2]],ESTANDAR!$B$3:$C$9,2,FALSE)</f>
        <v>#N/A</v>
      </c>
      <c r="AB379" s="128" t="str">
        <f>+MID(Tabla3[[#This Row],['# Viaje]],10,1)</f>
        <v/>
      </c>
    </row>
    <row r="380" spans="1:28" ht="15" hidden="1" customHeight="1">
      <c r="A380" s="173" t="s">
        <v>1523</v>
      </c>
      <c r="B380" s="174">
        <v>42948</v>
      </c>
      <c r="C380" s="173" t="s">
        <v>1477</v>
      </c>
      <c r="D380" s="173" t="s">
        <v>1478</v>
      </c>
      <c r="E380" s="173" t="s">
        <v>1479</v>
      </c>
      <c r="F380" s="173">
        <v>1</v>
      </c>
      <c r="G380" s="173" t="s">
        <v>48</v>
      </c>
      <c r="H380" s="173">
        <v>1</v>
      </c>
      <c r="I380" s="173" t="s">
        <v>1524</v>
      </c>
      <c r="J380" s="173" t="s">
        <v>1428</v>
      </c>
      <c r="K380" s="173" t="s">
        <v>1429</v>
      </c>
      <c r="L380" s="173"/>
      <c r="M380" s="173" t="s">
        <v>119</v>
      </c>
      <c r="N380" s="173">
        <v>900330225</v>
      </c>
      <c r="O380" s="175">
        <v>3067227</v>
      </c>
      <c r="P380" s="7"/>
      <c r="Q380" s="16">
        <f>+IF(IFERROR(VLOOKUP(Tabla3[[#This Row],[Cliente factura]],Tabla4[[NIT]:[TOTAL CREDITO]],3,FALSE),0)="",0,IFERROR(VLOOKUP(Tabla3[[#This Row],[Cliente factura]],Tabla4[[NIT]:[TOTAL CREDITO]],3,FALSE),0))</f>
        <v>0</v>
      </c>
      <c r="R380" s="9">
        <f>+IFERROR(VLOOKUP(Tabla3[[#This Row],[Cliente factura]],Tabla4[[NIT]:[TOTAL CREDITO]],6,FALSE),0)</f>
        <v>0</v>
      </c>
      <c r="S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0" s="10" t="str">
        <f>VLOOKUP(Tabla3[[#This Row],[Razón social cliente factura]]&amp;Tabla3[[#This Row],[Desc. ciudad]],'Estandar de Rutas'!$C$1:$E$553,2,FALSE)</f>
        <v>3.1</v>
      </c>
      <c r="U380" s="130">
        <f>IFERROR(VLOOKUP(Tabla3[[#This Row],[Referencia]]&amp;Tabla3[[#This Row],[Desc detalle ext 1]],Tabla1[[Referencia-Color]:[Disponibilidad]],3,FALSE),0)</f>
        <v>0</v>
      </c>
      <c r="V380" s="13"/>
      <c r="W380" s="17">
        <f>+Tabla3[[#This Row],[Cant. Programada]]*Tabla3[[#This Row],[Precio unit]]</f>
        <v>0</v>
      </c>
      <c r="X380" s="8"/>
      <c r="Y380" s="8"/>
      <c r="Z380" s="8" t="str">
        <f>+Tabla3[[#This Row],[Referencia]]&amp;Tabla3[[#This Row],[Desc detalle ext 1]]</f>
        <v>DREAM  NEO                                        NEGRO AZU</v>
      </c>
      <c r="AA380" s="128" t="e">
        <f>+VLOOKUP(Tabla3[[#This Row],[CODIGO2]],ESTANDAR!$B$3:$C$9,2,FALSE)</f>
        <v>#N/A</v>
      </c>
      <c r="AB380" s="128" t="str">
        <f>+MID(Tabla3[[#This Row],['# Viaje]],10,1)</f>
        <v/>
      </c>
    </row>
    <row r="381" spans="1:28" ht="15" hidden="1" customHeight="1">
      <c r="A381" s="173" t="s">
        <v>1523</v>
      </c>
      <c r="B381" s="174">
        <v>42948</v>
      </c>
      <c r="C381" s="173" t="s">
        <v>1477</v>
      </c>
      <c r="D381" s="173" t="s">
        <v>1478</v>
      </c>
      <c r="E381" s="173" t="s">
        <v>1479</v>
      </c>
      <c r="F381" s="173">
        <v>1</v>
      </c>
      <c r="G381" s="173" t="s">
        <v>48</v>
      </c>
      <c r="H381" s="173">
        <v>1</v>
      </c>
      <c r="I381" s="173" t="s">
        <v>1524</v>
      </c>
      <c r="J381" s="173" t="s">
        <v>1430</v>
      </c>
      <c r="K381" s="173" t="s">
        <v>16</v>
      </c>
      <c r="L381" s="173"/>
      <c r="M381" s="173" t="s">
        <v>119</v>
      </c>
      <c r="N381" s="173">
        <v>900330225</v>
      </c>
      <c r="O381" s="175">
        <v>3941176</v>
      </c>
      <c r="P381" s="7"/>
      <c r="Q381" s="16">
        <f>+IF(IFERROR(VLOOKUP(Tabla3[[#This Row],[Cliente factura]],Tabla4[[NIT]:[TOTAL CREDITO]],3,FALSE),0)="",0,IFERROR(VLOOKUP(Tabla3[[#This Row],[Cliente factura]],Tabla4[[NIT]:[TOTAL CREDITO]],3,FALSE),0))</f>
        <v>0</v>
      </c>
      <c r="R381" s="9">
        <f>+IFERROR(VLOOKUP(Tabla3[[#This Row],[Cliente factura]],Tabla4[[NIT]:[TOTAL CREDITO]],6,FALSE),0)</f>
        <v>0</v>
      </c>
      <c r="S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1" s="10" t="str">
        <f>VLOOKUP(Tabla3[[#This Row],[Razón social cliente factura]]&amp;Tabla3[[#This Row],[Desc. ciudad]],'Estandar de Rutas'!$C$1:$E$553,2,FALSE)</f>
        <v>3.1</v>
      </c>
      <c r="U381" s="130">
        <f>IFERROR(VLOOKUP(Tabla3[[#This Row],[Referencia]]&amp;Tabla3[[#This Row],[Desc detalle ext 1]],Tabla1[[Referencia-Color]:[Disponibilidad]],3,FALSE),0)</f>
        <v>0</v>
      </c>
      <c r="V381" s="13"/>
      <c r="W381" s="17">
        <f>+Tabla3[[#This Row],[Cant. Programada]]*Tabla3[[#This Row],[Precio unit]]</f>
        <v>0</v>
      </c>
      <c r="X381" s="8"/>
      <c r="Y381" s="8"/>
      <c r="Z381" s="8" t="str">
        <f>+Tabla3[[#This Row],[Referencia]]&amp;Tabla3[[#This Row],[Desc detalle ext 1]]</f>
        <v xml:space="preserve">WAVE 110S                                         NEGRO    </v>
      </c>
      <c r="AA381" s="128" t="e">
        <f>+VLOOKUP(Tabla3[[#This Row],[CODIGO2]],ESTANDAR!$B$3:$C$9,2,FALSE)</f>
        <v>#N/A</v>
      </c>
      <c r="AB381" s="128" t="str">
        <f>+MID(Tabla3[[#This Row],['# Viaje]],10,1)</f>
        <v/>
      </c>
    </row>
    <row r="382" spans="1:28" ht="15" hidden="1" customHeight="1">
      <c r="A382" s="173" t="s">
        <v>1523</v>
      </c>
      <c r="B382" s="174">
        <v>42948</v>
      </c>
      <c r="C382" s="173" t="s">
        <v>1477</v>
      </c>
      <c r="D382" s="173" t="s">
        <v>1478</v>
      </c>
      <c r="E382" s="173" t="s">
        <v>1479</v>
      </c>
      <c r="F382" s="173">
        <v>1</v>
      </c>
      <c r="G382" s="173" t="s">
        <v>48</v>
      </c>
      <c r="H382" s="173">
        <v>1</v>
      </c>
      <c r="I382" s="173" t="s">
        <v>1524</v>
      </c>
      <c r="J382" s="173" t="s">
        <v>1234</v>
      </c>
      <c r="K382" s="173" t="s">
        <v>355</v>
      </c>
      <c r="L382" s="173"/>
      <c r="M382" s="173" t="s">
        <v>119</v>
      </c>
      <c r="N382" s="173">
        <v>900330225</v>
      </c>
      <c r="O382" s="175">
        <v>5453782</v>
      </c>
      <c r="P382" s="7"/>
      <c r="Q382" s="16">
        <f>+IF(IFERROR(VLOOKUP(Tabla3[[#This Row],[Cliente factura]],Tabla4[[NIT]:[TOTAL CREDITO]],3,FALSE),0)="",0,IFERROR(VLOOKUP(Tabla3[[#This Row],[Cliente factura]],Tabla4[[NIT]:[TOTAL CREDITO]],3,FALSE),0))</f>
        <v>0</v>
      </c>
      <c r="R382" s="9">
        <f>+IFERROR(VLOOKUP(Tabla3[[#This Row],[Cliente factura]],Tabla4[[NIT]:[TOTAL CREDITO]],6,FALSE),0)</f>
        <v>0</v>
      </c>
      <c r="S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2" s="10" t="str">
        <f>VLOOKUP(Tabla3[[#This Row],[Razón social cliente factura]]&amp;Tabla3[[#This Row],[Desc. ciudad]],'Estandar de Rutas'!$C$1:$E$553,2,FALSE)</f>
        <v>3.1</v>
      </c>
      <c r="U382" s="130">
        <f>IFERROR(VLOOKUP(Tabla3[[#This Row],[Referencia]]&amp;Tabla3[[#This Row],[Desc detalle ext 1]],Tabla1[[Referencia-Color]:[Disponibilidad]],3,FALSE),0)</f>
        <v>0</v>
      </c>
      <c r="V382" s="13"/>
      <c r="W382" s="17">
        <f>+Tabla3[[#This Row],[Cant. Programada]]*Tabla3[[#This Row],[Precio unit]]</f>
        <v>0</v>
      </c>
      <c r="X382" s="8"/>
      <c r="Y382" s="8"/>
      <c r="Z382" s="8" t="str">
        <f>+Tabla3[[#This Row],[Referencia]]&amp;Tabla3[[#This Row],[Desc detalle ext 1]]</f>
        <v>CB 160F STD                                       NEGRO PER</v>
      </c>
      <c r="AA382" s="128" t="e">
        <f>+VLOOKUP(Tabla3[[#This Row],[CODIGO2]],ESTANDAR!$B$3:$C$9,2,FALSE)</f>
        <v>#N/A</v>
      </c>
      <c r="AB382" s="128" t="str">
        <f>+MID(Tabla3[[#This Row],['# Viaje]],10,1)</f>
        <v/>
      </c>
    </row>
    <row r="383" spans="1:28" ht="15" hidden="1" customHeight="1">
      <c r="A383" s="173" t="s">
        <v>1523</v>
      </c>
      <c r="B383" s="174">
        <v>42948</v>
      </c>
      <c r="C383" s="173" t="s">
        <v>1477</v>
      </c>
      <c r="D383" s="173" t="s">
        <v>1478</v>
      </c>
      <c r="E383" s="173" t="s">
        <v>1479</v>
      </c>
      <c r="F383" s="173">
        <v>1</v>
      </c>
      <c r="G383" s="173" t="s">
        <v>48</v>
      </c>
      <c r="H383" s="173">
        <v>1</v>
      </c>
      <c r="I383" s="173" t="s">
        <v>1524</v>
      </c>
      <c r="J383" s="173" t="s">
        <v>1451</v>
      </c>
      <c r="K383" s="173" t="s">
        <v>1452</v>
      </c>
      <c r="L383" s="173"/>
      <c r="M383" s="173" t="s">
        <v>119</v>
      </c>
      <c r="N383" s="173">
        <v>900330225</v>
      </c>
      <c r="O383" s="175">
        <v>3696639</v>
      </c>
      <c r="P383" s="7"/>
      <c r="Q383" s="16">
        <f>+IF(IFERROR(VLOOKUP(Tabla3[[#This Row],[Cliente factura]],Tabla4[[NIT]:[TOTAL CREDITO]],3,FALSE),0)="",0,IFERROR(VLOOKUP(Tabla3[[#This Row],[Cliente factura]],Tabla4[[NIT]:[TOTAL CREDITO]],3,FALSE),0))</f>
        <v>0</v>
      </c>
      <c r="R383" s="9">
        <f>+IFERROR(VLOOKUP(Tabla3[[#This Row],[Cliente factura]],Tabla4[[NIT]:[TOTAL CREDITO]],6,FALSE),0)</f>
        <v>0</v>
      </c>
      <c r="S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3" s="10" t="str">
        <f>VLOOKUP(Tabla3[[#This Row],[Razón social cliente factura]]&amp;Tabla3[[#This Row],[Desc. ciudad]],'Estandar de Rutas'!$C$1:$E$553,2,FALSE)</f>
        <v>3.1</v>
      </c>
      <c r="U383" s="130">
        <f>IFERROR(VLOOKUP(Tabla3[[#This Row],[Referencia]]&amp;Tabla3[[#This Row],[Desc detalle ext 1]],Tabla1[[Referencia-Color]:[Disponibilidad]],3,FALSE),0)</f>
        <v>21</v>
      </c>
      <c r="V383" s="13"/>
      <c r="W383" s="17">
        <f>+Tabla3[[#This Row],[Cant. Programada]]*Tabla3[[#This Row],[Precio unit]]</f>
        <v>0</v>
      </c>
      <c r="X383" s="8"/>
      <c r="Y383" s="8"/>
      <c r="Z383" s="8" t="str">
        <f>+Tabla3[[#This Row],[Referencia]]&amp;Tabla3[[#This Row],[Desc detalle ext 1]]</f>
        <v xml:space="preserve">CB 110 DLX                                        AZUL     </v>
      </c>
      <c r="AA383" s="128" t="e">
        <f>+VLOOKUP(Tabla3[[#This Row],[CODIGO2]],ESTANDAR!$B$3:$C$9,2,FALSE)</f>
        <v>#N/A</v>
      </c>
      <c r="AB383" s="128" t="str">
        <f>+MID(Tabla3[[#This Row],['# Viaje]],10,1)</f>
        <v/>
      </c>
    </row>
    <row r="384" spans="1:28" ht="15" hidden="1" customHeight="1">
      <c r="A384" s="173" t="s">
        <v>1523</v>
      </c>
      <c r="B384" s="174">
        <v>42948</v>
      </c>
      <c r="C384" s="173" t="s">
        <v>1477</v>
      </c>
      <c r="D384" s="173" t="s">
        <v>1478</v>
      </c>
      <c r="E384" s="173" t="s">
        <v>1479</v>
      </c>
      <c r="F384" s="173">
        <v>1</v>
      </c>
      <c r="G384" s="173" t="s">
        <v>48</v>
      </c>
      <c r="H384" s="173">
        <v>1</v>
      </c>
      <c r="I384" s="173" t="s">
        <v>1524</v>
      </c>
      <c r="J384" s="173" t="s">
        <v>1451</v>
      </c>
      <c r="K384" s="173" t="s">
        <v>1431</v>
      </c>
      <c r="L384" s="173"/>
      <c r="M384" s="173" t="s">
        <v>119</v>
      </c>
      <c r="N384" s="173">
        <v>900330225</v>
      </c>
      <c r="O384" s="175">
        <v>3696639</v>
      </c>
      <c r="P384" s="7"/>
      <c r="Q384" s="16">
        <f>+IF(IFERROR(VLOOKUP(Tabla3[[#This Row],[Cliente factura]],Tabla4[[NIT]:[TOTAL CREDITO]],3,FALSE),0)="",0,IFERROR(VLOOKUP(Tabla3[[#This Row],[Cliente factura]],Tabla4[[NIT]:[TOTAL CREDITO]],3,FALSE),0))</f>
        <v>0</v>
      </c>
      <c r="R384" s="9">
        <f>+IFERROR(VLOOKUP(Tabla3[[#This Row],[Cliente factura]],Tabla4[[NIT]:[TOTAL CREDITO]],6,FALSE),0)</f>
        <v>0</v>
      </c>
      <c r="S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4" s="10" t="str">
        <f>VLOOKUP(Tabla3[[#This Row],[Razón social cliente factura]]&amp;Tabla3[[#This Row],[Desc. ciudad]],'Estandar de Rutas'!$C$1:$E$553,2,FALSE)</f>
        <v>3.1</v>
      </c>
      <c r="U384" s="130">
        <f>IFERROR(VLOOKUP(Tabla3[[#This Row],[Referencia]]&amp;Tabla3[[#This Row],[Desc detalle ext 1]],Tabla1[[Referencia-Color]:[Disponibilidad]],3,FALSE),0)</f>
        <v>21</v>
      </c>
      <c r="V384" s="13"/>
      <c r="W384" s="17">
        <f>+Tabla3[[#This Row],[Cant. Programada]]*Tabla3[[#This Row],[Precio unit]]</f>
        <v>0</v>
      </c>
      <c r="X384" s="8"/>
      <c r="Y384" s="8"/>
      <c r="Z384" s="8" t="str">
        <f>+Tabla3[[#This Row],[Referencia]]&amp;Tabla3[[#This Row],[Desc detalle ext 1]]</f>
        <v xml:space="preserve">CB 110 DLX                                        ROJO     </v>
      </c>
      <c r="AA384" s="128" t="e">
        <f>+VLOOKUP(Tabla3[[#This Row],[CODIGO2]],ESTANDAR!$B$3:$C$9,2,FALSE)</f>
        <v>#N/A</v>
      </c>
      <c r="AB384" s="128" t="str">
        <f>+MID(Tabla3[[#This Row],['# Viaje]],10,1)</f>
        <v/>
      </c>
    </row>
    <row r="385" spans="1:28" ht="15" hidden="1" customHeight="1">
      <c r="A385" s="173" t="s">
        <v>1523</v>
      </c>
      <c r="B385" s="174">
        <v>42948</v>
      </c>
      <c r="C385" s="173" t="s">
        <v>1477</v>
      </c>
      <c r="D385" s="173" t="s">
        <v>1478</v>
      </c>
      <c r="E385" s="173" t="s">
        <v>1479</v>
      </c>
      <c r="F385" s="173">
        <v>1</v>
      </c>
      <c r="G385" s="173" t="s">
        <v>48</v>
      </c>
      <c r="H385" s="173">
        <v>1</v>
      </c>
      <c r="I385" s="173" t="s">
        <v>1524</v>
      </c>
      <c r="J385" s="173" t="s">
        <v>1451</v>
      </c>
      <c r="K385" s="173" t="s">
        <v>16</v>
      </c>
      <c r="L385" s="173"/>
      <c r="M385" s="173" t="s">
        <v>119</v>
      </c>
      <c r="N385" s="173">
        <v>900330225</v>
      </c>
      <c r="O385" s="175">
        <v>3696639</v>
      </c>
      <c r="P385" s="7"/>
      <c r="Q385" s="16">
        <f>+IF(IFERROR(VLOOKUP(Tabla3[[#This Row],[Cliente factura]],Tabla4[[NIT]:[TOTAL CREDITO]],3,FALSE),0)="",0,IFERROR(VLOOKUP(Tabla3[[#This Row],[Cliente factura]],Tabla4[[NIT]:[TOTAL CREDITO]],3,FALSE),0))</f>
        <v>0</v>
      </c>
      <c r="R385" s="9">
        <f>+IFERROR(VLOOKUP(Tabla3[[#This Row],[Cliente factura]],Tabla4[[NIT]:[TOTAL CREDITO]],6,FALSE),0)</f>
        <v>0</v>
      </c>
      <c r="S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5" s="10" t="str">
        <f>VLOOKUP(Tabla3[[#This Row],[Razón social cliente factura]]&amp;Tabla3[[#This Row],[Desc. ciudad]],'Estandar de Rutas'!$C$1:$E$553,2,FALSE)</f>
        <v>3.1</v>
      </c>
      <c r="U385" s="130">
        <f>IFERROR(VLOOKUP(Tabla3[[#This Row],[Referencia]]&amp;Tabla3[[#This Row],[Desc detalle ext 1]],Tabla1[[Referencia-Color]:[Disponibilidad]],3,FALSE),0)</f>
        <v>3</v>
      </c>
      <c r="V385" s="13"/>
      <c r="W385" s="17">
        <f>+Tabla3[[#This Row],[Cant. Programada]]*Tabla3[[#This Row],[Precio unit]]</f>
        <v>0</v>
      </c>
      <c r="X385" s="8"/>
      <c r="Y385" s="8"/>
      <c r="Z385" s="8" t="str">
        <f>+Tabla3[[#This Row],[Referencia]]&amp;Tabla3[[#This Row],[Desc detalle ext 1]]</f>
        <v xml:space="preserve">CB 110 DLX                                        NEGRO    </v>
      </c>
      <c r="AA385" s="128" t="e">
        <f>+VLOOKUP(Tabla3[[#This Row],[CODIGO2]],ESTANDAR!$B$3:$C$9,2,FALSE)</f>
        <v>#N/A</v>
      </c>
      <c r="AB385" s="128" t="str">
        <f>+MID(Tabla3[[#This Row],['# Viaje]],10,1)</f>
        <v/>
      </c>
    </row>
    <row r="386" spans="1:28" ht="15" hidden="1" customHeight="1">
      <c r="A386" s="173" t="s">
        <v>1525</v>
      </c>
      <c r="B386" s="174">
        <v>42948</v>
      </c>
      <c r="C386" s="173" t="s">
        <v>1477</v>
      </c>
      <c r="D386" s="173" t="s">
        <v>1478</v>
      </c>
      <c r="E386" s="173" t="s">
        <v>1479</v>
      </c>
      <c r="F386" s="173">
        <v>2</v>
      </c>
      <c r="G386" s="173" t="s">
        <v>48</v>
      </c>
      <c r="H386" s="173">
        <v>2</v>
      </c>
      <c r="I386" s="173" t="s">
        <v>1526</v>
      </c>
      <c r="J386" s="173" t="s">
        <v>14</v>
      </c>
      <c r="K386" s="173" t="s">
        <v>16</v>
      </c>
      <c r="L386" s="173"/>
      <c r="M386" s="173" t="s">
        <v>120</v>
      </c>
      <c r="N386" s="173">
        <v>900330225</v>
      </c>
      <c r="O386" s="175">
        <v>3360504</v>
      </c>
      <c r="P386" s="7"/>
      <c r="Q386" s="16">
        <f>+IF(IFERROR(VLOOKUP(Tabla3[[#This Row],[Cliente factura]],Tabla4[[NIT]:[TOTAL CREDITO]],3,FALSE),0)="",0,IFERROR(VLOOKUP(Tabla3[[#This Row],[Cliente factura]],Tabla4[[NIT]:[TOTAL CREDITO]],3,FALSE),0))</f>
        <v>0</v>
      </c>
      <c r="R386" s="9">
        <f>+IFERROR(VLOOKUP(Tabla3[[#This Row],[Cliente factura]],Tabla4[[NIT]:[TOTAL CREDITO]],6,FALSE),0)</f>
        <v>0</v>
      </c>
      <c r="S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6" s="10" t="str">
        <f>VLOOKUP(Tabla3[[#This Row],[Razón social cliente factura]]&amp;Tabla3[[#This Row],[Desc. ciudad]],'Estandar de Rutas'!$C$1:$E$553,2,FALSE)</f>
        <v>3.1</v>
      </c>
      <c r="U386" s="130">
        <f>IFERROR(VLOOKUP(Tabla3[[#This Row],[Referencia]]&amp;Tabla3[[#This Row],[Desc detalle ext 1]],Tabla1[[Referencia-Color]:[Disponibilidad]],3,FALSE),0)</f>
        <v>83</v>
      </c>
      <c r="V386" s="13"/>
      <c r="W386" s="17">
        <f>+Tabla3[[#This Row],[Cant. Programada]]*Tabla3[[#This Row],[Precio unit]]</f>
        <v>0</v>
      </c>
      <c r="X386" s="8"/>
      <c r="Y386" s="8"/>
      <c r="Z386" s="8" t="str">
        <f>+Tabla3[[#This Row],[Referencia]]&amp;Tabla3[[#This Row],[Desc detalle ext 1]]</f>
        <v xml:space="preserve">*CB-110                                           NEGRO    </v>
      </c>
      <c r="AA386" s="128" t="e">
        <f>+VLOOKUP(Tabla3[[#This Row],[CODIGO2]],ESTANDAR!$B$3:$C$9,2,FALSE)</f>
        <v>#N/A</v>
      </c>
      <c r="AB386" s="128" t="str">
        <f>+MID(Tabla3[[#This Row],['# Viaje]],10,1)</f>
        <v/>
      </c>
    </row>
    <row r="387" spans="1:28" ht="15" hidden="1" customHeight="1">
      <c r="A387" s="173" t="s">
        <v>1525</v>
      </c>
      <c r="B387" s="174">
        <v>42948</v>
      </c>
      <c r="C387" s="173" t="s">
        <v>1477</v>
      </c>
      <c r="D387" s="173" t="s">
        <v>1478</v>
      </c>
      <c r="E387" s="173" t="s">
        <v>1479</v>
      </c>
      <c r="F387" s="173">
        <v>1</v>
      </c>
      <c r="G387" s="173" t="s">
        <v>48</v>
      </c>
      <c r="H387" s="173">
        <v>1</v>
      </c>
      <c r="I387" s="173" t="s">
        <v>1526</v>
      </c>
      <c r="J387" s="173" t="s">
        <v>27</v>
      </c>
      <c r="K387" s="173" t="s">
        <v>16</v>
      </c>
      <c r="L387" s="173"/>
      <c r="M387" s="173" t="s">
        <v>120</v>
      </c>
      <c r="N387" s="173">
        <v>900330225</v>
      </c>
      <c r="O387" s="175">
        <v>5789916</v>
      </c>
      <c r="P387" s="7"/>
      <c r="Q387" s="16">
        <f>+IF(IFERROR(VLOOKUP(Tabla3[[#This Row],[Cliente factura]],Tabla4[[NIT]:[TOTAL CREDITO]],3,FALSE),0)="",0,IFERROR(VLOOKUP(Tabla3[[#This Row],[Cliente factura]],Tabla4[[NIT]:[TOTAL CREDITO]],3,FALSE),0))</f>
        <v>0</v>
      </c>
      <c r="R387" s="9">
        <f>+IFERROR(VLOOKUP(Tabla3[[#This Row],[Cliente factura]],Tabla4[[NIT]:[TOTAL CREDITO]],6,FALSE),0)</f>
        <v>0</v>
      </c>
      <c r="S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7" s="10" t="str">
        <f>VLOOKUP(Tabla3[[#This Row],[Razón social cliente factura]]&amp;Tabla3[[#This Row],[Desc. ciudad]],'Estandar de Rutas'!$C$1:$E$553,2,FALSE)</f>
        <v>3.1</v>
      </c>
      <c r="U387" s="130">
        <f>IFERROR(VLOOKUP(Tabla3[[#This Row],[Referencia]]&amp;Tabla3[[#This Row],[Desc detalle ext 1]],Tabla1[[Referencia-Color]:[Disponibilidad]],3,FALSE),0)</f>
        <v>3</v>
      </c>
      <c r="V387" s="13"/>
      <c r="W387" s="17">
        <f>+Tabla3[[#This Row],[Cant. Programada]]*Tabla3[[#This Row],[Precio unit]]</f>
        <v>0</v>
      </c>
      <c r="X387" s="8"/>
      <c r="Y387" s="8"/>
      <c r="Z387" s="8" t="str">
        <f>+Tabla3[[#This Row],[Referencia]]&amp;Tabla3[[#This Row],[Desc detalle ext 1]]</f>
        <v xml:space="preserve">*XR 150L                                          NEGRO    </v>
      </c>
      <c r="AA387" s="128" t="e">
        <f>+VLOOKUP(Tabla3[[#This Row],[CODIGO2]],ESTANDAR!$B$3:$C$9,2,FALSE)</f>
        <v>#N/A</v>
      </c>
      <c r="AB387" s="128" t="str">
        <f>+MID(Tabla3[[#This Row],['# Viaje]],10,1)</f>
        <v/>
      </c>
    </row>
    <row r="388" spans="1:28" ht="15" hidden="1" customHeight="1">
      <c r="A388" s="173" t="s">
        <v>1525</v>
      </c>
      <c r="B388" s="174">
        <v>42948</v>
      </c>
      <c r="C388" s="173" t="s">
        <v>1477</v>
      </c>
      <c r="D388" s="173" t="s">
        <v>1478</v>
      </c>
      <c r="E388" s="173" t="s">
        <v>1479</v>
      </c>
      <c r="F388" s="173">
        <v>1</v>
      </c>
      <c r="G388" s="173" t="s">
        <v>48</v>
      </c>
      <c r="H388" s="173">
        <v>1</v>
      </c>
      <c r="I388" s="173" t="s">
        <v>1526</v>
      </c>
      <c r="J388" s="173" t="s">
        <v>10</v>
      </c>
      <c r="K388" s="173" t="s">
        <v>11</v>
      </c>
      <c r="L388" s="173"/>
      <c r="M388" s="173" t="s">
        <v>120</v>
      </c>
      <c r="N388" s="173">
        <v>900330225</v>
      </c>
      <c r="O388" s="175">
        <v>7554622</v>
      </c>
      <c r="P388" s="7"/>
      <c r="Q388" s="16">
        <f>+IF(IFERROR(VLOOKUP(Tabla3[[#This Row],[Cliente factura]],Tabla4[[NIT]:[TOTAL CREDITO]],3,FALSE),0)="",0,IFERROR(VLOOKUP(Tabla3[[#This Row],[Cliente factura]],Tabla4[[NIT]:[TOTAL CREDITO]],3,FALSE),0))</f>
        <v>0</v>
      </c>
      <c r="R388" s="9">
        <f>+IFERROR(VLOOKUP(Tabla3[[#This Row],[Cliente factura]],Tabla4[[NIT]:[TOTAL CREDITO]],6,FALSE),0)</f>
        <v>0</v>
      </c>
      <c r="S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8" s="10" t="str">
        <f>VLOOKUP(Tabla3[[#This Row],[Razón social cliente factura]]&amp;Tabla3[[#This Row],[Desc. ciudad]],'Estandar de Rutas'!$C$1:$E$553,2,FALSE)</f>
        <v>3.1</v>
      </c>
      <c r="U388" s="130">
        <f>IFERROR(VLOOKUP(Tabla3[[#This Row],[Referencia]]&amp;Tabla3[[#This Row],[Desc detalle ext 1]],Tabla1[[Referencia-Color]:[Disponibilidad]],3,FALSE),0)</f>
        <v>0</v>
      </c>
      <c r="V388" s="13"/>
      <c r="W388" s="17">
        <f>+Tabla3[[#This Row],[Cant. Programada]]*Tabla3[[#This Row],[Precio unit]]</f>
        <v>0</v>
      </c>
      <c r="X388" s="8"/>
      <c r="Y388" s="8"/>
      <c r="Z388" s="8" t="str">
        <f>+Tabla3[[#This Row],[Referencia]]&amp;Tabla3[[#This Row],[Desc detalle ext 1]]</f>
        <v>CB 190R                                           NEGRO ONI</v>
      </c>
      <c r="AA388" s="128" t="e">
        <f>+VLOOKUP(Tabla3[[#This Row],[CODIGO2]],ESTANDAR!$B$3:$C$9,2,FALSE)</f>
        <v>#N/A</v>
      </c>
      <c r="AB388" s="128" t="str">
        <f>+MID(Tabla3[[#This Row],['# Viaje]],10,1)</f>
        <v/>
      </c>
    </row>
    <row r="389" spans="1:28" ht="15" hidden="1" customHeight="1">
      <c r="A389" s="173" t="s">
        <v>1525</v>
      </c>
      <c r="B389" s="174">
        <v>42948</v>
      </c>
      <c r="C389" s="173" t="s">
        <v>1477</v>
      </c>
      <c r="D389" s="173" t="s">
        <v>1478</v>
      </c>
      <c r="E389" s="173" t="s">
        <v>1479</v>
      </c>
      <c r="F389" s="173">
        <v>1</v>
      </c>
      <c r="G389" s="173" t="s">
        <v>48</v>
      </c>
      <c r="H389" s="173">
        <v>1</v>
      </c>
      <c r="I389" s="173" t="s">
        <v>1526</v>
      </c>
      <c r="J389" s="173" t="s">
        <v>354</v>
      </c>
      <c r="K389" s="173" t="s">
        <v>355</v>
      </c>
      <c r="L389" s="173"/>
      <c r="M389" s="173" t="s">
        <v>120</v>
      </c>
      <c r="N389" s="173">
        <v>900330225</v>
      </c>
      <c r="O389" s="175">
        <v>6133613</v>
      </c>
      <c r="P389" s="7"/>
      <c r="Q389" s="16">
        <f>+IF(IFERROR(VLOOKUP(Tabla3[[#This Row],[Cliente factura]],Tabla4[[NIT]:[TOTAL CREDITO]],3,FALSE),0)="",0,IFERROR(VLOOKUP(Tabla3[[#This Row],[Cliente factura]],Tabla4[[NIT]:[TOTAL CREDITO]],3,FALSE),0))</f>
        <v>0</v>
      </c>
      <c r="R389" s="9">
        <f>+IFERROR(VLOOKUP(Tabla3[[#This Row],[Cliente factura]],Tabla4[[NIT]:[TOTAL CREDITO]],6,FALSE),0)</f>
        <v>0</v>
      </c>
      <c r="S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9" s="10" t="str">
        <f>VLOOKUP(Tabla3[[#This Row],[Razón social cliente factura]]&amp;Tabla3[[#This Row],[Desc. ciudad]],'Estandar de Rutas'!$C$1:$E$553,2,FALSE)</f>
        <v>3.1</v>
      </c>
      <c r="U389" s="130">
        <f>IFERROR(VLOOKUP(Tabla3[[#This Row],[Referencia]]&amp;Tabla3[[#This Row],[Desc detalle ext 1]],Tabla1[[Referencia-Color]:[Disponibilidad]],3,FALSE),0)</f>
        <v>0</v>
      </c>
      <c r="V389" s="13"/>
      <c r="W389" s="17">
        <f>+Tabla3[[#This Row],[Cant. Programada]]*Tabla3[[#This Row],[Precio unit]]</f>
        <v>0</v>
      </c>
      <c r="X389" s="8"/>
      <c r="Y389" s="8"/>
      <c r="Z389" s="8" t="str">
        <f>+Tabla3[[#This Row],[Referencia]]&amp;Tabla3[[#This Row],[Desc detalle ext 1]]</f>
        <v>CB 160F DLX                                       NEGRO PER</v>
      </c>
      <c r="AA389" s="128" t="e">
        <f>+VLOOKUP(Tabla3[[#This Row],[CODIGO2]],ESTANDAR!$B$3:$C$9,2,FALSE)</f>
        <v>#N/A</v>
      </c>
      <c r="AB389" s="128" t="str">
        <f>+MID(Tabla3[[#This Row],['# Viaje]],10,1)</f>
        <v/>
      </c>
    </row>
    <row r="390" spans="1:28" ht="15" hidden="1" customHeight="1">
      <c r="A390" s="173" t="s">
        <v>1525</v>
      </c>
      <c r="B390" s="174">
        <v>42948</v>
      </c>
      <c r="C390" s="173" t="s">
        <v>1477</v>
      </c>
      <c r="D390" s="173" t="s">
        <v>1478</v>
      </c>
      <c r="E390" s="173" t="s">
        <v>1479</v>
      </c>
      <c r="F390" s="173">
        <v>1</v>
      </c>
      <c r="G390" s="173" t="s">
        <v>48</v>
      </c>
      <c r="H390" s="173">
        <v>1</v>
      </c>
      <c r="I390" s="173" t="s">
        <v>1526</v>
      </c>
      <c r="J390" s="173" t="s">
        <v>1428</v>
      </c>
      <c r="K390" s="173" t="s">
        <v>1429</v>
      </c>
      <c r="L390" s="173"/>
      <c r="M390" s="173" t="s">
        <v>120</v>
      </c>
      <c r="N390" s="173">
        <v>900330225</v>
      </c>
      <c r="O390" s="175">
        <v>3067227</v>
      </c>
      <c r="P390" s="7"/>
      <c r="Q390" s="16">
        <f>+IF(IFERROR(VLOOKUP(Tabla3[[#This Row],[Cliente factura]],Tabla4[[NIT]:[TOTAL CREDITO]],3,FALSE),0)="",0,IFERROR(VLOOKUP(Tabla3[[#This Row],[Cliente factura]],Tabla4[[NIT]:[TOTAL CREDITO]],3,FALSE),0))</f>
        <v>0</v>
      </c>
      <c r="R390" s="9">
        <f>+IFERROR(VLOOKUP(Tabla3[[#This Row],[Cliente factura]],Tabla4[[NIT]:[TOTAL CREDITO]],6,FALSE),0)</f>
        <v>0</v>
      </c>
      <c r="S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0" s="10" t="str">
        <f>VLOOKUP(Tabla3[[#This Row],[Razón social cliente factura]]&amp;Tabla3[[#This Row],[Desc. ciudad]],'Estandar de Rutas'!$C$1:$E$553,2,FALSE)</f>
        <v>3.1</v>
      </c>
      <c r="U390" s="130">
        <f>IFERROR(VLOOKUP(Tabla3[[#This Row],[Referencia]]&amp;Tabla3[[#This Row],[Desc detalle ext 1]],Tabla1[[Referencia-Color]:[Disponibilidad]],3,FALSE),0)</f>
        <v>0</v>
      </c>
      <c r="V390" s="13"/>
      <c r="W390" s="17">
        <f>+Tabla3[[#This Row],[Cant. Programada]]*Tabla3[[#This Row],[Precio unit]]</f>
        <v>0</v>
      </c>
      <c r="X390" s="8"/>
      <c r="Y390" s="8"/>
      <c r="Z390" s="8" t="str">
        <f>+Tabla3[[#This Row],[Referencia]]&amp;Tabla3[[#This Row],[Desc detalle ext 1]]</f>
        <v>DREAM  NEO                                        NEGRO AZU</v>
      </c>
      <c r="AA390" s="128" t="e">
        <f>+VLOOKUP(Tabla3[[#This Row],[CODIGO2]],ESTANDAR!$B$3:$C$9,2,FALSE)</f>
        <v>#N/A</v>
      </c>
      <c r="AB390" s="128" t="str">
        <f>+MID(Tabla3[[#This Row],['# Viaje]],10,1)</f>
        <v/>
      </c>
    </row>
    <row r="391" spans="1:28" ht="15" hidden="1" customHeight="1">
      <c r="A391" s="173" t="s">
        <v>1525</v>
      </c>
      <c r="B391" s="174">
        <v>42948</v>
      </c>
      <c r="C391" s="173" t="s">
        <v>1477</v>
      </c>
      <c r="D391" s="173" t="s">
        <v>1478</v>
      </c>
      <c r="E391" s="173" t="s">
        <v>1479</v>
      </c>
      <c r="F391" s="173">
        <v>1</v>
      </c>
      <c r="G391" s="173" t="s">
        <v>48</v>
      </c>
      <c r="H391" s="173">
        <v>1</v>
      </c>
      <c r="I391" s="173" t="s">
        <v>1526</v>
      </c>
      <c r="J391" s="173" t="s">
        <v>1430</v>
      </c>
      <c r="K391" s="173" t="s">
        <v>16</v>
      </c>
      <c r="L391" s="173"/>
      <c r="M391" s="173" t="s">
        <v>120</v>
      </c>
      <c r="N391" s="173">
        <v>900330225</v>
      </c>
      <c r="O391" s="175">
        <v>3941176</v>
      </c>
      <c r="P391" s="7"/>
      <c r="Q391" s="16">
        <f>+IF(IFERROR(VLOOKUP(Tabla3[[#This Row],[Cliente factura]],Tabla4[[NIT]:[TOTAL CREDITO]],3,FALSE),0)="",0,IFERROR(VLOOKUP(Tabla3[[#This Row],[Cliente factura]],Tabla4[[NIT]:[TOTAL CREDITO]],3,FALSE),0))</f>
        <v>0</v>
      </c>
      <c r="R391" s="9">
        <f>+IFERROR(VLOOKUP(Tabla3[[#This Row],[Cliente factura]],Tabla4[[NIT]:[TOTAL CREDITO]],6,FALSE),0)</f>
        <v>0</v>
      </c>
      <c r="S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1" s="10" t="str">
        <f>VLOOKUP(Tabla3[[#This Row],[Razón social cliente factura]]&amp;Tabla3[[#This Row],[Desc. ciudad]],'Estandar de Rutas'!$C$1:$E$553,2,FALSE)</f>
        <v>3.1</v>
      </c>
      <c r="U391" s="130">
        <f>IFERROR(VLOOKUP(Tabla3[[#This Row],[Referencia]]&amp;Tabla3[[#This Row],[Desc detalle ext 1]],Tabla1[[Referencia-Color]:[Disponibilidad]],3,FALSE),0)</f>
        <v>0</v>
      </c>
      <c r="V391" s="13"/>
      <c r="W391" s="17">
        <f>+Tabla3[[#This Row],[Cant. Programada]]*Tabla3[[#This Row],[Precio unit]]</f>
        <v>0</v>
      </c>
      <c r="X391" s="8"/>
      <c r="Y391" s="8"/>
      <c r="Z391" s="8" t="str">
        <f>+Tabla3[[#This Row],[Referencia]]&amp;Tabla3[[#This Row],[Desc detalle ext 1]]</f>
        <v xml:space="preserve">WAVE 110S                                         NEGRO    </v>
      </c>
      <c r="AA391" s="128" t="e">
        <f>+VLOOKUP(Tabla3[[#This Row],[CODIGO2]],ESTANDAR!$B$3:$C$9,2,FALSE)</f>
        <v>#N/A</v>
      </c>
      <c r="AB391" s="128" t="str">
        <f>+MID(Tabla3[[#This Row],['# Viaje]],10,1)</f>
        <v/>
      </c>
    </row>
    <row r="392" spans="1:28" ht="15" hidden="1" customHeight="1">
      <c r="A392" s="173" t="s">
        <v>1525</v>
      </c>
      <c r="B392" s="174">
        <v>42948</v>
      </c>
      <c r="C392" s="173" t="s">
        <v>1477</v>
      </c>
      <c r="D392" s="173" t="s">
        <v>1478</v>
      </c>
      <c r="E392" s="173" t="s">
        <v>1479</v>
      </c>
      <c r="F392" s="173">
        <v>1</v>
      </c>
      <c r="G392" s="173" t="s">
        <v>48</v>
      </c>
      <c r="H392" s="173">
        <v>1</v>
      </c>
      <c r="I392" s="173" t="s">
        <v>1526</v>
      </c>
      <c r="J392" s="173" t="s">
        <v>1234</v>
      </c>
      <c r="K392" s="173" t="s">
        <v>355</v>
      </c>
      <c r="L392" s="173"/>
      <c r="M392" s="173" t="s">
        <v>120</v>
      </c>
      <c r="N392" s="173">
        <v>900330225</v>
      </c>
      <c r="O392" s="175">
        <v>5453782</v>
      </c>
      <c r="P392" s="7"/>
      <c r="Q392" s="16">
        <f>+IF(IFERROR(VLOOKUP(Tabla3[[#This Row],[Cliente factura]],Tabla4[[NIT]:[TOTAL CREDITO]],3,FALSE),0)="",0,IFERROR(VLOOKUP(Tabla3[[#This Row],[Cliente factura]],Tabla4[[NIT]:[TOTAL CREDITO]],3,FALSE),0))</f>
        <v>0</v>
      </c>
      <c r="R392" s="9">
        <f>+IFERROR(VLOOKUP(Tabla3[[#This Row],[Cliente factura]],Tabla4[[NIT]:[TOTAL CREDITO]],6,FALSE),0)</f>
        <v>0</v>
      </c>
      <c r="S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2" s="10" t="str">
        <f>VLOOKUP(Tabla3[[#This Row],[Razón social cliente factura]]&amp;Tabla3[[#This Row],[Desc. ciudad]],'Estandar de Rutas'!$C$1:$E$553,2,FALSE)</f>
        <v>3.1</v>
      </c>
      <c r="U392" s="130">
        <f>IFERROR(VLOOKUP(Tabla3[[#This Row],[Referencia]]&amp;Tabla3[[#This Row],[Desc detalle ext 1]],Tabla1[[Referencia-Color]:[Disponibilidad]],3,FALSE),0)</f>
        <v>0</v>
      </c>
      <c r="V392" s="13"/>
      <c r="W392" s="17">
        <f>+Tabla3[[#This Row],[Cant. Programada]]*Tabla3[[#This Row],[Precio unit]]</f>
        <v>0</v>
      </c>
      <c r="X392" s="8"/>
      <c r="Y392" s="8"/>
      <c r="Z392" s="8" t="str">
        <f>+Tabla3[[#This Row],[Referencia]]&amp;Tabla3[[#This Row],[Desc detalle ext 1]]</f>
        <v>CB 160F STD                                       NEGRO PER</v>
      </c>
      <c r="AA392" s="128" t="e">
        <f>+VLOOKUP(Tabla3[[#This Row],[CODIGO2]],ESTANDAR!$B$3:$C$9,2,FALSE)</f>
        <v>#N/A</v>
      </c>
      <c r="AB392" s="128" t="str">
        <f>+MID(Tabla3[[#This Row],['# Viaje]],10,1)</f>
        <v/>
      </c>
    </row>
    <row r="393" spans="1:28" ht="15" hidden="1" customHeight="1">
      <c r="A393" s="173" t="s">
        <v>1525</v>
      </c>
      <c r="B393" s="174">
        <v>42948</v>
      </c>
      <c r="C393" s="173" t="s">
        <v>1477</v>
      </c>
      <c r="D393" s="173" t="s">
        <v>1478</v>
      </c>
      <c r="E393" s="173" t="s">
        <v>1479</v>
      </c>
      <c r="F393" s="173">
        <v>1</v>
      </c>
      <c r="G393" s="173" t="s">
        <v>48</v>
      </c>
      <c r="H393" s="173">
        <v>1</v>
      </c>
      <c r="I393" s="173" t="s">
        <v>1526</v>
      </c>
      <c r="J393" s="173" t="s">
        <v>1451</v>
      </c>
      <c r="K393" s="173" t="s">
        <v>16</v>
      </c>
      <c r="L393" s="173"/>
      <c r="M393" s="173" t="s">
        <v>120</v>
      </c>
      <c r="N393" s="173">
        <v>900330225</v>
      </c>
      <c r="O393" s="175">
        <v>3696639</v>
      </c>
      <c r="P393" s="7"/>
      <c r="Q393" s="16">
        <f>+IF(IFERROR(VLOOKUP(Tabla3[[#This Row],[Cliente factura]],Tabla4[[NIT]:[TOTAL CREDITO]],3,FALSE),0)="",0,IFERROR(VLOOKUP(Tabla3[[#This Row],[Cliente factura]],Tabla4[[NIT]:[TOTAL CREDITO]],3,FALSE),0))</f>
        <v>0</v>
      </c>
      <c r="R393" s="9">
        <f>+IFERROR(VLOOKUP(Tabla3[[#This Row],[Cliente factura]],Tabla4[[NIT]:[TOTAL CREDITO]],6,FALSE),0)</f>
        <v>0</v>
      </c>
      <c r="S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3" s="10" t="str">
        <f>VLOOKUP(Tabla3[[#This Row],[Razón social cliente factura]]&amp;Tabla3[[#This Row],[Desc. ciudad]],'Estandar de Rutas'!$C$1:$E$553,2,FALSE)</f>
        <v>3.1</v>
      </c>
      <c r="U393" s="130">
        <f>IFERROR(VLOOKUP(Tabla3[[#This Row],[Referencia]]&amp;Tabla3[[#This Row],[Desc detalle ext 1]],Tabla1[[Referencia-Color]:[Disponibilidad]],3,FALSE),0)</f>
        <v>3</v>
      </c>
      <c r="V393" s="13"/>
      <c r="W393" s="17">
        <f>+Tabla3[[#This Row],[Cant. Programada]]*Tabla3[[#This Row],[Precio unit]]</f>
        <v>0</v>
      </c>
      <c r="X393" s="8"/>
      <c r="Y393" s="8"/>
      <c r="Z393" s="8" t="str">
        <f>+Tabla3[[#This Row],[Referencia]]&amp;Tabla3[[#This Row],[Desc detalle ext 1]]</f>
        <v xml:space="preserve">CB 110 DLX                                        NEGRO    </v>
      </c>
      <c r="AA393" s="128" t="e">
        <f>+VLOOKUP(Tabla3[[#This Row],[CODIGO2]],ESTANDAR!$B$3:$C$9,2,FALSE)</f>
        <v>#N/A</v>
      </c>
      <c r="AB393" s="128" t="str">
        <f>+MID(Tabla3[[#This Row],['# Viaje]],10,1)</f>
        <v/>
      </c>
    </row>
    <row r="394" spans="1:28" ht="15" hidden="1" customHeight="1">
      <c r="A394" s="173" t="s">
        <v>1527</v>
      </c>
      <c r="B394" s="174">
        <v>42948</v>
      </c>
      <c r="C394" s="173" t="s">
        <v>1477</v>
      </c>
      <c r="D394" s="173" t="s">
        <v>1478</v>
      </c>
      <c r="E394" s="173" t="s">
        <v>1479</v>
      </c>
      <c r="F394" s="173">
        <v>1</v>
      </c>
      <c r="G394" s="173" t="s">
        <v>48</v>
      </c>
      <c r="H394" s="173">
        <v>1</v>
      </c>
      <c r="I394" s="173" t="s">
        <v>1528</v>
      </c>
      <c r="J394" s="173" t="s">
        <v>14</v>
      </c>
      <c r="K394" s="173" t="s">
        <v>1417</v>
      </c>
      <c r="L394" s="173"/>
      <c r="M394" s="173" t="s">
        <v>122</v>
      </c>
      <c r="N394" s="173">
        <v>900330225</v>
      </c>
      <c r="O394" s="175">
        <v>3360504</v>
      </c>
      <c r="P394" s="7"/>
      <c r="Q394" s="16">
        <f>+IF(IFERROR(VLOOKUP(Tabla3[[#This Row],[Cliente factura]],Tabla4[[NIT]:[TOTAL CREDITO]],3,FALSE),0)="",0,IFERROR(VLOOKUP(Tabla3[[#This Row],[Cliente factura]],Tabla4[[NIT]:[TOTAL CREDITO]],3,FALSE),0))</f>
        <v>0</v>
      </c>
      <c r="R394" s="9">
        <f>+IFERROR(VLOOKUP(Tabla3[[#This Row],[Cliente factura]],Tabla4[[NIT]:[TOTAL CREDITO]],6,FALSE),0)</f>
        <v>0</v>
      </c>
      <c r="S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4" s="10" t="str">
        <f>VLOOKUP(Tabla3[[#This Row],[Razón social cliente factura]]&amp;Tabla3[[#This Row],[Desc. ciudad]],'Estandar de Rutas'!$C$1:$E$553,2,FALSE)</f>
        <v>4.1.A</v>
      </c>
      <c r="U394" s="130">
        <f>IFERROR(VLOOKUP(Tabla3[[#This Row],[Referencia]]&amp;Tabla3[[#This Row],[Desc detalle ext 1]],Tabla1[[Referencia-Color]:[Disponibilidad]],3,FALSE),0)</f>
        <v>24</v>
      </c>
      <c r="V394" s="13"/>
      <c r="W394" s="17">
        <f>+Tabla3[[#This Row],[Cant. Programada]]*Tabla3[[#This Row],[Precio unit]]</f>
        <v>0</v>
      </c>
      <c r="X394" s="130"/>
      <c r="Y394" s="8"/>
      <c r="Z394" s="8" t="str">
        <f>+Tabla3[[#This Row],[Referencia]]&amp;Tabla3[[#This Row],[Desc detalle ext 1]]</f>
        <v xml:space="preserve">*CB-110                                           GRIS MET </v>
      </c>
      <c r="AA394" s="128" t="e">
        <f>+VLOOKUP(Tabla3[[#This Row],[CODIGO2]],ESTANDAR!$B$3:$C$9,2,FALSE)</f>
        <v>#N/A</v>
      </c>
      <c r="AB394" s="128" t="str">
        <f>+MID(Tabla3[[#This Row],['# Viaje]],10,1)</f>
        <v/>
      </c>
    </row>
    <row r="395" spans="1:28" ht="15" hidden="1" customHeight="1">
      <c r="A395" s="173" t="s">
        <v>1527</v>
      </c>
      <c r="B395" s="174">
        <v>42948</v>
      </c>
      <c r="C395" s="173" t="s">
        <v>1477</v>
      </c>
      <c r="D395" s="173" t="s">
        <v>1478</v>
      </c>
      <c r="E395" s="173" t="s">
        <v>1479</v>
      </c>
      <c r="F395" s="173">
        <v>1</v>
      </c>
      <c r="G395" s="173" t="s">
        <v>48</v>
      </c>
      <c r="H395" s="173">
        <v>1</v>
      </c>
      <c r="I395" s="173" t="s">
        <v>1528</v>
      </c>
      <c r="J395" s="173" t="s">
        <v>14</v>
      </c>
      <c r="K395" s="173" t="s">
        <v>17</v>
      </c>
      <c r="L395" s="173"/>
      <c r="M395" s="173" t="s">
        <v>122</v>
      </c>
      <c r="N395" s="173">
        <v>900330225</v>
      </c>
      <c r="O395" s="175">
        <v>3360504</v>
      </c>
      <c r="P395" s="7"/>
      <c r="Q395" s="16">
        <f>+IF(IFERROR(VLOOKUP(Tabla3[[#This Row],[Cliente factura]],Tabla4[[NIT]:[TOTAL CREDITO]],3,FALSE),0)="",0,IFERROR(VLOOKUP(Tabla3[[#This Row],[Cliente factura]],Tabla4[[NIT]:[TOTAL CREDITO]],3,FALSE),0))</f>
        <v>0</v>
      </c>
      <c r="R395" s="9">
        <f>+IFERROR(VLOOKUP(Tabla3[[#This Row],[Cliente factura]],Tabla4[[NIT]:[TOTAL CREDITO]],6,FALSE),0)</f>
        <v>0</v>
      </c>
      <c r="S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5" s="10" t="str">
        <f>VLOOKUP(Tabla3[[#This Row],[Razón social cliente factura]]&amp;Tabla3[[#This Row],[Desc. ciudad]],'Estandar de Rutas'!$C$1:$E$553,2,FALSE)</f>
        <v>4.1.A</v>
      </c>
      <c r="U395" s="130">
        <f>IFERROR(VLOOKUP(Tabla3[[#This Row],[Referencia]]&amp;Tabla3[[#This Row],[Desc detalle ext 1]],Tabla1[[Referencia-Color]:[Disponibilidad]],3,FALSE),0)</f>
        <v>38</v>
      </c>
      <c r="V395" s="13"/>
      <c r="W395" s="17">
        <f>+Tabla3[[#This Row],[Cant. Programada]]*Tabla3[[#This Row],[Precio unit]]</f>
        <v>0</v>
      </c>
      <c r="X395" s="8"/>
      <c r="Y395" s="8"/>
      <c r="Z395" s="8" t="str">
        <f>+Tabla3[[#This Row],[Referencia]]&amp;Tabla3[[#This Row],[Desc detalle ext 1]]</f>
        <v>*CB-110                                           ROJO SPOR</v>
      </c>
      <c r="AA395" s="128" t="e">
        <f>+VLOOKUP(Tabla3[[#This Row],[CODIGO2]],ESTANDAR!$B$3:$C$9,2,FALSE)</f>
        <v>#N/A</v>
      </c>
      <c r="AB395" s="128" t="str">
        <f>+MID(Tabla3[[#This Row],['# Viaje]],10,1)</f>
        <v/>
      </c>
    </row>
    <row r="396" spans="1:28" ht="15" hidden="1" customHeight="1">
      <c r="A396" s="173" t="s">
        <v>1527</v>
      </c>
      <c r="B396" s="174">
        <v>42948</v>
      </c>
      <c r="C396" s="173" t="s">
        <v>1477</v>
      </c>
      <c r="D396" s="173" t="s">
        <v>1478</v>
      </c>
      <c r="E396" s="173" t="s">
        <v>1479</v>
      </c>
      <c r="F396" s="173">
        <v>1</v>
      </c>
      <c r="G396" s="173" t="s">
        <v>48</v>
      </c>
      <c r="H396" s="173">
        <v>1</v>
      </c>
      <c r="I396" s="173" t="s">
        <v>1528</v>
      </c>
      <c r="J396" s="173" t="s">
        <v>14</v>
      </c>
      <c r="K396" s="173" t="s">
        <v>15</v>
      </c>
      <c r="L396" s="173"/>
      <c r="M396" s="173" t="s">
        <v>122</v>
      </c>
      <c r="N396" s="173">
        <v>900330225</v>
      </c>
      <c r="O396" s="175">
        <v>3360504</v>
      </c>
      <c r="P396" s="7"/>
      <c r="Q396" s="16">
        <f>+IF(IFERROR(VLOOKUP(Tabla3[[#This Row],[Cliente factura]],Tabla4[[NIT]:[TOTAL CREDITO]],3,FALSE),0)="",0,IFERROR(VLOOKUP(Tabla3[[#This Row],[Cliente factura]],Tabla4[[NIT]:[TOTAL CREDITO]],3,FALSE),0))</f>
        <v>0</v>
      </c>
      <c r="R396" s="9">
        <f>+IFERROR(VLOOKUP(Tabla3[[#This Row],[Cliente factura]],Tabla4[[NIT]:[TOTAL CREDITO]],6,FALSE),0)</f>
        <v>0</v>
      </c>
      <c r="S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6" s="10" t="str">
        <f>VLOOKUP(Tabla3[[#This Row],[Razón social cliente factura]]&amp;Tabla3[[#This Row],[Desc. ciudad]],'Estandar de Rutas'!$C$1:$E$553,2,FALSE)</f>
        <v>4.1.A</v>
      </c>
      <c r="U396" s="130">
        <f>IFERROR(VLOOKUP(Tabla3[[#This Row],[Referencia]]&amp;Tabla3[[#This Row],[Desc detalle ext 1]],Tabla1[[Referencia-Color]:[Disponibilidad]],3,FALSE),0)</f>
        <v>99</v>
      </c>
      <c r="V396" s="13"/>
      <c r="W396" s="17">
        <f>+Tabla3[[#This Row],[Cant. Programada]]*Tabla3[[#This Row],[Precio unit]]</f>
        <v>0</v>
      </c>
      <c r="X396" s="8"/>
      <c r="Y396" s="8"/>
      <c r="Z396" s="8" t="str">
        <f>+Tabla3[[#This Row],[Referencia]]&amp;Tabla3[[#This Row],[Desc detalle ext 1]]</f>
        <v>*CB-110                                           AZUL FIJI</v>
      </c>
      <c r="AA396" s="128" t="e">
        <f>+VLOOKUP(Tabla3[[#This Row],[CODIGO2]],ESTANDAR!$B$3:$C$9,2,FALSE)</f>
        <v>#N/A</v>
      </c>
      <c r="AB396" s="128" t="str">
        <f>+MID(Tabla3[[#This Row],['# Viaje]],10,1)</f>
        <v/>
      </c>
    </row>
    <row r="397" spans="1:28" ht="15" hidden="1" customHeight="1">
      <c r="A397" s="173" t="s">
        <v>1527</v>
      </c>
      <c r="B397" s="174">
        <v>42948</v>
      </c>
      <c r="C397" s="173" t="s">
        <v>1477</v>
      </c>
      <c r="D397" s="173" t="s">
        <v>1478</v>
      </c>
      <c r="E397" s="173" t="s">
        <v>1479</v>
      </c>
      <c r="F397" s="173">
        <v>1</v>
      </c>
      <c r="G397" s="173" t="s">
        <v>48</v>
      </c>
      <c r="H397" s="173">
        <v>1</v>
      </c>
      <c r="I397" s="173" t="s">
        <v>1528</v>
      </c>
      <c r="J397" s="173" t="s">
        <v>27</v>
      </c>
      <c r="K397" s="173" t="s">
        <v>32</v>
      </c>
      <c r="L397" s="173"/>
      <c r="M397" s="173" t="s">
        <v>122</v>
      </c>
      <c r="N397" s="173">
        <v>900330225</v>
      </c>
      <c r="O397" s="175">
        <v>5789916</v>
      </c>
      <c r="P397" s="7"/>
      <c r="Q397" s="16">
        <f>+IF(IFERROR(VLOOKUP(Tabla3[[#This Row],[Cliente factura]],Tabla4[[NIT]:[TOTAL CREDITO]],3,FALSE),0)="",0,IFERROR(VLOOKUP(Tabla3[[#This Row],[Cliente factura]],Tabla4[[NIT]:[TOTAL CREDITO]],3,FALSE),0))</f>
        <v>0</v>
      </c>
      <c r="R397" s="9">
        <f>+IFERROR(VLOOKUP(Tabla3[[#This Row],[Cliente factura]],Tabla4[[NIT]:[TOTAL CREDITO]],6,FALSE),0)</f>
        <v>0</v>
      </c>
      <c r="S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7" s="10" t="str">
        <f>VLOOKUP(Tabla3[[#This Row],[Razón social cliente factura]]&amp;Tabla3[[#This Row],[Desc. ciudad]],'Estandar de Rutas'!$C$1:$E$553,2,FALSE)</f>
        <v>4.1.A</v>
      </c>
      <c r="U397" s="130">
        <f>IFERROR(VLOOKUP(Tabla3[[#This Row],[Referencia]]&amp;Tabla3[[#This Row],[Desc detalle ext 1]],Tabla1[[Referencia-Color]:[Disponibilidad]],3,FALSE),0)</f>
        <v>7</v>
      </c>
      <c r="V397" s="13"/>
      <c r="W397" s="17">
        <f>+Tabla3[[#This Row],[Cant. Programada]]*Tabla3[[#This Row],[Precio unit]]</f>
        <v>0</v>
      </c>
      <c r="X397" s="8"/>
      <c r="Y397" s="8"/>
      <c r="Z397" s="8" t="str">
        <f>+Tabla3[[#This Row],[Referencia]]&amp;Tabla3[[#This Row],[Desc detalle ext 1]]</f>
        <v>*XR 150L                                          NEGRO ROJ</v>
      </c>
      <c r="AA397" s="128" t="e">
        <f>+VLOOKUP(Tabla3[[#This Row],[CODIGO2]],ESTANDAR!$B$3:$C$9,2,FALSE)</f>
        <v>#N/A</v>
      </c>
      <c r="AB397" s="128" t="str">
        <f>+MID(Tabla3[[#This Row],['# Viaje]],10,1)</f>
        <v/>
      </c>
    </row>
    <row r="398" spans="1:28" ht="15" hidden="1" customHeight="1">
      <c r="A398" s="173" t="s">
        <v>1527</v>
      </c>
      <c r="B398" s="174">
        <v>42948</v>
      </c>
      <c r="C398" s="173" t="s">
        <v>1477</v>
      </c>
      <c r="D398" s="173" t="s">
        <v>1478</v>
      </c>
      <c r="E398" s="173" t="s">
        <v>1479</v>
      </c>
      <c r="F398" s="173">
        <v>1</v>
      </c>
      <c r="G398" s="173" t="s">
        <v>48</v>
      </c>
      <c r="H398" s="173">
        <v>1</v>
      </c>
      <c r="I398" s="173" t="s">
        <v>1528</v>
      </c>
      <c r="J398" s="173" t="s">
        <v>10</v>
      </c>
      <c r="K398" s="173" t="s">
        <v>13</v>
      </c>
      <c r="L398" s="173"/>
      <c r="M398" s="173" t="s">
        <v>122</v>
      </c>
      <c r="N398" s="173">
        <v>900330225</v>
      </c>
      <c r="O398" s="175">
        <v>7554622</v>
      </c>
      <c r="P398" s="7"/>
      <c r="Q398" s="16">
        <f>+IF(IFERROR(VLOOKUP(Tabla3[[#This Row],[Cliente factura]],Tabla4[[NIT]:[TOTAL CREDITO]],3,FALSE),0)="",0,IFERROR(VLOOKUP(Tabla3[[#This Row],[Cliente factura]],Tabla4[[NIT]:[TOTAL CREDITO]],3,FALSE),0))</f>
        <v>0</v>
      </c>
      <c r="R398" s="9">
        <f>+IFERROR(VLOOKUP(Tabla3[[#This Row],[Cliente factura]],Tabla4[[NIT]:[TOTAL CREDITO]],6,FALSE),0)</f>
        <v>0</v>
      </c>
      <c r="S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8" s="10" t="str">
        <f>VLOOKUP(Tabla3[[#This Row],[Razón social cliente factura]]&amp;Tabla3[[#This Row],[Desc. ciudad]],'Estandar de Rutas'!$C$1:$E$553,2,FALSE)</f>
        <v>4.1.A</v>
      </c>
      <c r="U398" s="130">
        <f>IFERROR(VLOOKUP(Tabla3[[#This Row],[Referencia]]&amp;Tabla3[[#This Row],[Desc detalle ext 1]],Tabla1[[Referencia-Color]:[Disponibilidad]],3,FALSE),0)</f>
        <v>75</v>
      </c>
      <c r="V398" s="13"/>
      <c r="W398" s="17">
        <f>+Tabla3[[#This Row],[Cant. Programada]]*Tabla3[[#This Row],[Precio unit]]</f>
        <v>0</v>
      </c>
      <c r="X398" s="8"/>
      <c r="Y398" s="8"/>
      <c r="Z398" s="8" t="str">
        <f>+Tabla3[[#This Row],[Referencia]]&amp;Tabla3[[#This Row],[Desc detalle ext 1]]</f>
        <v>CB 190R                                           ROJO NEGR</v>
      </c>
      <c r="AA398" s="128" t="e">
        <f>+VLOOKUP(Tabla3[[#This Row],[CODIGO2]],ESTANDAR!$B$3:$C$9,2,FALSE)</f>
        <v>#N/A</v>
      </c>
      <c r="AB398" s="128" t="str">
        <f>+MID(Tabla3[[#This Row],['# Viaje]],10,1)</f>
        <v/>
      </c>
    </row>
    <row r="399" spans="1:28" ht="15" hidden="1" customHeight="1">
      <c r="A399" s="173" t="s">
        <v>1527</v>
      </c>
      <c r="B399" s="174">
        <v>42948</v>
      </c>
      <c r="C399" s="173" t="s">
        <v>1477</v>
      </c>
      <c r="D399" s="173" t="s">
        <v>1478</v>
      </c>
      <c r="E399" s="173" t="s">
        <v>1479</v>
      </c>
      <c r="F399" s="173">
        <v>2</v>
      </c>
      <c r="G399" s="173" t="s">
        <v>48</v>
      </c>
      <c r="H399" s="173">
        <v>2</v>
      </c>
      <c r="I399" s="173" t="s">
        <v>1528</v>
      </c>
      <c r="J399" s="173" t="s">
        <v>10</v>
      </c>
      <c r="K399" s="173" t="s">
        <v>11</v>
      </c>
      <c r="L399" s="173"/>
      <c r="M399" s="173" t="s">
        <v>122</v>
      </c>
      <c r="N399" s="173">
        <v>900330225</v>
      </c>
      <c r="O399" s="175">
        <v>7554622</v>
      </c>
      <c r="P399" s="7"/>
      <c r="Q399" s="16">
        <f>+IF(IFERROR(VLOOKUP(Tabla3[[#This Row],[Cliente factura]],Tabla4[[NIT]:[TOTAL CREDITO]],3,FALSE),0)="",0,IFERROR(VLOOKUP(Tabla3[[#This Row],[Cliente factura]],Tabla4[[NIT]:[TOTAL CREDITO]],3,FALSE),0))</f>
        <v>0</v>
      </c>
      <c r="R399" s="9">
        <f>+IFERROR(VLOOKUP(Tabla3[[#This Row],[Cliente factura]],Tabla4[[NIT]:[TOTAL CREDITO]],6,FALSE),0)</f>
        <v>0</v>
      </c>
      <c r="S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9" s="10" t="str">
        <f>VLOOKUP(Tabla3[[#This Row],[Razón social cliente factura]]&amp;Tabla3[[#This Row],[Desc. ciudad]],'Estandar de Rutas'!$C$1:$E$553,2,FALSE)</f>
        <v>4.1.A</v>
      </c>
      <c r="U399" s="130">
        <f>IFERROR(VLOOKUP(Tabla3[[#This Row],[Referencia]]&amp;Tabla3[[#This Row],[Desc detalle ext 1]],Tabla1[[Referencia-Color]:[Disponibilidad]],3,FALSE),0)</f>
        <v>0</v>
      </c>
      <c r="V399" s="13"/>
      <c r="W399" s="17">
        <f>+Tabla3[[#This Row],[Cant. Programada]]*Tabla3[[#This Row],[Precio unit]]</f>
        <v>0</v>
      </c>
      <c r="X399" s="130"/>
      <c r="Y399" s="8"/>
      <c r="Z399" s="8" t="str">
        <f>+Tabla3[[#This Row],[Referencia]]&amp;Tabla3[[#This Row],[Desc detalle ext 1]]</f>
        <v>CB 190R                                           NEGRO ONI</v>
      </c>
      <c r="AA399" s="128" t="e">
        <f>+VLOOKUP(Tabla3[[#This Row],[CODIGO2]],ESTANDAR!$B$3:$C$9,2,FALSE)</f>
        <v>#N/A</v>
      </c>
      <c r="AB399" s="128" t="str">
        <f>+MID(Tabla3[[#This Row],['# Viaje]],10,1)</f>
        <v/>
      </c>
    </row>
    <row r="400" spans="1:28" ht="15" hidden="1" customHeight="1">
      <c r="A400" s="173" t="s">
        <v>1527</v>
      </c>
      <c r="B400" s="174">
        <v>42948</v>
      </c>
      <c r="C400" s="173" t="s">
        <v>1477</v>
      </c>
      <c r="D400" s="173" t="s">
        <v>1478</v>
      </c>
      <c r="E400" s="173" t="s">
        <v>1479</v>
      </c>
      <c r="F400" s="173">
        <v>1</v>
      </c>
      <c r="G400" s="173" t="s">
        <v>48</v>
      </c>
      <c r="H400" s="173">
        <v>1</v>
      </c>
      <c r="I400" s="173" t="s">
        <v>1528</v>
      </c>
      <c r="J400" s="173" t="s">
        <v>1425</v>
      </c>
      <c r="K400" s="173" t="s">
        <v>1426</v>
      </c>
      <c r="L400" s="173"/>
      <c r="M400" s="173" t="s">
        <v>122</v>
      </c>
      <c r="N400" s="173">
        <v>900330225</v>
      </c>
      <c r="O400" s="175">
        <v>7730252</v>
      </c>
      <c r="P400" s="7"/>
      <c r="Q400" s="16">
        <f>+IF(IFERROR(VLOOKUP(Tabla3[[#This Row],[Cliente factura]],Tabla4[[NIT]:[TOTAL CREDITO]],3,FALSE),0)="",0,IFERROR(VLOOKUP(Tabla3[[#This Row],[Cliente factura]],Tabla4[[NIT]:[TOTAL CREDITO]],3,FALSE),0))</f>
        <v>0</v>
      </c>
      <c r="R400" s="9">
        <f>+IFERROR(VLOOKUP(Tabla3[[#This Row],[Cliente factura]],Tabla4[[NIT]:[TOTAL CREDITO]],6,FALSE),0)</f>
        <v>0</v>
      </c>
      <c r="S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0" s="10" t="str">
        <f>VLOOKUP(Tabla3[[#This Row],[Razón social cliente factura]]&amp;Tabla3[[#This Row],[Desc. ciudad]],'Estandar de Rutas'!$C$1:$E$553,2,FALSE)</f>
        <v>4.1.A</v>
      </c>
      <c r="U400" s="130">
        <f>IFERROR(VLOOKUP(Tabla3[[#This Row],[Referencia]]&amp;Tabla3[[#This Row],[Desc detalle ext 1]],Tabla1[[Referencia-Color]:[Disponibilidad]],3,FALSE),0)</f>
        <v>104</v>
      </c>
      <c r="V400" s="13"/>
      <c r="W400" s="17">
        <f>+Tabla3[[#This Row],[Cant. Programada]]*Tabla3[[#This Row],[Precio unit]]</f>
        <v>0</v>
      </c>
      <c r="X400" s="129"/>
      <c r="Y400" s="8"/>
      <c r="Z400" s="8" t="str">
        <f>+Tabla3[[#This Row],[Referencia]]&amp;Tabla3[[#This Row],[Desc detalle ext 1]]</f>
        <v>CB 190 REPSOL                                     NARANJA B</v>
      </c>
      <c r="AA400" s="128" t="e">
        <f>+VLOOKUP(Tabla3[[#This Row],[CODIGO2]],ESTANDAR!$B$3:$C$9,2,FALSE)</f>
        <v>#N/A</v>
      </c>
      <c r="AB400" s="128" t="str">
        <f>+MID(Tabla3[[#This Row],['# Viaje]],10,1)</f>
        <v/>
      </c>
    </row>
    <row r="401" spans="1:28" ht="15" hidden="1" customHeight="1">
      <c r="A401" s="173" t="s">
        <v>1527</v>
      </c>
      <c r="B401" s="174">
        <v>42948</v>
      </c>
      <c r="C401" s="173" t="s">
        <v>1477</v>
      </c>
      <c r="D401" s="173" t="s">
        <v>1478</v>
      </c>
      <c r="E401" s="173" t="s">
        <v>1479</v>
      </c>
      <c r="F401" s="173">
        <v>1</v>
      </c>
      <c r="G401" s="173" t="s">
        <v>48</v>
      </c>
      <c r="H401" s="173">
        <v>1</v>
      </c>
      <c r="I401" s="173" t="s">
        <v>1528</v>
      </c>
      <c r="J401" s="173" t="s">
        <v>354</v>
      </c>
      <c r="K401" s="173" t="s">
        <v>44</v>
      </c>
      <c r="L401" s="173"/>
      <c r="M401" s="173" t="s">
        <v>122</v>
      </c>
      <c r="N401" s="173">
        <v>900330225</v>
      </c>
      <c r="O401" s="175">
        <v>6133613</v>
      </c>
      <c r="P401" s="7"/>
      <c r="Q401" s="16">
        <f>+IF(IFERROR(VLOOKUP(Tabla3[[#This Row],[Cliente factura]],Tabla4[[NIT]:[TOTAL CREDITO]],3,FALSE),0)="",0,IFERROR(VLOOKUP(Tabla3[[#This Row],[Cliente factura]],Tabla4[[NIT]:[TOTAL CREDITO]],3,FALSE),0))</f>
        <v>0</v>
      </c>
      <c r="R401" s="9">
        <f>+IFERROR(VLOOKUP(Tabla3[[#This Row],[Cliente factura]],Tabla4[[NIT]:[TOTAL CREDITO]],6,FALSE),0)</f>
        <v>0</v>
      </c>
      <c r="S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1" s="10" t="str">
        <f>VLOOKUP(Tabla3[[#This Row],[Razón social cliente factura]]&amp;Tabla3[[#This Row],[Desc. ciudad]],'Estandar de Rutas'!$C$1:$E$553,2,FALSE)</f>
        <v>4.1.A</v>
      </c>
      <c r="U401" s="130">
        <f>IFERROR(VLOOKUP(Tabla3[[#This Row],[Referencia]]&amp;Tabla3[[#This Row],[Desc detalle ext 1]],Tabla1[[Referencia-Color]:[Disponibilidad]],3,FALSE),0)</f>
        <v>6</v>
      </c>
      <c r="V401" s="13"/>
      <c r="W401" s="17">
        <f>+Tabla3[[#This Row],[Cant. Programada]]*Tabla3[[#This Row],[Precio unit]]</f>
        <v>0</v>
      </c>
      <c r="X401" s="129"/>
      <c r="Y401" s="129"/>
      <c r="Z401" s="8" t="str">
        <f>+Tabla3[[#This Row],[Referencia]]&amp;Tabla3[[#This Row],[Desc detalle ext 1]]</f>
        <v>CB 160F DLX                                       BLANCO PE</v>
      </c>
      <c r="AA401" s="128" t="e">
        <f>+VLOOKUP(Tabla3[[#This Row],[CODIGO2]],ESTANDAR!$B$3:$C$9,2,FALSE)</f>
        <v>#N/A</v>
      </c>
      <c r="AB401" s="128" t="str">
        <f>+MID(Tabla3[[#This Row],['# Viaje]],10,1)</f>
        <v/>
      </c>
    </row>
    <row r="402" spans="1:28" ht="15" hidden="1" customHeight="1">
      <c r="A402" s="173" t="s">
        <v>1527</v>
      </c>
      <c r="B402" s="174">
        <v>42948</v>
      </c>
      <c r="C402" s="173" t="s">
        <v>1477</v>
      </c>
      <c r="D402" s="173" t="s">
        <v>1478</v>
      </c>
      <c r="E402" s="173" t="s">
        <v>1479</v>
      </c>
      <c r="F402" s="173">
        <v>1</v>
      </c>
      <c r="G402" s="173" t="s">
        <v>48</v>
      </c>
      <c r="H402" s="173">
        <v>1</v>
      </c>
      <c r="I402" s="173" t="s">
        <v>1528</v>
      </c>
      <c r="J402" s="173" t="s">
        <v>354</v>
      </c>
      <c r="K402" s="173" t="s">
        <v>17</v>
      </c>
      <c r="L402" s="173"/>
      <c r="M402" s="173" t="s">
        <v>122</v>
      </c>
      <c r="N402" s="173">
        <v>900330225</v>
      </c>
      <c r="O402" s="175">
        <v>6133613</v>
      </c>
      <c r="P402" s="7"/>
      <c r="Q402" s="16">
        <f>+IF(IFERROR(VLOOKUP(Tabla3[[#This Row],[Cliente factura]],Tabla4[[NIT]:[TOTAL CREDITO]],3,FALSE),0)="",0,IFERROR(VLOOKUP(Tabla3[[#This Row],[Cliente factura]],Tabla4[[NIT]:[TOTAL CREDITO]],3,FALSE),0))</f>
        <v>0</v>
      </c>
      <c r="R402" s="9">
        <f>+IFERROR(VLOOKUP(Tabla3[[#This Row],[Cliente factura]],Tabla4[[NIT]:[TOTAL CREDITO]],6,FALSE),0)</f>
        <v>0</v>
      </c>
      <c r="S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2" s="10" t="str">
        <f>VLOOKUP(Tabla3[[#This Row],[Razón social cliente factura]]&amp;Tabla3[[#This Row],[Desc. ciudad]],'Estandar de Rutas'!$C$1:$E$553,2,FALSE)</f>
        <v>4.1.A</v>
      </c>
      <c r="U402" s="130">
        <f>IFERROR(VLOOKUP(Tabla3[[#This Row],[Referencia]]&amp;Tabla3[[#This Row],[Desc detalle ext 1]],Tabla1[[Referencia-Color]:[Disponibilidad]],3,FALSE),0)</f>
        <v>48</v>
      </c>
      <c r="V402" s="13"/>
      <c r="W402" s="17">
        <f>+Tabla3[[#This Row],[Cant. Programada]]*Tabla3[[#This Row],[Precio unit]]</f>
        <v>0</v>
      </c>
      <c r="X402" s="129"/>
      <c r="Y402" s="129"/>
      <c r="Z402" s="8" t="str">
        <f>+Tabla3[[#This Row],[Referencia]]&amp;Tabla3[[#This Row],[Desc detalle ext 1]]</f>
        <v>CB 160F DLX                                       ROJO SPOR</v>
      </c>
      <c r="AA402" s="128" t="e">
        <f>+VLOOKUP(Tabla3[[#This Row],[CODIGO2]],ESTANDAR!$B$3:$C$9,2,FALSE)</f>
        <v>#N/A</v>
      </c>
      <c r="AB402" s="128" t="str">
        <f>+MID(Tabla3[[#This Row],['# Viaje]],10,1)</f>
        <v/>
      </c>
    </row>
    <row r="403" spans="1:28" ht="15" hidden="1" customHeight="1">
      <c r="A403" s="173" t="s">
        <v>1527</v>
      </c>
      <c r="B403" s="174">
        <v>42948</v>
      </c>
      <c r="C403" s="173" t="s">
        <v>1477</v>
      </c>
      <c r="D403" s="173" t="s">
        <v>1478</v>
      </c>
      <c r="E403" s="173" t="s">
        <v>1479</v>
      </c>
      <c r="F403" s="173">
        <v>1</v>
      </c>
      <c r="G403" s="173" t="s">
        <v>48</v>
      </c>
      <c r="H403" s="173">
        <v>1</v>
      </c>
      <c r="I403" s="173" t="s">
        <v>1528</v>
      </c>
      <c r="J403" s="173" t="s">
        <v>354</v>
      </c>
      <c r="K403" s="173" t="s">
        <v>355</v>
      </c>
      <c r="L403" s="173"/>
      <c r="M403" s="173" t="s">
        <v>122</v>
      </c>
      <c r="N403" s="173">
        <v>900330225</v>
      </c>
      <c r="O403" s="175">
        <v>6133613</v>
      </c>
      <c r="P403" s="7"/>
      <c r="Q403" s="16">
        <f>+IF(IFERROR(VLOOKUP(Tabla3[[#This Row],[Cliente factura]],Tabla4[[NIT]:[TOTAL CREDITO]],3,FALSE),0)="",0,IFERROR(VLOOKUP(Tabla3[[#This Row],[Cliente factura]],Tabla4[[NIT]:[TOTAL CREDITO]],3,FALSE),0))</f>
        <v>0</v>
      </c>
      <c r="R403" s="9">
        <f>+IFERROR(VLOOKUP(Tabla3[[#This Row],[Cliente factura]],Tabla4[[NIT]:[TOTAL CREDITO]],6,FALSE),0)</f>
        <v>0</v>
      </c>
      <c r="S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3" s="10" t="str">
        <f>VLOOKUP(Tabla3[[#This Row],[Razón social cliente factura]]&amp;Tabla3[[#This Row],[Desc. ciudad]],'Estandar de Rutas'!$C$1:$E$553,2,FALSE)</f>
        <v>4.1.A</v>
      </c>
      <c r="U403" s="130">
        <f>IFERROR(VLOOKUP(Tabla3[[#This Row],[Referencia]]&amp;Tabla3[[#This Row],[Desc detalle ext 1]],Tabla1[[Referencia-Color]:[Disponibilidad]],3,FALSE),0)</f>
        <v>0</v>
      </c>
      <c r="V403" s="13"/>
      <c r="W403" s="17">
        <f>+Tabla3[[#This Row],[Cant. Programada]]*Tabla3[[#This Row],[Precio unit]]</f>
        <v>0</v>
      </c>
      <c r="X403" s="8"/>
      <c r="Y403" s="8"/>
      <c r="Z403" s="8" t="str">
        <f>+Tabla3[[#This Row],[Referencia]]&amp;Tabla3[[#This Row],[Desc detalle ext 1]]</f>
        <v>CB 160F DLX                                       NEGRO PER</v>
      </c>
      <c r="AA403" s="128" t="e">
        <f>+VLOOKUP(Tabla3[[#This Row],[CODIGO2]],ESTANDAR!$B$3:$C$9,2,FALSE)</f>
        <v>#N/A</v>
      </c>
      <c r="AB403" s="128" t="str">
        <f>+MID(Tabla3[[#This Row],['# Viaje]],10,1)</f>
        <v/>
      </c>
    </row>
    <row r="404" spans="1:28" ht="15" hidden="1" customHeight="1">
      <c r="A404" s="173" t="s">
        <v>1527</v>
      </c>
      <c r="B404" s="174">
        <v>42948</v>
      </c>
      <c r="C404" s="173" t="s">
        <v>1477</v>
      </c>
      <c r="D404" s="173" t="s">
        <v>1478</v>
      </c>
      <c r="E404" s="173" t="s">
        <v>1479</v>
      </c>
      <c r="F404" s="173">
        <v>1</v>
      </c>
      <c r="G404" s="173" t="s">
        <v>48</v>
      </c>
      <c r="H404" s="173">
        <v>1</v>
      </c>
      <c r="I404" s="173" t="s">
        <v>1528</v>
      </c>
      <c r="J404" s="173" t="s">
        <v>1433</v>
      </c>
      <c r="K404" s="173" t="s">
        <v>1452</v>
      </c>
      <c r="L404" s="173"/>
      <c r="M404" s="173" t="s">
        <v>122</v>
      </c>
      <c r="N404" s="173">
        <v>900330225</v>
      </c>
      <c r="O404" s="175">
        <v>3521008</v>
      </c>
      <c r="P404" s="7"/>
      <c r="Q404" s="16">
        <f>+IF(IFERROR(VLOOKUP(Tabla3[[#This Row],[Cliente factura]],Tabla4[[NIT]:[TOTAL CREDITO]],3,FALSE),0)="",0,IFERROR(VLOOKUP(Tabla3[[#This Row],[Cliente factura]],Tabla4[[NIT]:[TOTAL CREDITO]],3,FALSE),0))</f>
        <v>0</v>
      </c>
      <c r="R404" s="9">
        <f>+IFERROR(VLOOKUP(Tabla3[[#This Row],[Cliente factura]],Tabla4[[NIT]:[TOTAL CREDITO]],6,FALSE),0)</f>
        <v>0</v>
      </c>
      <c r="S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4" s="10" t="str">
        <f>VLOOKUP(Tabla3[[#This Row],[Razón social cliente factura]]&amp;Tabla3[[#This Row],[Desc. ciudad]],'Estandar de Rutas'!$C$1:$E$553,2,FALSE)</f>
        <v>4.1.A</v>
      </c>
      <c r="U404" s="130">
        <f>IFERROR(VLOOKUP(Tabla3[[#This Row],[Referencia]]&amp;Tabla3[[#This Row],[Desc detalle ext 1]],Tabla1[[Referencia-Color]:[Disponibilidad]],3,FALSE),0)</f>
        <v>0</v>
      </c>
      <c r="V404" s="13"/>
      <c r="W404" s="17">
        <f>+Tabla3[[#This Row],[Cant. Programada]]*Tabla3[[#This Row],[Precio unit]]</f>
        <v>0</v>
      </c>
      <c r="X404" s="129"/>
      <c r="Y404" s="129"/>
      <c r="Z404" s="8" t="str">
        <f>+Tabla3[[#This Row],[Referencia]]&amp;Tabla3[[#This Row],[Desc detalle ext 1]]</f>
        <v xml:space="preserve">DIO  110                                          AZUL     </v>
      </c>
      <c r="AA404" s="128" t="e">
        <f>+VLOOKUP(Tabla3[[#This Row],[CODIGO2]],ESTANDAR!$B$3:$C$9,2,FALSE)</f>
        <v>#N/A</v>
      </c>
      <c r="AB404" s="128" t="str">
        <f>+MID(Tabla3[[#This Row],['# Viaje]],10,1)</f>
        <v/>
      </c>
    </row>
    <row r="405" spans="1:28" ht="15" hidden="1" customHeight="1">
      <c r="A405" s="173" t="s">
        <v>1527</v>
      </c>
      <c r="B405" s="174">
        <v>42948</v>
      </c>
      <c r="C405" s="173" t="s">
        <v>1477</v>
      </c>
      <c r="D405" s="173" t="s">
        <v>1478</v>
      </c>
      <c r="E405" s="173" t="s">
        <v>1479</v>
      </c>
      <c r="F405" s="173">
        <v>1</v>
      </c>
      <c r="G405" s="173" t="s">
        <v>48</v>
      </c>
      <c r="H405" s="173">
        <v>1</v>
      </c>
      <c r="I405" s="173" t="s">
        <v>1528</v>
      </c>
      <c r="J405" s="173" t="s">
        <v>1453</v>
      </c>
      <c r="K405" s="173" t="s">
        <v>11</v>
      </c>
      <c r="L405" s="173"/>
      <c r="M405" s="173" t="s">
        <v>122</v>
      </c>
      <c r="N405" s="173">
        <v>900330225</v>
      </c>
      <c r="O405" s="175">
        <v>7730252</v>
      </c>
      <c r="P405" s="7"/>
      <c r="Q405" s="16">
        <f>+IF(IFERROR(VLOOKUP(Tabla3[[#This Row],[Cliente factura]],Tabla4[[NIT]:[TOTAL CREDITO]],3,FALSE),0)="",0,IFERROR(VLOOKUP(Tabla3[[#This Row],[Cliente factura]],Tabla4[[NIT]:[TOTAL CREDITO]],3,FALSE),0))</f>
        <v>0</v>
      </c>
      <c r="R405" s="9">
        <f>+IFERROR(VLOOKUP(Tabla3[[#This Row],[Cliente factura]],Tabla4[[NIT]:[TOTAL CREDITO]],6,FALSE),0)</f>
        <v>0</v>
      </c>
      <c r="S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5" s="10" t="str">
        <f>VLOOKUP(Tabla3[[#This Row],[Razón social cliente factura]]&amp;Tabla3[[#This Row],[Desc. ciudad]],'Estandar de Rutas'!$C$1:$E$553,2,FALSE)</f>
        <v>4.1.A</v>
      </c>
      <c r="U405" s="130">
        <f>IFERROR(VLOOKUP(Tabla3[[#This Row],[Referencia]]&amp;Tabla3[[#This Row],[Desc detalle ext 1]],Tabla1[[Referencia-Color]:[Disponibilidad]],3,FALSE),0)</f>
        <v>0</v>
      </c>
      <c r="V405" s="13"/>
      <c r="W405" s="17">
        <f>+Tabla3[[#This Row],[Cant. Programada]]*Tabla3[[#This Row],[Precio unit]]</f>
        <v>0</v>
      </c>
      <c r="X405" s="130"/>
      <c r="Y405" s="8"/>
      <c r="Z405" s="8" t="str">
        <f>+Tabla3[[#This Row],[Referencia]]&amp;Tabla3[[#This Row],[Desc detalle ext 1]]</f>
        <v>CB 190R INSTINTO R                                NEGRO ONI</v>
      </c>
      <c r="AA405" s="128" t="e">
        <f>+VLOOKUP(Tabla3[[#This Row],[CODIGO2]],ESTANDAR!$B$3:$C$9,2,FALSE)</f>
        <v>#N/A</v>
      </c>
      <c r="AB405" s="128" t="str">
        <f>+MID(Tabla3[[#This Row],['# Viaje]],10,1)</f>
        <v/>
      </c>
    </row>
    <row r="406" spans="1:28" ht="15" hidden="1" customHeight="1">
      <c r="A406" s="173" t="s">
        <v>1527</v>
      </c>
      <c r="B406" s="174">
        <v>42948</v>
      </c>
      <c r="C406" s="173" t="s">
        <v>1477</v>
      </c>
      <c r="D406" s="173" t="s">
        <v>1478</v>
      </c>
      <c r="E406" s="173" t="s">
        <v>1479</v>
      </c>
      <c r="F406" s="173">
        <v>1</v>
      </c>
      <c r="G406" s="173" t="s">
        <v>48</v>
      </c>
      <c r="H406" s="173">
        <v>1</v>
      </c>
      <c r="I406" s="173" t="s">
        <v>1528</v>
      </c>
      <c r="J406" s="173" t="s">
        <v>1428</v>
      </c>
      <c r="K406" s="173" t="s">
        <v>32</v>
      </c>
      <c r="L406" s="173"/>
      <c r="M406" s="173" t="s">
        <v>122</v>
      </c>
      <c r="N406" s="173">
        <v>900330225</v>
      </c>
      <c r="O406" s="175">
        <v>3067227</v>
      </c>
      <c r="P406" s="7"/>
      <c r="Q406" s="16">
        <f>+IF(IFERROR(VLOOKUP(Tabla3[[#This Row],[Cliente factura]],Tabla4[[NIT]:[TOTAL CREDITO]],3,FALSE),0)="",0,IFERROR(VLOOKUP(Tabla3[[#This Row],[Cliente factura]],Tabla4[[NIT]:[TOTAL CREDITO]],3,FALSE),0))</f>
        <v>0</v>
      </c>
      <c r="R406" s="9">
        <f>+IFERROR(VLOOKUP(Tabla3[[#This Row],[Cliente factura]],Tabla4[[NIT]:[TOTAL CREDITO]],6,FALSE),0)</f>
        <v>0</v>
      </c>
      <c r="S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6" s="10" t="str">
        <f>VLOOKUP(Tabla3[[#This Row],[Razón social cliente factura]]&amp;Tabla3[[#This Row],[Desc. ciudad]],'Estandar de Rutas'!$C$1:$E$553,2,FALSE)</f>
        <v>4.1.A</v>
      </c>
      <c r="U406" s="130">
        <f>IFERROR(VLOOKUP(Tabla3[[#This Row],[Referencia]]&amp;Tabla3[[#This Row],[Desc detalle ext 1]],Tabla1[[Referencia-Color]:[Disponibilidad]],3,FALSE),0)</f>
        <v>0</v>
      </c>
      <c r="V406" s="13"/>
      <c r="W406" s="17">
        <f>+Tabla3[[#This Row],[Cant. Programada]]*Tabla3[[#This Row],[Precio unit]]</f>
        <v>0</v>
      </c>
      <c r="X406" s="130"/>
      <c r="Y406" s="129"/>
      <c r="Z406" s="8" t="str">
        <f>+Tabla3[[#This Row],[Referencia]]&amp;Tabla3[[#This Row],[Desc detalle ext 1]]</f>
        <v>DREAM  NEO                                        NEGRO ROJ</v>
      </c>
      <c r="AA406" s="128" t="e">
        <f>+VLOOKUP(Tabla3[[#This Row],[CODIGO2]],ESTANDAR!$B$3:$C$9,2,FALSE)</f>
        <v>#N/A</v>
      </c>
      <c r="AB406" s="128" t="str">
        <f>+MID(Tabla3[[#This Row],['# Viaje]],10,1)</f>
        <v/>
      </c>
    </row>
    <row r="407" spans="1:28" ht="15" hidden="1" customHeight="1">
      <c r="A407" s="173" t="s">
        <v>1527</v>
      </c>
      <c r="B407" s="174">
        <v>42948</v>
      </c>
      <c r="C407" s="173" t="s">
        <v>1477</v>
      </c>
      <c r="D407" s="173" t="s">
        <v>1478</v>
      </c>
      <c r="E407" s="173" t="s">
        <v>1479</v>
      </c>
      <c r="F407" s="173">
        <v>1</v>
      </c>
      <c r="G407" s="173" t="s">
        <v>48</v>
      </c>
      <c r="H407" s="173">
        <v>1</v>
      </c>
      <c r="I407" s="173" t="s">
        <v>1528</v>
      </c>
      <c r="J407" s="173" t="s">
        <v>1428</v>
      </c>
      <c r="K407" s="173" t="s">
        <v>1429</v>
      </c>
      <c r="L407" s="173"/>
      <c r="M407" s="173" t="s">
        <v>122</v>
      </c>
      <c r="N407" s="173">
        <v>900330225</v>
      </c>
      <c r="O407" s="175">
        <v>3067227</v>
      </c>
      <c r="P407" s="7"/>
      <c r="Q407" s="16">
        <f>+IF(IFERROR(VLOOKUP(Tabla3[[#This Row],[Cliente factura]],Tabla4[[NIT]:[TOTAL CREDITO]],3,FALSE),0)="",0,IFERROR(VLOOKUP(Tabla3[[#This Row],[Cliente factura]],Tabla4[[NIT]:[TOTAL CREDITO]],3,FALSE),0))</f>
        <v>0</v>
      </c>
      <c r="R407" s="9">
        <f>+IFERROR(VLOOKUP(Tabla3[[#This Row],[Cliente factura]],Tabla4[[NIT]:[TOTAL CREDITO]],6,FALSE),0)</f>
        <v>0</v>
      </c>
      <c r="S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7" s="10" t="str">
        <f>VLOOKUP(Tabla3[[#This Row],[Razón social cliente factura]]&amp;Tabla3[[#This Row],[Desc. ciudad]],'Estandar de Rutas'!$C$1:$E$553,2,FALSE)</f>
        <v>4.1.A</v>
      </c>
      <c r="U407" s="130">
        <f>IFERROR(VLOOKUP(Tabla3[[#This Row],[Referencia]]&amp;Tabla3[[#This Row],[Desc detalle ext 1]],Tabla1[[Referencia-Color]:[Disponibilidad]],3,FALSE),0)</f>
        <v>0</v>
      </c>
      <c r="V407" s="13"/>
      <c r="W407" s="17">
        <f>+Tabla3[[#This Row],[Cant. Programada]]*Tabla3[[#This Row],[Precio unit]]</f>
        <v>0</v>
      </c>
      <c r="X407" s="130"/>
      <c r="Y407" s="129"/>
      <c r="Z407" s="8" t="str">
        <f>+Tabla3[[#This Row],[Referencia]]&amp;Tabla3[[#This Row],[Desc detalle ext 1]]</f>
        <v>DREAM  NEO                                        NEGRO AZU</v>
      </c>
      <c r="AA407" s="128" t="e">
        <f>+VLOOKUP(Tabla3[[#This Row],[CODIGO2]],ESTANDAR!$B$3:$C$9,2,FALSE)</f>
        <v>#N/A</v>
      </c>
      <c r="AB407" s="128" t="str">
        <f>+MID(Tabla3[[#This Row],['# Viaje]],10,1)</f>
        <v/>
      </c>
    </row>
    <row r="408" spans="1:28" ht="15" hidden="1" customHeight="1">
      <c r="A408" s="173" t="s">
        <v>1527</v>
      </c>
      <c r="B408" s="174">
        <v>42948</v>
      </c>
      <c r="C408" s="173" t="s">
        <v>1477</v>
      </c>
      <c r="D408" s="173" t="s">
        <v>1478</v>
      </c>
      <c r="E408" s="173" t="s">
        <v>1479</v>
      </c>
      <c r="F408" s="173">
        <v>1</v>
      </c>
      <c r="G408" s="173" t="s">
        <v>48</v>
      </c>
      <c r="H408" s="173">
        <v>1</v>
      </c>
      <c r="I408" s="173" t="s">
        <v>1528</v>
      </c>
      <c r="J408" s="173" t="s">
        <v>1430</v>
      </c>
      <c r="K408" s="173" t="s">
        <v>1432</v>
      </c>
      <c r="L408" s="173"/>
      <c r="M408" s="173" t="s">
        <v>122</v>
      </c>
      <c r="N408" s="173">
        <v>900330225</v>
      </c>
      <c r="O408" s="175">
        <v>3941176</v>
      </c>
      <c r="P408" s="7"/>
      <c r="Q408" s="16">
        <f>+IF(IFERROR(VLOOKUP(Tabla3[[#This Row],[Cliente factura]],Tabla4[[NIT]:[TOTAL CREDITO]],3,FALSE),0)="",0,IFERROR(VLOOKUP(Tabla3[[#This Row],[Cliente factura]],Tabla4[[NIT]:[TOTAL CREDITO]],3,FALSE),0))</f>
        <v>0</v>
      </c>
      <c r="R408" s="9">
        <f>+IFERROR(VLOOKUP(Tabla3[[#This Row],[Cliente factura]],Tabla4[[NIT]:[TOTAL CREDITO]],6,FALSE),0)</f>
        <v>0</v>
      </c>
      <c r="S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8" s="10" t="str">
        <f>VLOOKUP(Tabla3[[#This Row],[Razón social cliente factura]]&amp;Tabla3[[#This Row],[Desc. ciudad]],'Estandar de Rutas'!$C$1:$E$553,2,FALSE)</f>
        <v>4.1.A</v>
      </c>
      <c r="U408" s="130">
        <f>IFERROR(VLOOKUP(Tabla3[[#This Row],[Referencia]]&amp;Tabla3[[#This Row],[Desc detalle ext 1]],Tabla1[[Referencia-Color]:[Disponibilidad]],3,FALSE),0)</f>
        <v>23</v>
      </c>
      <c r="V408" s="13"/>
      <c r="W408" s="17">
        <f>+Tabla3[[#This Row],[Cant. Programada]]*Tabla3[[#This Row],[Precio unit]]</f>
        <v>0</v>
      </c>
      <c r="X408" s="130"/>
      <c r="Y408" s="129"/>
      <c r="Z408" s="8" t="str">
        <f>+Tabla3[[#This Row],[Referencia]]&amp;Tabla3[[#This Row],[Desc detalle ext 1]]</f>
        <v xml:space="preserve">WAVE 110S                                         BLANCO   </v>
      </c>
      <c r="AA408" s="128" t="e">
        <f>+VLOOKUP(Tabla3[[#This Row],[CODIGO2]],ESTANDAR!$B$3:$C$9,2,FALSE)</f>
        <v>#N/A</v>
      </c>
      <c r="AB408" s="128" t="str">
        <f>+MID(Tabla3[[#This Row],['# Viaje]],10,1)</f>
        <v/>
      </c>
    </row>
    <row r="409" spans="1:28" ht="15" hidden="1" customHeight="1">
      <c r="A409" s="173" t="s">
        <v>1527</v>
      </c>
      <c r="B409" s="174">
        <v>42948</v>
      </c>
      <c r="C409" s="173" t="s">
        <v>1477</v>
      </c>
      <c r="D409" s="173" t="s">
        <v>1478</v>
      </c>
      <c r="E409" s="173" t="s">
        <v>1479</v>
      </c>
      <c r="F409" s="173">
        <v>2</v>
      </c>
      <c r="G409" s="173" t="s">
        <v>48</v>
      </c>
      <c r="H409" s="173">
        <v>2</v>
      </c>
      <c r="I409" s="173" t="s">
        <v>1528</v>
      </c>
      <c r="J409" s="173" t="s">
        <v>1430</v>
      </c>
      <c r="K409" s="173" t="s">
        <v>16</v>
      </c>
      <c r="L409" s="173"/>
      <c r="M409" s="173" t="s">
        <v>122</v>
      </c>
      <c r="N409" s="173">
        <v>900330225</v>
      </c>
      <c r="O409" s="175">
        <v>3941176</v>
      </c>
      <c r="P409" s="7"/>
      <c r="Q409" s="16">
        <f>+IF(IFERROR(VLOOKUP(Tabla3[[#This Row],[Cliente factura]],Tabla4[[NIT]:[TOTAL CREDITO]],3,FALSE),0)="",0,IFERROR(VLOOKUP(Tabla3[[#This Row],[Cliente factura]],Tabla4[[NIT]:[TOTAL CREDITO]],3,FALSE),0))</f>
        <v>0</v>
      </c>
      <c r="R409" s="9">
        <f>+IFERROR(VLOOKUP(Tabla3[[#This Row],[Cliente factura]],Tabla4[[NIT]:[TOTAL CREDITO]],6,FALSE),0)</f>
        <v>0</v>
      </c>
      <c r="S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9" s="10" t="str">
        <f>VLOOKUP(Tabla3[[#This Row],[Razón social cliente factura]]&amp;Tabla3[[#This Row],[Desc. ciudad]],'Estandar de Rutas'!$C$1:$E$553,2,FALSE)</f>
        <v>4.1.A</v>
      </c>
      <c r="U409" s="130">
        <f>IFERROR(VLOOKUP(Tabla3[[#This Row],[Referencia]]&amp;Tabla3[[#This Row],[Desc detalle ext 1]],Tabla1[[Referencia-Color]:[Disponibilidad]],3,FALSE),0)</f>
        <v>0</v>
      </c>
      <c r="V409" s="13"/>
      <c r="W409" s="17">
        <f>+Tabla3[[#This Row],[Cant. Programada]]*Tabla3[[#This Row],[Precio unit]]</f>
        <v>0</v>
      </c>
      <c r="X409" s="8"/>
      <c r="Y409" s="8"/>
      <c r="Z409" s="8" t="str">
        <f>+Tabla3[[#This Row],[Referencia]]&amp;Tabla3[[#This Row],[Desc detalle ext 1]]</f>
        <v xml:space="preserve">WAVE 110S                                         NEGRO    </v>
      </c>
      <c r="AA409" s="128" t="e">
        <f>+VLOOKUP(Tabla3[[#This Row],[CODIGO2]],ESTANDAR!$B$3:$C$9,2,FALSE)</f>
        <v>#N/A</v>
      </c>
      <c r="AB409" s="128" t="str">
        <f>+MID(Tabla3[[#This Row],['# Viaje]],10,1)</f>
        <v/>
      </c>
    </row>
    <row r="410" spans="1:28" ht="15" hidden="1" customHeight="1">
      <c r="A410" s="173" t="s">
        <v>1527</v>
      </c>
      <c r="B410" s="174">
        <v>42948</v>
      </c>
      <c r="C410" s="173" t="s">
        <v>1477</v>
      </c>
      <c r="D410" s="173" t="s">
        <v>1478</v>
      </c>
      <c r="E410" s="173" t="s">
        <v>1479</v>
      </c>
      <c r="F410" s="173">
        <v>1</v>
      </c>
      <c r="G410" s="173" t="s">
        <v>48</v>
      </c>
      <c r="H410" s="173">
        <v>1</v>
      </c>
      <c r="I410" s="173" t="s">
        <v>1528</v>
      </c>
      <c r="J410" s="173" t="s">
        <v>1234</v>
      </c>
      <c r="K410" s="173" t="s">
        <v>44</v>
      </c>
      <c r="L410" s="173"/>
      <c r="M410" s="173" t="s">
        <v>122</v>
      </c>
      <c r="N410" s="173">
        <v>900330225</v>
      </c>
      <c r="O410" s="175">
        <v>5453782</v>
      </c>
      <c r="P410" s="7"/>
      <c r="Q410" s="16">
        <f>+IF(IFERROR(VLOOKUP(Tabla3[[#This Row],[Cliente factura]],Tabla4[[NIT]:[TOTAL CREDITO]],3,FALSE),0)="",0,IFERROR(VLOOKUP(Tabla3[[#This Row],[Cliente factura]],Tabla4[[NIT]:[TOTAL CREDITO]],3,FALSE),0))</f>
        <v>0</v>
      </c>
      <c r="R410" s="9">
        <f>+IFERROR(VLOOKUP(Tabla3[[#This Row],[Cliente factura]],Tabla4[[NIT]:[TOTAL CREDITO]],6,FALSE),0)</f>
        <v>0</v>
      </c>
      <c r="S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0" s="10" t="str">
        <f>VLOOKUP(Tabla3[[#This Row],[Razón social cliente factura]]&amp;Tabla3[[#This Row],[Desc. ciudad]],'Estandar de Rutas'!$C$1:$E$553,2,FALSE)</f>
        <v>4.1.A</v>
      </c>
      <c r="U410" s="130">
        <f>IFERROR(VLOOKUP(Tabla3[[#This Row],[Referencia]]&amp;Tabla3[[#This Row],[Desc detalle ext 1]],Tabla1[[Referencia-Color]:[Disponibilidad]],3,FALSE),0)</f>
        <v>1</v>
      </c>
      <c r="V410" s="13"/>
      <c r="W410" s="17">
        <f>+Tabla3[[#This Row],[Cant. Programada]]*Tabla3[[#This Row],[Precio unit]]</f>
        <v>0</v>
      </c>
      <c r="X410" s="130"/>
      <c r="Y410" s="129"/>
      <c r="Z410" s="8" t="str">
        <f>+Tabla3[[#This Row],[Referencia]]&amp;Tabla3[[#This Row],[Desc detalle ext 1]]</f>
        <v>CB 160F STD                                       BLANCO PE</v>
      </c>
      <c r="AA410" s="128" t="e">
        <f>+VLOOKUP(Tabla3[[#This Row],[CODIGO2]],ESTANDAR!$B$3:$C$9,2,FALSE)</f>
        <v>#N/A</v>
      </c>
      <c r="AB410" s="128" t="str">
        <f>+MID(Tabla3[[#This Row],['# Viaje]],10,1)</f>
        <v/>
      </c>
    </row>
    <row r="411" spans="1:28" ht="15" hidden="1" customHeight="1">
      <c r="A411" s="173" t="s">
        <v>1527</v>
      </c>
      <c r="B411" s="174">
        <v>42948</v>
      </c>
      <c r="C411" s="173" t="s">
        <v>1477</v>
      </c>
      <c r="D411" s="173" t="s">
        <v>1478</v>
      </c>
      <c r="E411" s="173" t="s">
        <v>1479</v>
      </c>
      <c r="F411" s="173">
        <v>4</v>
      </c>
      <c r="G411" s="173" t="s">
        <v>48</v>
      </c>
      <c r="H411" s="173">
        <v>4</v>
      </c>
      <c r="I411" s="173" t="s">
        <v>1528</v>
      </c>
      <c r="J411" s="173" t="s">
        <v>1234</v>
      </c>
      <c r="K411" s="173" t="s">
        <v>355</v>
      </c>
      <c r="L411" s="173"/>
      <c r="M411" s="173" t="s">
        <v>122</v>
      </c>
      <c r="N411" s="173">
        <v>900330225</v>
      </c>
      <c r="O411" s="175">
        <v>5453782</v>
      </c>
      <c r="P411" s="7"/>
      <c r="Q411" s="16">
        <f>+IF(IFERROR(VLOOKUP(Tabla3[[#This Row],[Cliente factura]],Tabla4[[NIT]:[TOTAL CREDITO]],3,FALSE),0)="",0,IFERROR(VLOOKUP(Tabla3[[#This Row],[Cliente factura]],Tabla4[[NIT]:[TOTAL CREDITO]],3,FALSE),0))</f>
        <v>0</v>
      </c>
      <c r="R411" s="9">
        <f>+IFERROR(VLOOKUP(Tabla3[[#This Row],[Cliente factura]],Tabla4[[NIT]:[TOTAL CREDITO]],6,FALSE),0)</f>
        <v>0</v>
      </c>
      <c r="S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1" s="10" t="str">
        <f>VLOOKUP(Tabla3[[#This Row],[Razón social cliente factura]]&amp;Tabla3[[#This Row],[Desc. ciudad]],'Estandar de Rutas'!$C$1:$E$553,2,FALSE)</f>
        <v>4.1.A</v>
      </c>
      <c r="U411" s="130">
        <f>IFERROR(VLOOKUP(Tabla3[[#This Row],[Referencia]]&amp;Tabla3[[#This Row],[Desc detalle ext 1]],Tabla1[[Referencia-Color]:[Disponibilidad]],3,FALSE),0)</f>
        <v>0</v>
      </c>
      <c r="V411" s="13"/>
      <c r="W411" s="17">
        <f>+Tabla3[[#This Row],[Cant. Programada]]*Tabla3[[#This Row],[Precio unit]]</f>
        <v>0</v>
      </c>
      <c r="X411" s="130"/>
      <c r="Y411" s="129"/>
      <c r="Z411" s="8" t="str">
        <f>+Tabla3[[#This Row],[Referencia]]&amp;Tabla3[[#This Row],[Desc detalle ext 1]]</f>
        <v>CB 160F STD                                       NEGRO PER</v>
      </c>
      <c r="AA411" s="128" t="e">
        <f>+VLOOKUP(Tabla3[[#This Row],[CODIGO2]],ESTANDAR!$B$3:$C$9,2,FALSE)</f>
        <v>#N/A</v>
      </c>
      <c r="AB411" s="128" t="str">
        <f>+MID(Tabla3[[#This Row],['# Viaje]],10,1)</f>
        <v/>
      </c>
    </row>
    <row r="412" spans="1:28" ht="15" hidden="1" customHeight="1">
      <c r="A412" s="173" t="s">
        <v>1527</v>
      </c>
      <c r="B412" s="174">
        <v>42948</v>
      </c>
      <c r="C412" s="173" t="s">
        <v>1477</v>
      </c>
      <c r="D412" s="173" t="s">
        <v>1478</v>
      </c>
      <c r="E412" s="173" t="s">
        <v>1479</v>
      </c>
      <c r="F412" s="173">
        <v>1</v>
      </c>
      <c r="G412" s="173" t="s">
        <v>48</v>
      </c>
      <c r="H412" s="173">
        <v>1</v>
      </c>
      <c r="I412" s="173" t="s">
        <v>1528</v>
      </c>
      <c r="J412" s="173" t="s">
        <v>1451</v>
      </c>
      <c r="K412" s="173" t="s">
        <v>1452</v>
      </c>
      <c r="L412" s="173"/>
      <c r="M412" s="173" t="s">
        <v>122</v>
      </c>
      <c r="N412" s="173">
        <v>900330225</v>
      </c>
      <c r="O412" s="175">
        <v>3696639</v>
      </c>
      <c r="P412" s="7"/>
      <c r="Q412" s="16">
        <f>+IF(IFERROR(VLOOKUP(Tabla3[[#This Row],[Cliente factura]],Tabla4[[NIT]:[TOTAL CREDITO]],3,FALSE),0)="",0,IFERROR(VLOOKUP(Tabla3[[#This Row],[Cliente factura]],Tabla4[[NIT]:[TOTAL CREDITO]],3,FALSE),0))</f>
        <v>0</v>
      </c>
      <c r="R412" s="9">
        <f>+IFERROR(VLOOKUP(Tabla3[[#This Row],[Cliente factura]],Tabla4[[NIT]:[TOTAL CREDITO]],6,FALSE),0)</f>
        <v>0</v>
      </c>
      <c r="S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2" s="10" t="str">
        <f>VLOOKUP(Tabla3[[#This Row],[Razón social cliente factura]]&amp;Tabla3[[#This Row],[Desc. ciudad]],'Estandar de Rutas'!$C$1:$E$553,2,FALSE)</f>
        <v>4.1.A</v>
      </c>
      <c r="U412" s="130">
        <f>IFERROR(VLOOKUP(Tabla3[[#This Row],[Referencia]]&amp;Tabla3[[#This Row],[Desc detalle ext 1]],Tabla1[[Referencia-Color]:[Disponibilidad]],3,FALSE),0)</f>
        <v>21</v>
      </c>
      <c r="V412" s="13"/>
      <c r="W412" s="17">
        <f>+Tabla3[[#This Row],[Cant. Programada]]*Tabla3[[#This Row],[Precio unit]]</f>
        <v>0</v>
      </c>
      <c r="X412" s="130"/>
      <c r="Y412" s="129"/>
      <c r="Z412" s="8" t="str">
        <f>+Tabla3[[#This Row],[Referencia]]&amp;Tabla3[[#This Row],[Desc detalle ext 1]]</f>
        <v xml:space="preserve">CB 110 DLX                                        AZUL     </v>
      </c>
      <c r="AA412" s="128" t="e">
        <f>+VLOOKUP(Tabla3[[#This Row],[CODIGO2]],ESTANDAR!$B$3:$C$9,2,FALSE)</f>
        <v>#N/A</v>
      </c>
      <c r="AB412" s="128" t="str">
        <f>+MID(Tabla3[[#This Row],['# Viaje]],10,1)</f>
        <v/>
      </c>
    </row>
    <row r="413" spans="1:28" ht="15" hidden="1" customHeight="1">
      <c r="A413" s="173" t="s">
        <v>1527</v>
      </c>
      <c r="B413" s="174">
        <v>42948</v>
      </c>
      <c r="C413" s="173" t="s">
        <v>1477</v>
      </c>
      <c r="D413" s="173" t="s">
        <v>1478</v>
      </c>
      <c r="E413" s="173" t="s">
        <v>1479</v>
      </c>
      <c r="F413" s="173">
        <v>1</v>
      </c>
      <c r="G413" s="173" t="s">
        <v>48</v>
      </c>
      <c r="H413" s="173">
        <v>1</v>
      </c>
      <c r="I413" s="173" t="s">
        <v>1528</v>
      </c>
      <c r="J413" s="173" t="s">
        <v>1451</v>
      </c>
      <c r="K413" s="173" t="s">
        <v>1449</v>
      </c>
      <c r="L413" s="173"/>
      <c r="M413" s="173" t="s">
        <v>122</v>
      </c>
      <c r="N413" s="173">
        <v>900330225</v>
      </c>
      <c r="O413" s="175">
        <v>3696639</v>
      </c>
      <c r="P413" s="7"/>
      <c r="Q413" s="16">
        <f>+IF(IFERROR(VLOOKUP(Tabla3[[#This Row],[Cliente factura]],Tabla4[[NIT]:[TOTAL CREDITO]],3,FALSE),0)="",0,IFERROR(VLOOKUP(Tabla3[[#This Row],[Cliente factura]],Tabla4[[NIT]:[TOTAL CREDITO]],3,FALSE),0))</f>
        <v>0</v>
      </c>
      <c r="R413" s="9">
        <f>+IFERROR(VLOOKUP(Tabla3[[#This Row],[Cliente factura]],Tabla4[[NIT]:[TOTAL CREDITO]],6,FALSE),0)</f>
        <v>0</v>
      </c>
      <c r="S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3" s="10" t="str">
        <f>VLOOKUP(Tabla3[[#This Row],[Razón social cliente factura]]&amp;Tabla3[[#This Row],[Desc. ciudad]],'Estandar de Rutas'!$C$1:$E$553,2,FALSE)</f>
        <v>4.1.A</v>
      </c>
      <c r="U413" s="130">
        <f>IFERROR(VLOOKUP(Tabla3[[#This Row],[Referencia]]&amp;Tabla3[[#This Row],[Desc detalle ext 1]],Tabla1[[Referencia-Color]:[Disponibilidad]],3,FALSE),0)</f>
        <v>24</v>
      </c>
      <c r="V413" s="13"/>
      <c r="W413" s="17">
        <f>+Tabla3[[#This Row],[Cant. Programada]]*Tabla3[[#This Row],[Precio unit]]</f>
        <v>0</v>
      </c>
      <c r="X413" s="8"/>
      <c r="Y413" s="8"/>
      <c r="Z413" s="8" t="str">
        <f>+Tabla3[[#This Row],[Referencia]]&amp;Tabla3[[#This Row],[Desc detalle ext 1]]</f>
        <v xml:space="preserve">CB 110 DLX                                        GRIS     </v>
      </c>
      <c r="AA413" s="128" t="e">
        <f>+VLOOKUP(Tabla3[[#This Row],[CODIGO2]],ESTANDAR!$B$3:$C$9,2,FALSE)</f>
        <v>#N/A</v>
      </c>
      <c r="AB413" s="128" t="str">
        <f>+MID(Tabla3[[#This Row],['# Viaje]],10,1)</f>
        <v/>
      </c>
    </row>
    <row r="414" spans="1:28" ht="15" hidden="1" customHeight="1">
      <c r="A414" s="173" t="s">
        <v>1527</v>
      </c>
      <c r="B414" s="174">
        <v>42948</v>
      </c>
      <c r="C414" s="173" t="s">
        <v>1477</v>
      </c>
      <c r="D414" s="173" t="s">
        <v>1478</v>
      </c>
      <c r="E414" s="173" t="s">
        <v>1479</v>
      </c>
      <c r="F414" s="173">
        <v>1</v>
      </c>
      <c r="G414" s="173" t="s">
        <v>48</v>
      </c>
      <c r="H414" s="173">
        <v>1</v>
      </c>
      <c r="I414" s="173" t="s">
        <v>1528</v>
      </c>
      <c r="J414" s="173" t="s">
        <v>1451</v>
      </c>
      <c r="K414" s="173" t="s">
        <v>1431</v>
      </c>
      <c r="L414" s="173"/>
      <c r="M414" s="173" t="s">
        <v>122</v>
      </c>
      <c r="N414" s="173">
        <v>900330225</v>
      </c>
      <c r="O414" s="175">
        <v>3696639</v>
      </c>
      <c r="P414" s="7"/>
      <c r="Q414" s="16">
        <f>+IF(IFERROR(VLOOKUP(Tabla3[[#This Row],[Cliente factura]],Tabla4[[NIT]:[TOTAL CREDITO]],3,FALSE),0)="",0,IFERROR(VLOOKUP(Tabla3[[#This Row],[Cliente factura]],Tabla4[[NIT]:[TOTAL CREDITO]],3,FALSE),0))</f>
        <v>0</v>
      </c>
      <c r="R414" s="9">
        <f>+IFERROR(VLOOKUP(Tabla3[[#This Row],[Cliente factura]],Tabla4[[NIT]:[TOTAL CREDITO]],6,FALSE),0)</f>
        <v>0</v>
      </c>
      <c r="S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4" s="10" t="str">
        <f>VLOOKUP(Tabla3[[#This Row],[Razón social cliente factura]]&amp;Tabla3[[#This Row],[Desc. ciudad]],'Estandar de Rutas'!$C$1:$E$553,2,FALSE)</f>
        <v>4.1.A</v>
      </c>
      <c r="U414" s="130">
        <f>IFERROR(VLOOKUP(Tabla3[[#This Row],[Referencia]]&amp;Tabla3[[#This Row],[Desc detalle ext 1]],Tabla1[[Referencia-Color]:[Disponibilidad]],3,FALSE),0)</f>
        <v>21</v>
      </c>
      <c r="V414" s="13"/>
      <c r="W414" s="17">
        <f>+Tabla3[[#This Row],[Cant. Programada]]*Tabla3[[#This Row],[Precio unit]]</f>
        <v>0</v>
      </c>
      <c r="X414" s="8"/>
      <c r="Y414" s="8"/>
      <c r="Z414" s="8" t="str">
        <f>+Tabla3[[#This Row],[Referencia]]&amp;Tabla3[[#This Row],[Desc detalle ext 1]]</f>
        <v xml:space="preserve">CB 110 DLX                                        ROJO     </v>
      </c>
      <c r="AA414" s="128" t="e">
        <f>+VLOOKUP(Tabla3[[#This Row],[CODIGO2]],ESTANDAR!$B$3:$C$9,2,FALSE)</f>
        <v>#N/A</v>
      </c>
      <c r="AB414" s="128" t="str">
        <f>+MID(Tabla3[[#This Row],['# Viaje]],10,1)</f>
        <v/>
      </c>
    </row>
    <row r="415" spans="1:28" ht="15" hidden="1" customHeight="1">
      <c r="A415" s="173" t="s">
        <v>1527</v>
      </c>
      <c r="B415" s="174">
        <v>42948</v>
      </c>
      <c r="C415" s="173" t="s">
        <v>1477</v>
      </c>
      <c r="D415" s="173" t="s">
        <v>1478</v>
      </c>
      <c r="E415" s="173" t="s">
        <v>1479</v>
      </c>
      <c r="F415" s="173">
        <v>4</v>
      </c>
      <c r="G415" s="173" t="s">
        <v>48</v>
      </c>
      <c r="H415" s="173">
        <v>4</v>
      </c>
      <c r="I415" s="173" t="s">
        <v>1528</v>
      </c>
      <c r="J415" s="173" t="s">
        <v>1451</v>
      </c>
      <c r="K415" s="173" t="s">
        <v>16</v>
      </c>
      <c r="L415" s="173"/>
      <c r="M415" s="173" t="s">
        <v>122</v>
      </c>
      <c r="N415" s="173">
        <v>900330225</v>
      </c>
      <c r="O415" s="175">
        <v>3696639</v>
      </c>
      <c r="P415" s="7"/>
      <c r="Q415" s="16">
        <f>+IF(IFERROR(VLOOKUP(Tabla3[[#This Row],[Cliente factura]],Tabla4[[NIT]:[TOTAL CREDITO]],3,FALSE),0)="",0,IFERROR(VLOOKUP(Tabla3[[#This Row],[Cliente factura]],Tabla4[[NIT]:[TOTAL CREDITO]],3,FALSE),0))</f>
        <v>0</v>
      </c>
      <c r="R415" s="9">
        <f>+IFERROR(VLOOKUP(Tabla3[[#This Row],[Cliente factura]],Tabla4[[NIT]:[TOTAL CREDITO]],6,FALSE),0)</f>
        <v>0</v>
      </c>
      <c r="S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5" s="10" t="str">
        <f>VLOOKUP(Tabla3[[#This Row],[Razón social cliente factura]]&amp;Tabla3[[#This Row],[Desc. ciudad]],'Estandar de Rutas'!$C$1:$E$553,2,FALSE)</f>
        <v>4.1.A</v>
      </c>
      <c r="U415" s="130">
        <f>IFERROR(VLOOKUP(Tabla3[[#This Row],[Referencia]]&amp;Tabla3[[#This Row],[Desc detalle ext 1]],Tabla1[[Referencia-Color]:[Disponibilidad]],3,FALSE),0)</f>
        <v>3</v>
      </c>
      <c r="V415" s="13"/>
      <c r="W415" s="17">
        <f>+Tabla3[[#This Row],[Cant. Programada]]*Tabla3[[#This Row],[Precio unit]]</f>
        <v>0</v>
      </c>
      <c r="X415" s="8"/>
      <c r="Y415" s="8"/>
      <c r="Z415" s="8" t="str">
        <f>+Tabla3[[#This Row],[Referencia]]&amp;Tabla3[[#This Row],[Desc detalle ext 1]]</f>
        <v xml:space="preserve">CB 110 DLX                                        NEGRO    </v>
      </c>
      <c r="AA415" s="128" t="e">
        <f>+VLOOKUP(Tabla3[[#This Row],[CODIGO2]],ESTANDAR!$B$3:$C$9,2,FALSE)</f>
        <v>#N/A</v>
      </c>
      <c r="AB415" s="128" t="str">
        <f>+MID(Tabla3[[#This Row],['# Viaje]],10,1)</f>
        <v/>
      </c>
    </row>
    <row r="416" spans="1:28" ht="15" hidden="1" customHeight="1">
      <c r="A416" s="173" t="s">
        <v>1529</v>
      </c>
      <c r="B416" s="174">
        <v>42948</v>
      </c>
      <c r="C416" s="173" t="s">
        <v>1477</v>
      </c>
      <c r="D416" s="173" t="s">
        <v>1237</v>
      </c>
      <c r="E416" s="173" t="s">
        <v>1479</v>
      </c>
      <c r="F416" s="173">
        <v>3</v>
      </c>
      <c r="G416" s="173" t="s">
        <v>74</v>
      </c>
      <c r="H416" s="173">
        <v>3</v>
      </c>
      <c r="I416" s="173" t="s">
        <v>1530</v>
      </c>
      <c r="J416" s="173" t="s">
        <v>14</v>
      </c>
      <c r="K416" s="173" t="s">
        <v>17</v>
      </c>
      <c r="L416" s="173"/>
      <c r="M416" s="173" t="s">
        <v>73</v>
      </c>
      <c r="N416" s="173">
        <v>18184960</v>
      </c>
      <c r="O416" s="175">
        <v>3360504</v>
      </c>
      <c r="P416" s="7"/>
      <c r="Q416" s="16">
        <f>+IF(IFERROR(VLOOKUP(Tabla3[[#This Row],[Cliente factura]],Tabla4[[NIT]:[TOTAL CREDITO]],3,FALSE),0)="",0,IFERROR(VLOOKUP(Tabla3[[#This Row],[Cliente factura]],Tabla4[[NIT]:[TOTAL CREDITO]],3,FALSE),0))</f>
        <v>0</v>
      </c>
      <c r="R416" s="9">
        <f>+IFERROR(VLOOKUP(Tabla3[[#This Row],[Cliente factura]],Tabla4[[NIT]:[TOTAL CREDITO]],6,FALSE),0)</f>
        <v>78989409</v>
      </c>
      <c r="S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6" s="10" t="str">
        <f>VLOOKUP(Tabla3[[#This Row],[Razón social cliente factura]]&amp;Tabla3[[#This Row],[Desc. ciudad]],'Estandar de Rutas'!$C$1:$E$553,2,FALSE)</f>
        <v>5.2.A</v>
      </c>
      <c r="U416" s="130">
        <f>IFERROR(VLOOKUP(Tabla3[[#This Row],[Referencia]]&amp;Tabla3[[#This Row],[Desc detalle ext 1]],Tabla1[[Referencia-Color]:[Disponibilidad]],3,FALSE),0)</f>
        <v>38</v>
      </c>
      <c r="V416" s="13"/>
      <c r="W416" s="17">
        <f>+Tabla3[[#This Row],[Cant. Programada]]*Tabla3[[#This Row],[Precio unit]]</f>
        <v>0</v>
      </c>
      <c r="X416" s="8"/>
      <c r="Y416" s="8"/>
      <c r="Z416" s="8" t="str">
        <f>+Tabla3[[#This Row],[Referencia]]&amp;Tabla3[[#This Row],[Desc detalle ext 1]]</f>
        <v>*CB-110                                           ROJO SPOR</v>
      </c>
      <c r="AA416" s="128" t="e">
        <f>+VLOOKUP(Tabla3[[#This Row],[CODIGO2]],ESTANDAR!$B$3:$C$9,2,FALSE)</f>
        <v>#N/A</v>
      </c>
      <c r="AB416" s="128" t="str">
        <f>+MID(Tabla3[[#This Row],['# Viaje]],10,1)</f>
        <v/>
      </c>
    </row>
    <row r="417" spans="1:28" ht="15" hidden="1" customHeight="1">
      <c r="A417" s="173" t="s">
        <v>1529</v>
      </c>
      <c r="B417" s="174">
        <v>42948</v>
      </c>
      <c r="C417" s="173" t="s">
        <v>1477</v>
      </c>
      <c r="D417" s="173" t="s">
        <v>1237</v>
      </c>
      <c r="E417" s="173" t="s">
        <v>1479</v>
      </c>
      <c r="F417" s="173">
        <v>3</v>
      </c>
      <c r="G417" s="173" t="s">
        <v>74</v>
      </c>
      <c r="H417" s="173">
        <v>3</v>
      </c>
      <c r="I417" s="173" t="s">
        <v>1530</v>
      </c>
      <c r="J417" s="173" t="s">
        <v>14</v>
      </c>
      <c r="K417" s="173" t="s">
        <v>1417</v>
      </c>
      <c r="L417" s="173"/>
      <c r="M417" s="173" t="s">
        <v>73</v>
      </c>
      <c r="N417" s="173">
        <v>18184960</v>
      </c>
      <c r="O417" s="175">
        <v>3360504</v>
      </c>
      <c r="P417" s="7"/>
      <c r="Q417" s="16">
        <f>+IF(IFERROR(VLOOKUP(Tabla3[[#This Row],[Cliente factura]],Tabla4[[NIT]:[TOTAL CREDITO]],3,FALSE),0)="",0,IFERROR(VLOOKUP(Tabla3[[#This Row],[Cliente factura]],Tabla4[[NIT]:[TOTAL CREDITO]],3,FALSE),0))</f>
        <v>0</v>
      </c>
      <c r="R417" s="9">
        <f>+IFERROR(VLOOKUP(Tabla3[[#This Row],[Cliente factura]],Tabla4[[NIT]:[TOTAL CREDITO]],6,FALSE),0)</f>
        <v>78989409</v>
      </c>
      <c r="S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7" s="10" t="str">
        <f>VLOOKUP(Tabla3[[#This Row],[Razón social cliente factura]]&amp;Tabla3[[#This Row],[Desc. ciudad]],'Estandar de Rutas'!$C$1:$E$553,2,FALSE)</f>
        <v>5.2.A</v>
      </c>
      <c r="U417" s="130">
        <f>IFERROR(VLOOKUP(Tabla3[[#This Row],[Referencia]]&amp;Tabla3[[#This Row],[Desc detalle ext 1]],Tabla1[[Referencia-Color]:[Disponibilidad]],3,FALSE),0)</f>
        <v>24</v>
      </c>
      <c r="V417" s="13"/>
      <c r="W417" s="17">
        <f>+Tabla3[[#This Row],[Cant. Programada]]*Tabla3[[#This Row],[Precio unit]]</f>
        <v>0</v>
      </c>
      <c r="X417" s="8"/>
      <c r="Y417" s="8"/>
      <c r="Z417" s="8" t="str">
        <f>+Tabla3[[#This Row],[Referencia]]&amp;Tabla3[[#This Row],[Desc detalle ext 1]]</f>
        <v xml:space="preserve">*CB-110                                           GRIS MET </v>
      </c>
      <c r="AA417" s="128" t="e">
        <f>+VLOOKUP(Tabla3[[#This Row],[CODIGO2]],ESTANDAR!$B$3:$C$9,2,FALSE)</f>
        <v>#N/A</v>
      </c>
      <c r="AB417" s="128" t="str">
        <f>+MID(Tabla3[[#This Row],['# Viaje]],10,1)</f>
        <v/>
      </c>
    </row>
    <row r="418" spans="1:28" ht="15" hidden="1" customHeight="1">
      <c r="A418" s="173" t="s">
        <v>1529</v>
      </c>
      <c r="B418" s="174">
        <v>42948</v>
      </c>
      <c r="C418" s="173" t="s">
        <v>1477</v>
      </c>
      <c r="D418" s="173" t="s">
        <v>1237</v>
      </c>
      <c r="E418" s="173" t="s">
        <v>1479</v>
      </c>
      <c r="F418" s="173">
        <v>6</v>
      </c>
      <c r="G418" s="173" t="s">
        <v>74</v>
      </c>
      <c r="H418" s="173">
        <v>6</v>
      </c>
      <c r="I418" s="173" t="s">
        <v>1530</v>
      </c>
      <c r="J418" s="173" t="s">
        <v>14</v>
      </c>
      <c r="K418" s="173" t="s">
        <v>16</v>
      </c>
      <c r="L418" s="173"/>
      <c r="M418" s="173" t="s">
        <v>73</v>
      </c>
      <c r="N418" s="173">
        <v>18184960</v>
      </c>
      <c r="O418" s="175">
        <v>3360504</v>
      </c>
      <c r="P418" s="7"/>
      <c r="Q418" s="16">
        <f>+IF(IFERROR(VLOOKUP(Tabla3[[#This Row],[Cliente factura]],Tabla4[[NIT]:[TOTAL CREDITO]],3,FALSE),0)="",0,IFERROR(VLOOKUP(Tabla3[[#This Row],[Cliente factura]],Tabla4[[NIT]:[TOTAL CREDITO]],3,FALSE),0))</f>
        <v>0</v>
      </c>
      <c r="R418" s="9">
        <f>+IFERROR(VLOOKUP(Tabla3[[#This Row],[Cliente factura]],Tabla4[[NIT]:[TOTAL CREDITO]],6,FALSE),0)</f>
        <v>78989409</v>
      </c>
      <c r="S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8" s="10" t="str">
        <f>VLOOKUP(Tabla3[[#This Row],[Razón social cliente factura]]&amp;Tabla3[[#This Row],[Desc. ciudad]],'Estandar de Rutas'!$C$1:$E$553,2,FALSE)</f>
        <v>5.2.A</v>
      </c>
      <c r="U418" s="130">
        <f>IFERROR(VLOOKUP(Tabla3[[#This Row],[Referencia]]&amp;Tabla3[[#This Row],[Desc detalle ext 1]],Tabla1[[Referencia-Color]:[Disponibilidad]],3,FALSE),0)</f>
        <v>83</v>
      </c>
      <c r="V418" s="13"/>
      <c r="W418" s="17">
        <f>+Tabla3[[#This Row],[Cant. Programada]]*Tabla3[[#This Row],[Precio unit]]</f>
        <v>0</v>
      </c>
      <c r="X418" s="8"/>
      <c r="Y418" s="8"/>
      <c r="Z418" s="8" t="str">
        <f>+Tabla3[[#This Row],[Referencia]]&amp;Tabla3[[#This Row],[Desc detalle ext 1]]</f>
        <v xml:space="preserve">*CB-110                                           NEGRO    </v>
      </c>
      <c r="AA418" s="128" t="e">
        <f>+VLOOKUP(Tabla3[[#This Row],[CODIGO2]],ESTANDAR!$B$3:$C$9,2,FALSE)</f>
        <v>#N/A</v>
      </c>
      <c r="AB418" s="128" t="str">
        <f>+MID(Tabla3[[#This Row],['# Viaje]],10,1)</f>
        <v/>
      </c>
    </row>
    <row r="419" spans="1:28" ht="15" hidden="1" customHeight="1">
      <c r="A419" s="173" t="s">
        <v>1529</v>
      </c>
      <c r="B419" s="174">
        <v>42948</v>
      </c>
      <c r="C419" s="173" t="s">
        <v>1477</v>
      </c>
      <c r="D419" s="173" t="s">
        <v>1237</v>
      </c>
      <c r="E419" s="173" t="s">
        <v>1479</v>
      </c>
      <c r="F419" s="173">
        <v>2</v>
      </c>
      <c r="G419" s="173" t="s">
        <v>74</v>
      </c>
      <c r="H419" s="173">
        <v>2</v>
      </c>
      <c r="I419" s="173" t="s">
        <v>1530</v>
      </c>
      <c r="J419" s="173" t="s">
        <v>14</v>
      </c>
      <c r="K419" s="173" t="s">
        <v>1418</v>
      </c>
      <c r="L419" s="173"/>
      <c r="M419" s="173" t="s">
        <v>73</v>
      </c>
      <c r="N419" s="173">
        <v>18184960</v>
      </c>
      <c r="O419" s="175">
        <v>3360504</v>
      </c>
      <c r="P419" s="7"/>
      <c r="Q419" s="16">
        <f>+IF(IFERROR(VLOOKUP(Tabla3[[#This Row],[Cliente factura]],Tabla4[[NIT]:[TOTAL CREDITO]],3,FALSE),0)="",0,IFERROR(VLOOKUP(Tabla3[[#This Row],[Cliente factura]],Tabla4[[NIT]:[TOTAL CREDITO]],3,FALSE),0))</f>
        <v>0</v>
      </c>
      <c r="R419" s="9">
        <f>+IFERROR(VLOOKUP(Tabla3[[#This Row],[Cliente factura]],Tabla4[[NIT]:[TOTAL CREDITO]],6,FALSE),0)</f>
        <v>78989409</v>
      </c>
      <c r="S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9" s="10" t="str">
        <f>VLOOKUP(Tabla3[[#This Row],[Razón social cliente factura]]&amp;Tabla3[[#This Row],[Desc. ciudad]],'Estandar de Rutas'!$C$1:$E$553,2,FALSE)</f>
        <v>5.2.A</v>
      </c>
      <c r="U419" s="130">
        <f>IFERROR(VLOOKUP(Tabla3[[#This Row],[Referencia]]&amp;Tabla3[[#This Row],[Desc detalle ext 1]],Tabla1[[Referencia-Color]:[Disponibilidad]],3,FALSE),0)</f>
        <v>0</v>
      </c>
      <c r="V419" s="13"/>
      <c r="W419" s="17">
        <f>+Tabla3[[#This Row],[Cant. Programada]]*Tabla3[[#This Row],[Precio unit]]</f>
        <v>0</v>
      </c>
      <c r="X419" s="8"/>
      <c r="Y419" s="8"/>
      <c r="Z419" s="8" t="str">
        <f>+Tabla3[[#This Row],[Referencia]]&amp;Tabla3[[#This Row],[Desc detalle ext 1]]</f>
        <v>*CB-110                                           VERDE CAN</v>
      </c>
      <c r="AA419" s="128" t="e">
        <f>+VLOOKUP(Tabla3[[#This Row],[CODIGO2]],ESTANDAR!$B$3:$C$9,2,FALSE)</f>
        <v>#N/A</v>
      </c>
      <c r="AB419" s="128" t="str">
        <f>+MID(Tabla3[[#This Row],['# Viaje]],10,1)</f>
        <v/>
      </c>
    </row>
    <row r="420" spans="1:28" ht="15" hidden="1" customHeight="1">
      <c r="A420" s="173" t="s">
        <v>1529</v>
      </c>
      <c r="B420" s="174">
        <v>42948</v>
      </c>
      <c r="C420" s="173" t="s">
        <v>1477</v>
      </c>
      <c r="D420" s="173" t="s">
        <v>1237</v>
      </c>
      <c r="E420" s="173" t="s">
        <v>1479</v>
      </c>
      <c r="F420" s="173">
        <v>4</v>
      </c>
      <c r="G420" s="173" t="s">
        <v>74</v>
      </c>
      <c r="H420" s="173">
        <v>4</v>
      </c>
      <c r="I420" s="173" t="s">
        <v>1530</v>
      </c>
      <c r="J420" s="173" t="s">
        <v>14</v>
      </c>
      <c r="K420" s="173" t="s">
        <v>15</v>
      </c>
      <c r="L420" s="173"/>
      <c r="M420" s="173" t="s">
        <v>73</v>
      </c>
      <c r="N420" s="173">
        <v>18184960</v>
      </c>
      <c r="O420" s="175">
        <v>3360504</v>
      </c>
      <c r="P420" s="7"/>
      <c r="Q420" s="16">
        <f>+IF(IFERROR(VLOOKUP(Tabla3[[#This Row],[Cliente factura]],Tabla4[[NIT]:[TOTAL CREDITO]],3,FALSE),0)="",0,IFERROR(VLOOKUP(Tabla3[[#This Row],[Cliente factura]],Tabla4[[NIT]:[TOTAL CREDITO]],3,FALSE),0))</f>
        <v>0</v>
      </c>
      <c r="R420" s="9">
        <f>+IFERROR(VLOOKUP(Tabla3[[#This Row],[Cliente factura]],Tabla4[[NIT]:[TOTAL CREDITO]],6,FALSE),0)</f>
        <v>78989409</v>
      </c>
      <c r="S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0" s="10" t="str">
        <f>VLOOKUP(Tabla3[[#This Row],[Razón social cliente factura]]&amp;Tabla3[[#This Row],[Desc. ciudad]],'Estandar de Rutas'!$C$1:$E$553,2,FALSE)</f>
        <v>5.2.A</v>
      </c>
      <c r="U420" s="130">
        <f>IFERROR(VLOOKUP(Tabla3[[#This Row],[Referencia]]&amp;Tabla3[[#This Row],[Desc detalle ext 1]],Tabla1[[Referencia-Color]:[Disponibilidad]],3,FALSE),0)</f>
        <v>99</v>
      </c>
      <c r="V420" s="13"/>
      <c r="W420" s="17">
        <f>+Tabla3[[#This Row],[Cant. Programada]]*Tabla3[[#This Row],[Precio unit]]</f>
        <v>0</v>
      </c>
      <c r="X420" s="8"/>
      <c r="Y420" s="8"/>
      <c r="Z420" s="8" t="str">
        <f>+Tabla3[[#This Row],[Referencia]]&amp;Tabla3[[#This Row],[Desc detalle ext 1]]</f>
        <v>*CB-110                                           AZUL FIJI</v>
      </c>
      <c r="AA420" s="128" t="e">
        <f>+VLOOKUP(Tabla3[[#This Row],[CODIGO2]],ESTANDAR!$B$3:$C$9,2,FALSE)</f>
        <v>#N/A</v>
      </c>
      <c r="AB420" s="128" t="str">
        <f>+MID(Tabla3[[#This Row],['# Viaje]],10,1)</f>
        <v/>
      </c>
    </row>
    <row r="421" spans="1:28" ht="15" hidden="1" customHeight="1">
      <c r="A421" s="173" t="s">
        <v>1529</v>
      </c>
      <c r="B421" s="174">
        <v>42948</v>
      </c>
      <c r="C421" s="173" t="s">
        <v>1477</v>
      </c>
      <c r="D421" s="173" t="s">
        <v>1237</v>
      </c>
      <c r="E421" s="173" t="s">
        <v>1479</v>
      </c>
      <c r="F421" s="173">
        <v>3</v>
      </c>
      <c r="G421" s="173" t="s">
        <v>74</v>
      </c>
      <c r="H421" s="173">
        <v>3</v>
      </c>
      <c r="I421" s="173" t="s">
        <v>1530</v>
      </c>
      <c r="J421" s="173" t="s">
        <v>27</v>
      </c>
      <c r="K421" s="173" t="s">
        <v>32</v>
      </c>
      <c r="L421" s="173"/>
      <c r="M421" s="173" t="s">
        <v>73</v>
      </c>
      <c r="N421" s="173">
        <v>18184960</v>
      </c>
      <c r="O421" s="175">
        <v>5789916</v>
      </c>
      <c r="P421" s="7"/>
      <c r="Q421" s="16">
        <f>+IF(IFERROR(VLOOKUP(Tabla3[[#This Row],[Cliente factura]],Tabla4[[NIT]:[TOTAL CREDITO]],3,FALSE),0)="",0,IFERROR(VLOOKUP(Tabla3[[#This Row],[Cliente factura]],Tabla4[[NIT]:[TOTAL CREDITO]],3,FALSE),0))</f>
        <v>0</v>
      </c>
      <c r="R421" s="9">
        <f>+IFERROR(VLOOKUP(Tabla3[[#This Row],[Cliente factura]],Tabla4[[NIT]:[TOTAL CREDITO]],6,FALSE),0)</f>
        <v>78989409</v>
      </c>
      <c r="S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1" s="10" t="str">
        <f>VLOOKUP(Tabla3[[#This Row],[Razón social cliente factura]]&amp;Tabla3[[#This Row],[Desc. ciudad]],'Estandar de Rutas'!$C$1:$E$553,2,FALSE)</f>
        <v>5.2.A</v>
      </c>
      <c r="U421" s="130">
        <f>IFERROR(VLOOKUP(Tabla3[[#This Row],[Referencia]]&amp;Tabla3[[#This Row],[Desc detalle ext 1]],Tabla1[[Referencia-Color]:[Disponibilidad]],3,FALSE),0)</f>
        <v>7</v>
      </c>
      <c r="V421" s="13"/>
      <c r="W421" s="17">
        <f>+Tabla3[[#This Row],[Cant. Programada]]*Tabla3[[#This Row],[Precio unit]]</f>
        <v>0</v>
      </c>
      <c r="X421" s="8"/>
      <c r="Y421" s="8"/>
      <c r="Z421" s="8" t="str">
        <f>+Tabla3[[#This Row],[Referencia]]&amp;Tabla3[[#This Row],[Desc detalle ext 1]]</f>
        <v>*XR 150L                                          NEGRO ROJ</v>
      </c>
      <c r="AA421" s="128" t="e">
        <f>+VLOOKUP(Tabla3[[#This Row],[CODIGO2]],ESTANDAR!$B$3:$C$9,2,FALSE)</f>
        <v>#N/A</v>
      </c>
      <c r="AB421" s="128" t="str">
        <f>+MID(Tabla3[[#This Row],['# Viaje]],10,1)</f>
        <v/>
      </c>
    </row>
    <row r="422" spans="1:28" ht="15" hidden="1" customHeight="1">
      <c r="A422" s="173" t="s">
        <v>1529</v>
      </c>
      <c r="B422" s="174">
        <v>42948</v>
      </c>
      <c r="C422" s="173" t="s">
        <v>1477</v>
      </c>
      <c r="D422" s="173" t="s">
        <v>1237</v>
      </c>
      <c r="E422" s="173" t="s">
        <v>1479</v>
      </c>
      <c r="F422" s="173">
        <v>3</v>
      </c>
      <c r="G422" s="173" t="s">
        <v>74</v>
      </c>
      <c r="H422" s="173">
        <v>3</v>
      </c>
      <c r="I422" s="173" t="s">
        <v>1530</v>
      </c>
      <c r="J422" s="173" t="s">
        <v>27</v>
      </c>
      <c r="K422" s="173" t="s">
        <v>26</v>
      </c>
      <c r="L422" s="173"/>
      <c r="M422" s="173" t="s">
        <v>73</v>
      </c>
      <c r="N422" s="173">
        <v>18184960</v>
      </c>
      <c r="O422" s="175">
        <v>5789916</v>
      </c>
      <c r="P422" s="7"/>
      <c r="Q422" s="16">
        <f>+IF(IFERROR(VLOOKUP(Tabla3[[#This Row],[Cliente factura]],Tabla4[[NIT]:[TOTAL CREDITO]],3,FALSE),0)="",0,IFERROR(VLOOKUP(Tabla3[[#This Row],[Cliente factura]],Tabla4[[NIT]:[TOTAL CREDITO]],3,FALSE),0))</f>
        <v>0</v>
      </c>
      <c r="R422" s="9">
        <f>+IFERROR(VLOOKUP(Tabla3[[#This Row],[Cliente factura]],Tabla4[[NIT]:[TOTAL CREDITO]],6,FALSE),0)</f>
        <v>78989409</v>
      </c>
      <c r="S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2" s="10" t="str">
        <f>VLOOKUP(Tabla3[[#This Row],[Razón social cliente factura]]&amp;Tabla3[[#This Row],[Desc. ciudad]],'Estandar de Rutas'!$C$1:$E$553,2,FALSE)</f>
        <v>5.2.A</v>
      </c>
      <c r="U422" s="130">
        <f>IFERROR(VLOOKUP(Tabla3[[#This Row],[Referencia]]&amp;Tabla3[[#This Row],[Desc detalle ext 1]],Tabla1[[Referencia-Color]:[Disponibilidad]],3,FALSE),0)</f>
        <v>59</v>
      </c>
      <c r="V422" s="13"/>
      <c r="W422" s="17">
        <f>+Tabla3[[#This Row],[Cant. Programada]]*Tabla3[[#This Row],[Precio unit]]</f>
        <v>0</v>
      </c>
      <c r="X422" s="8"/>
      <c r="Y422" s="8"/>
      <c r="Z422" s="8" t="str">
        <f>+Tabla3[[#This Row],[Referencia]]&amp;Tabla3[[#This Row],[Desc detalle ext 1]]</f>
        <v>*XR 150L                                          NEGRO BLA</v>
      </c>
      <c r="AA422" s="128" t="e">
        <f>+VLOOKUP(Tabla3[[#This Row],[CODIGO2]],ESTANDAR!$B$3:$C$9,2,FALSE)</f>
        <v>#N/A</v>
      </c>
      <c r="AB422" s="128" t="str">
        <f>+MID(Tabla3[[#This Row],['# Viaje]],10,1)</f>
        <v/>
      </c>
    </row>
    <row r="423" spans="1:28" ht="15" hidden="1" customHeight="1">
      <c r="A423" s="173" t="s">
        <v>1529</v>
      </c>
      <c r="B423" s="174">
        <v>42948</v>
      </c>
      <c r="C423" s="173" t="s">
        <v>1477</v>
      </c>
      <c r="D423" s="173" t="s">
        <v>1237</v>
      </c>
      <c r="E423" s="173" t="s">
        <v>1479</v>
      </c>
      <c r="F423" s="173">
        <v>4</v>
      </c>
      <c r="G423" s="173" t="s">
        <v>74</v>
      </c>
      <c r="H423" s="173">
        <v>4</v>
      </c>
      <c r="I423" s="173" t="s">
        <v>1530</v>
      </c>
      <c r="J423" s="173" t="s">
        <v>27</v>
      </c>
      <c r="K423" s="173" t="s">
        <v>16</v>
      </c>
      <c r="L423" s="173"/>
      <c r="M423" s="173" t="s">
        <v>73</v>
      </c>
      <c r="N423" s="173">
        <v>18184960</v>
      </c>
      <c r="O423" s="175">
        <v>5789916</v>
      </c>
      <c r="P423" s="7"/>
      <c r="Q423" s="16">
        <f>+IF(IFERROR(VLOOKUP(Tabla3[[#This Row],[Cliente factura]],Tabla4[[NIT]:[TOTAL CREDITO]],3,FALSE),0)="",0,IFERROR(VLOOKUP(Tabla3[[#This Row],[Cliente factura]],Tabla4[[NIT]:[TOTAL CREDITO]],3,FALSE),0))</f>
        <v>0</v>
      </c>
      <c r="R423" s="9">
        <f>+IFERROR(VLOOKUP(Tabla3[[#This Row],[Cliente factura]],Tabla4[[NIT]:[TOTAL CREDITO]],6,FALSE),0)</f>
        <v>78989409</v>
      </c>
      <c r="S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3" s="10" t="str">
        <f>VLOOKUP(Tabla3[[#This Row],[Razón social cliente factura]]&amp;Tabla3[[#This Row],[Desc. ciudad]],'Estandar de Rutas'!$C$1:$E$553,2,FALSE)</f>
        <v>5.2.A</v>
      </c>
      <c r="U423" s="130">
        <f>IFERROR(VLOOKUP(Tabla3[[#This Row],[Referencia]]&amp;Tabla3[[#This Row],[Desc detalle ext 1]],Tabla1[[Referencia-Color]:[Disponibilidad]],3,FALSE),0)</f>
        <v>3</v>
      </c>
      <c r="V423" s="13"/>
      <c r="W423" s="17">
        <f>+Tabla3[[#This Row],[Cant. Programada]]*Tabla3[[#This Row],[Precio unit]]</f>
        <v>0</v>
      </c>
      <c r="X423" s="8"/>
      <c r="Y423" s="8"/>
      <c r="Z423" s="8" t="str">
        <f>+Tabla3[[#This Row],[Referencia]]&amp;Tabla3[[#This Row],[Desc detalle ext 1]]</f>
        <v xml:space="preserve">*XR 150L                                          NEGRO    </v>
      </c>
      <c r="AA423" s="128" t="e">
        <f>+VLOOKUP(Tabla3[[#This Row],[CODIGO2]],ESTANDAR!$B$3:$C$9,2,FALSE)</f>
        <v>#N/A</v>
      </c>
      <c r="AB423" s="128" t="str">
        <f>+MID(Tabla3[[#This Row],['# Viaje]],10,1)</f>
        <v/>
      </c>
    </row>
    <row r="424" spans="1:28" ht="15" hidden="1" customHeight="1">
      <c r="A424" s="173" t="s">
        <v>1529</v>
      </c>
      <c r="B424" s="174">
        <v>42948</v>
      </c>
      <c r="C424" s="173" t="s">
        <v>1477</v>
      </c>
      <c r="D424" s="173" t="s">
        <v>1237</v>
      </c>
      <c r="E424" s="173" t="s">
        <v>1479</v>
      </c>
      <c r="F424" s="173">
        <v>2</v>
      </c>
      <c r="G424" s="173" t="s">
        <v>74</v>
      </c>
      <c r="H424" s="173">
        <v>2</v>
      </c>
      <c r="I424" s="173" t="s">
        <v>1530</v>
      </c>
      <c r="J424" s="173" t="s">
        <v>25</v>
      </c>
      <c r="K424" s="173" t="s">
        <v>26</v>
      </c>
      <c r="L424" s="173"/>
      <c r="M424" s="173" t="s">
        <v>73</v>
      </c>
      <c r="N424" s="173">
        <v>18184960</v>
      </c>
      <c r="O424" s="175">
        <v>3521008</v>
      </c>
      <c r="P424" s="7"/>
      <c r="Q424" s="16">
        <f>+IF(IFERROR(VLOOKUP(Tabla3[[#This Row],[Cliente factura]],Tabla4[[NIT]:[TOTAL CREDITO]],3,FALSE),0)="",0,IFERROR(VLOOKUP(Tabla3[[#This Row],[Cliente factura]],Tabla4[[NIT]:[TOTAL CREDITO]],3,FALSE),0))</f>
        <v>0</v>
      </c>
      <c r="R424" s="9">
        <f>+IFERROR(VLOOKUP(Tabla3[[#This Row],[Cliente factura]],Tabla4[[NIT]:[TOTAL CREDITO]],6,FALSE),0)</f>
        <v>78989409</v>
      </c>
      <c r="S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4" s="10" t="str">
        <f>VLOOKUP(Tabla3[[#This Row],[Razón social cliente factura]]&amp;Tabla3[[#This Row],[Desc. ciudad]],'Estandar de Rutas'!$C$1:$E$553,2,FALSE)</f>
        <v>5.2.A</v>
      </c>
      <c r="U424" s="130">
        <f>IFERROR(VLOOKUP(Tabla3[[#This Row],[Referencia]]&amp;Tabla3[[#This Row],[Desc detalle ext 1]],Tabla1[[Referencia-Color]:[Disponibilidad]],3,FALSE),0)</f>
        <v>15</v>
      </c>
      <c r="V424" s="13"/>
      <c r="W424" s="17">
        <f>+Tabla3[[#This Row],[Cant. Programada]]*Tabla3[[#This Row],[Precio unit]]</f>
        <v>0</v>
      </c>
      <c r="X424" s="8"/>
      <c r="Y424" s="8"/>
      <c r="Z424" s="8" t="str">
        <f>+Tabla3[[#This Row],[Referencia]]&amp;Tabla3[[#This Row],[Desc detalle ext 1]]</f>
        <v>DIO 110                                           NEGRO BLA</v>
      </c>
      <c r="AA424" s="128" t="e">
        <f>+VLOOKUP(Tabla3[[#This Row],[CODIGO2]],ESTANDAR!$B$3:$C$9,2,FALSE)</f>
        <v>#N/A</v>
      </c>
      <c r="AB424" s="128" t="str">
        <f>+MID(Tabla3[[#This Row],['# Viaje]],10,1)</f>
        <v/>
      </c>
    </row>
    <row r="425" spans="1:28" ht="15" hidden="1" customHeight="1">
      <c r="A425" s="173" t="s">
        <v>1529</v>
      </c>
      <c r="B425" s="174">
        <v>42948</v>
      </c>
      <c r="C425" s="173" t="s">
        <v>1477</v>
      </c>
      <c r="D425" s="173" t="s">
        <v>1237</v>
      </c>
      <c r="E425" s="173" t="s">
        <v>1479</v>
      </c>
      <c r="F425" s="173">
        <v>1</v>
      </c>
      <c r="G425" s="173" t="s">
        <v>74</v>
      </c>
      <c r="H425" s="173">
        <v>1</v>
      </c>
      <c r="I425" s="173" t="s">
        <v>1530</v>
      </c>
      <c r="J425" s="173" t="s">
        <v>354</v>
      </c>
      <c r="K425" s="173" t="s">
        <v>355</v>
      </c>
      <c r="L425" s="173"/>
      <c r="M425" s="173" t="s">
        <v>73</v>
      </c>
      <c r="N425" s="173">
        <v>18184960</v>
      </c>
      <c r="O425" s="175">
        <v>6133613</v>
      </c>
      <c r="P425" s="7"/>
      <c r="Q425" s="16">
        <f>+IF(IFERROR(VLOOKUP(Tabla3[[#This Row],[Cliente factura]],Tabla4[[NIT]:[TOTAL CREDITO]],3,FALSE),0)="",0,IFERROR(VLOOKUP(Tabla3[[#This Row],[Cliente factura]],Tabla4[[NIT]:[TOTAL CREDITO]],3,FALSE),0))</f>
        <v>0</v>
      </c>
      <c r="R425" s="9">
        <f>+IFERROR(VLOOKUP(Tabla3[[#This Row],[Cliente factura]],Tabla4[[NIT]:[TOTAL CREDITO]],6,FALSE),0)</f>
        <v>78989409</v>
      </c>
      <c r="S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5" s="10" t="str">
        <f>VLOOKUP(Tabla3[[#This Row],[Razón social cliente factura]]&amp;Tabla3[[#This Row],[Desc. ciudad]],'Estandar de Rutas'!$C$1:$E$553,2,FALSE)</f>
        <v>5.2.A</v>
      </c>
      <c r="U425" s="130">
        <f>IFERROR(VLOOKUP(Tabla3[[#This Row],[Referencia]]&amp;Tabla3[[#This Row],[Desc detalle ext 1]],Tabla1[[Referencia-Color]:[Disponibilidad]],3,FALSE),0)</f>
        <v>0</v>
      </c>
      <c r="V425" s="13"/>
      <c r="W425" s="17">
        <f>+Tabla3[[#This Row],[Cant. Programada]]*Tabla3[[#This Row],[Precio unit]]</f>
        <v>0</v>
      </c>
      <c r="X425" s="8"/>
      <c r="Y425" s="8"/>
      <c r="Z425" s="8" t="str">
        <f>+Tabla3[[#This Row],[Referencia]]&amp;Tabla3[[#This Row],[Desc detalle ext 1]]</f>
        <v>CB 160F DLX                                       NEGRO PER</v>
      </c>
      <c r="AA425" s="128" t="e">
        <f>+VLOOKUP(Tabla3[[#This Row],[CODIGO2]],ESTANDAR!$B$3:$C$9,2,FALSE)</f>
        <v>#N/A</v>
      </c>
      <c r="AB425" s="128" t="str">
        <f>+MID(Tabla3[[#This Row],['# Viaje]],10,1)</f>
        <v/>
      </c>
    </row>
    <row r="426" spans="1:28" ht="15" hidden="1" customHeight="1">
      <c r="A426" s="173" t="s">
        <v>1529</v>
      </c>
      <c r="B426" s="174">
        <v>42948</v>
      </c>
      <c r="C426" s="173" t="s">
        <v>1477</v>
      </c>
      <c r="D426" s="173" t="s">
        <v>1237</v>
      </c>
      <c r="E426" s="173" t="s">
        <v>1479</v>
      </c>
      <c r="F426" s="173">
        <v>1</v>
      </c>
      <c r="G426" s="173" t="s">
        <v>74</v>
      </c>
      <c r="H426" s="173">
        <v>1</v>
      </c>
      <c r="I426" s="173" t="s">
        <v>1530</v>
      </c>
      <c r="J426" s="173" t="s">
        <v>354</v>
      </c>
      <c r="K426" s="173" t="s">
        <v>17</v>
      </c>
      <c r="L426" s="173"/>
      <c r="M426" s="173" t="s">
        <v>73</v>
      </c>
      <c r="N426" s="173">
        <v>18184960</v>
      </c>
      <c r="O426" s="175">
        <v>6133613</v>
      </c>
      <c r="P426" s="7"/>
      <c r="Q426" s="16">
        <f>+IF(IFERROR(VLOOKUP(Tabla3[[#This Row],[Cliente factura]],Tabla4[[NIT]:[TOTAL CREDITO]],3,FALSE),0)="",0,IFERROR(VLOOKUP(Tabla3[[#This Row],[Cliente factura]],Tabla4[[NIT]:[TOTAL CREDITO]],3,FALSE),0))</f>
        <v>0</v>
      </c>
      <c r="R426" s="9">
        <f>+IFERROR(VLOOKUP(Tabla3[[#This Row],[Cliente factura]],Tabla4[[NIT]:[TOTAL CREDITO]],6,FALSE),0)</f>
        <v>78989409</v>
      </c>
      <c r="S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6" s="10" t="str">
        <f>VLOOKUP(Tabla3[[#This Row],[Razón social cliente factura]]&amp;Tabla3[[#This Row],[Desc. ciudad]],'Estandar de Rutas'!$C$1:$E$553,2,FALSE)</f>
        <v>5.2.A</v>
      </c>
      <c r="U426" s="130">
        <f>IFERROR(VLOOKUP(Tabla3[[#This Row],[Referencia]]&amp;Tabla3[[#This Row],[Desc detalle ext 1]],Tabla1[[Referencia-Color]:[Disponibilidad]],3,FALSE),0)</f>
        <v>48</v>
      </c>
      <c r="V426" s="13"/>
      <c r="W426" s="17">
        <f>+Tabla3[[#This Row],[Cant. Programada]]*Tabla3[[#This Row],[Precio unit]]</f>
        <v>0</v>
      </c>
      <c r="X426" s="8"/>
      <c r="Y426" s="8"/>
      <c r="Z426" s="8" t="str">
        <f>+Tabla3[[#This Row],[Referencia]]&amp;Tabla3[[#This Row],[Desc detalle ext 1]]</f>
        <v>CB 160F DLX                                       ROJO SPOR</v>
      </c>
      <c r="AA426" s="128" t="e">
        <f>+VLOOKUP(Tabla3[[#This Row],[CODIGO2]],ESTANDAR!$B$3:$C$9,2,FALSE)</f>
        <v>#N/A</v>
      </c>
      <c r="AB426" s="128" t="str">
        <f>+MID(Tabla3[[#This Row],['# Viaje]],10,1)</f>
        <v/>
      </c>
    </row>
    <row r="427" spans="1:28" ht="15" hidden="1" customHeight="1">
      <c r="A427" s="173" t="s">
        <v>1529</v>
      </c>
      <c r="B427" s="174">
        <v>42948</v>
      </c>
      <c r="C427" s="173" t="s">
        <v>1477</v>
      </c>
      <c r="D427" s="173" t="s">
        <v>1237</v>
      </c>
      <c r="E427" s="173" t="s">
        <v>1479</v>
      </c>
      <c r="F427" s="173">
        <v>4</v>
      </c>
      <c r="G427" s="173" t="s">
        <v>74</v>
      </c>
      <c r="H427" s="173">
        <v>4</v>
      </c>
      <c r="I427" s="173" t="s">
        <v>1530</v>
      </c>
      <c r="J427" s="173" t="s">
        <v>1433</v>
      </c>
      <c r="K427" s="173" t="s">
        <v>1452</v>
      </c>
      <c r="L427" s="173"/>
      <c r="M427" s="173" t="s">
        <v>73</v>
      </c>
      <c r="N427" s="173">
        <v>18184960</v>
      </c>
      <c r="O427" s="175">
        <v>3521008</v>
      </c>
      <c r="P427" s="7"/>
      <c r="Q427" s="16">
        <f>+IF(IFERROR(VLOOKUP(Tabla3[[#This Row],[Cliente factura]],Tabla4[[NIT]:[TOTAL CREDITO]],3,FALSE),0)="",0,IFERROR(VLOOKUP(Tabla3[[#This Row],[Cliente factura]],Tabla4[[NIT]:[TOTAL CREDITO]],3,FALSE),0))</f>
        <v>0</v>
      </c>
      <c r="R427" s="9">
        <f>+IFERROR(VLOOKUP(Tabla3[[#This Row],[Cliente factura]],Tabla4[[NIT]:[TOTAL CREDITO]],6,FALSE),0)</f>
        <v>78989409</v>
      </c>
      <c r="S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7" s="10" t="str">
        <f>VLOOKUP(Tabla3[[#This Row],[Razón social cliente factura]]&amp;Tabla3[[#This Row],[Desc. ciudad]],'Estandar de Rutas'!$C$1:$E$553,2,FALSE)</f>
        <v>5.2.A</v>
      </c>
      <c r="U427" s="130">
        <f>IFERROR(VLOOKUP(Tabla3[[#This Row],[Referencia]]&amp;Tabla3[[#This Row],[Desc detalle ext 1]],Tabla1[[Referencia-Color]:[Disponibilidad]],3,FALSE),0)</f>
        <v>0</v>
      </c>
      <c r="V427" s="13"/>
      <c r="W427" s="17">
        <f>+Tabla3[[#This Row],[Cant. Programada]]*Tabla3[[#This Row],[Precio unit]]</f>
        <v>0</v>
      </c>
      <c r="X427" s="8"/>
      <c r="Y427" s="8"/>
      <c r="Z427" s="8" t="str">
        <f>+Tabla3[[#This Row],[Referencia]]&amp;Tabla3[[#This Row],[Desc detalle ext 1]]</f>
        <v xml:space="preserve">DIO  110                                          AZUL     </v>
      </c>
      <c r="AA427" s="128" t="e">
        <f>+VLOOKUP(Tabla3[[#This Row],[CODIGO2]],ESTANDAR!$B$3:$C$9,2,FALSE)</f>
        <v>#N/A</v>
      </c>
      <c r="AB427" s="128" t="str">
        <f>+MID(Tabla3[[#This Row],['# Viaje]],10,1)</f>
        <v/>
      </c>
    </row>
    <row r="428" spans="1:28" ht="15" hidden="1" customHeight="1">
      <c r="A428" s="173" t="s">
        <v>1529</v>
      </c>
      <c r="B428" s="174">
        <v>42948</v>
      </c>
      <c r="C428" s="173" t="s">
        <v>1477</v>
      </c>
      <c r="D428" s="173" t="s">
        <v>1237</v>
      </c>
      <c r="E428" s="173" t="s">
        <v>1479</v>
      </c>
      <c r="F428" s="173">
        <v>6</v>
      </c>
      <c r="G428" s="173" t="s">
        <v>74</v>
      </c>
      <c r="H428" s="173">
        <v>6</v>
      </c>
      <c r="I428" s="173" t="s">
        <v>1530</v>
      </c>
      <c r="J428" s="173" t="s">
        <v>1433</v>
      </c>
      <c r="K428" s="173" t="s">
        <v>1431</v>
      </c>
      <c r="L428" s="173"/>
      <c r="M428" s="173" t="s">
        <v>73</v>
      </c>
      <c r="N428" s="173">
        <v>18184960</v>
      </c>
      <c r="O428" s="175">
        <v>3521008</v>
      </c>
      <c r="P428" s="7"/>
      <c r="Q428" s="16">
        <f>+IF(IFERROR(VLOOKUP(Tabla3[[#This Row],[Cliente factura]],Tabla4[[NIT]:[TOTAL CREDITO]],3,FALSE),0)="",0,IFERROR(VLOOKUP(Tabla3[[#This Row],[Cliente factura]],Tabla4[[NIT]:[TOTAL CREDITO]],3,FALSE),0))</f>
        <v>0</v>
      </c>
      <c r="R428" s="9">
        <f>+IFERROR(VLOOKUP(Tabla3[[#This Row],[Cliente factura]],Tabla4[[NIT]:[TOTAL CREDITO]],6,FALSE),0)</f>
        <v>78989409</v>
      </c>
      <c r="S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8" s="10" t="str">
        <f>VLOOKUP(Tabla3[[#This Row],[Razón social cliente factura]]&amp;Tabla3[[#This Row],[Desc. ciudad]],'Estandar de Rutas'!$C$1:$E$553,2,FALSE)</f>
        <v>5.2.A</v>
      </c>
      <c r="U428" s="130">
        <f>IFERROR(VLOOKUP(Tabla3[[#This Row],[Referencia]]&amp;Tabla3[[#This Row],[Desc detalle ext 1]],Tabla1[[Referencia-Color]:[Disponibilidad]],3,FALSE),0)</f>
        <v>0</v>
      </c>
      <c r="V428" s="13"/>
      <c r="W428" s="17">
        <f>+Tabla3[[#This Row],[Cant. Programada]]*Tabla3[[#This Row],[Precio unit]]</f>
        <v>0</v>
      </c>
      <c r="X428" s="8"/>
      <c r="Y428" s="8"/>
      <c r="Z428" s="8" t="str">
        <f>+Tabla3[[#This Row],[Referencia]]&amp;Tabla3[[#This Row],[Desc detalle ext 1]]</f>
        <v xml:space="preserve">DIO  110                                          ROJO     </v>
      </c>
      <c r="AA428" s="128" t="e">
        <f>+VLOOKUP(Tabla3[[#This Row],[CODIGO2]],ESTANDAR!$B$3:$C$9,2,FALSE)</f>
        <v>#N/A</v>
      </c>
      <c r="AB428" s="128" t="str">
        <f>+MID(Tabla3[[#This Row],['# Viaje]],10,1)</f>
        <v/>
      </c>
    </row>
    <row r="429" spans="1:28" ht="15" hidden="1" customHeight="1">
      <c r="A429" s="173" t="s">
        <v>1529</v>
      </c>
      <c r="B429" s="174">
        <v>42948</v>
      </c>
      <c r="C429" s="173" t="s">
        <v>1477</v>
      </c>
      <c r="D429" s="173" t="s">
        <v>1237</v>
      </c>
      <c r="E429" s="173" t="s">
        <v>1479</v>
      </c>
      <c r="F429" s="173">
        <v>5</v>
      </c>
      <c r="G429" s="173" t="s">
        <v>74</v>
      </c>
      <c r="H429" s="173">
        <v>5</v>
      </c>
      <c r="I429" s="173" t="s">
        <v>1530</v>
      </c>
      <c r="J429" s="173" t="s">
        <v>1428</v>
      </c>
      <c r="K429" s="173" t="s">
        <v>32</v>
      </c>
      <c r="L429" s="173"/>
      <c r="M429" s="173" t="s">
        <v>73</v>
      </c>
      <c r="N429" s="173">
        <v>18184960</v>
      </c>
      <c r="O429" s="175">
        <v>3067227</v>
      </c>
      <c r="P429" s="7"/>
      <c r="Q429" s="16">
        <f>+IF(IFERROR(VLOOKUP(Tabla3[[#This Row],[Cliente factura]],Tabla4[[NIT]:[TOTAL CREDITO]],3,FALSE),0)="",0,IFERROR(VLOOKUP(Tabla3[[#This Row],[Cliente factura]],Tabla4[[NIT]:[TOTAL CREDITO]],3,FALSE),0))</f>
        <v>0</v>
      </c>
      <c r="R429" s="9">
        <f>+IFERROR(VLOOKUP(Tabla3[[#This Row],[Cliente factura]],Tabla4[[NIT]:[TOTAL CREDITO]],6,FALSE),0)</f>
        <v>78989409</v>
      </c>
      <c r="S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9" s="10" t="str">
        <f>VLOOKUP(Tabla3[[#This Row],[Razón social cliente factura]]&amp;Tabla3[[#This Row],[Desc. ciudad]],'Estandar de Rutas'!$C$1:$E$553,2,FALSE)</f>
        <v>5.2.A</v>
      </c>
      <c r="U429" s="130">
        <f>IFERROR(VLOOKUP(Tabla3[[#This Row],[Referencia]]&amp;Tabla3[[#This Row],[Desc detalle ext 1]],Tabla1[[Referencia-Color]:[Disponibilidad]],3,FALSE),0)</f>
        <v>0</v>
      </c>
      <c r="V429" s="13"/>
      <c r="W429" s="17">
        <f>+Tabla3[[#This Row],[Cant. Programada]]*Tabla3[[#This Row],[Precio unit]]</f>
        <v>0</v>
      </c>
      <c r="X429" s="8"/>
      <c r="Y429" s="8"/>
      <c r="Z429" s="8" t="str">
        <f>+Tabla3[[#This Row],[Referencia]]&amp;Tabla3[[#This Row],[Desc detalle ext 1]]</f>
        <v>DREAM  NEO                                        NEGRO ROJ</v>
      </c>
      <c r="AA429" s="128" t="e">
        <f>+VLOOKUP(Tabla3[[#This Row],[CODIGO2]],ESTANDAR!$B$3:$C$9,2,FALSE)</f>
        <v>#N/A</v>
      </c>
      <c r="AB429" s="128" t="str">
        <f>+MID(Tabla3[[#This Row],['# Viaje]],10,1)</f>
        <v/>
      </c>
    </row>
    <row r="430" spans="1:28" ht="15" hidden="1" customHeight="1">
      <c r="A430" s="173" t="s">
        <v>1529</v>
      </c>
      <c r="B430" s="174">
        <v>42948</v>
      </c>
      <c r="C430" s="173" t="s">
        <v>1477</v>
      </c>
      <c r="D430" s="173" t="s">
        <v>1237</v>
      </c>
      <c r="E430" s="173" t="s">
        <v>1479</v>
      </c>
      <c r="F430" s="173">
        <v>10</v>
      </c>
      <c r="G430" s="173" t="s">
        <v>74</v>
      </c>
      <c r="H430" s="173">
        <v>10</v>
      </c>
      <c r="I430" s="173" t="s">
        <v>1530</v>
      </c>
      <c r="J430" s="173" t="s">
        <v>1428</v>
      </c>
      <c r="K430" s="173" t="s">
        <v>1429</v>
      </c>
      <c r="L430" s="173"/>
      <c r="M430" s="173" t="s">
        <v>73</v>
      </c>
      <c r="N430" s="173">
        <v>18184960</v>
      </c>
      <c r="O430" s="175">
        <v>3067227</v>
      </c>
      <c r="P430" s="7"/>
      <c r="Q430" s="16">
        <f>+IF(IFERROR(VLOOKUP(Tabla3[[#This Row],[Cliente factura]],Tabla4[[NIT]:[TOTAL CREDITO]],3,FALSE),0)="",0,IFERROR(VLOOKUP(Tabla3[[#This Row],[Cliente factura]],Tabla4[[NIT]:[TOTAL CREDITO]],3,FALSE),0))</f>
        <v>0</v>
      </c>
      <c r="R430" s="9">
        <f>+IFERROR(VLOOKUP(Tabla3[[#This Row],[Cliente factura]],Tabla4[[NIT]:[TOTAL CREDITO]],6,FALSE),0)</f>
        <v>78989409</v>
      </c>
      <c r="S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0" s="10" t="str">
        <f>VLOOKUP(Tabla3[[#This Row],[Razón social cliente factura]]&amp;Tabla3[[#This Row],[Desc. ciudad]],'Estandar de Rutas'!$C$1:$E$553,2,FALSE)</f>
        <v>5.2.A</v>
      </c>
      <c r="U430" s="130">
        <f>IFERROR(VLOOKUP(Tabla3[[#This Row],[Referencia]]&amp;Tabla3[[#This Row],[Desc detalle ext 1]],Tabla1[[Referencia-Color]:[Disponibilidad]],3,FALSE),0)</f>
        <v>0</v>
      </c>
      <c r="V430" s="13"/>
      <c r="W430" s="17">
        <f>+Tabla3[[#This Row],[Cant. Programada]]*Tabla3[[#This Row],[Precio unit]]</f>
        <v>0</v>
      </c>
      <c r="X430" s="8"/>
      <c r="Y430" s="8"/>
      <c r="Z430" s="8" t="str">
        <f>+Tabla3[[#This Row],[Referencia]]&amp;Tabla3[[#This Row],[Desc detalle ext 1]]</f>
        <v>DREAM  NEO                                        NEGRO AZU</v>
      </c>
      <c r="AA430" s="128" t="e">
        <f>+VLOOKUP(Tabla3[[#This Row],[CODIGO2]],ESTANDAR!$B$3:$C$9,2,FALSE)</f>
        <v>#N/A</v>
      </c>
      <c r="AB430" s="128" t="str">
        <f>+MID(Tabla3[[#This Row],['# Viaje]],10,1)</f>
        <v/>
      </c>
    </row>
    <row r="431" spans="1:28" ht="15" hidden="1" customHeight="1">
      <c r="A431" s="173" t="s">
        <v>1529</v>
      </c>
      <c r="B431" s="174">
        <v>42948</v>
      </c>
      <c r="C431" s="173" t="s">
        <v>1477</v>
      </c>
      <c r="D431" s="173" t="s">
        <v>1237</v>
      </c>
      <c r="E431" s="173" t="s">
        <v>1479</v>
      </c>
      <c r="F431" s="173">
        <v>2</v>
      </c>
      <c r="G431" s="173" t="s">
        <v>74</v>
      </c>
      <c r="H431" s="173">
        <v>2</v>
      </c>
      <c r="I431" s="173" t="s">
        <v>1530</v>
      </c>
      <c r="J431" s="173" t="s">
        <v>1430</v>
      </c>
      <c r="K431" s="173" t="s">
        <v>1432</v>
      </c>
      <c r="L431" s="173"/>
      <c r="M431" s="173" t="s">
        <v>73</v>
      </c>
      <c r="N431" s="173">
        <v>18184960</v>
      </c>
      <c r="O431" s="175">
        <v>3941176</v>
      </c>
      <c r="P431" s="7"/>
      <c r="Q431" s="16">
        <f>+IF(IFERROR(VLOOKUP(Tabla3[[#This Row],[Cliente factura]],Tabla4[[NIT]:[TOTAL CREDITO]],3,FALSE),0)="",0,IFERROR(VLOOKUP(Tabla3[[#This Row],[Cliente factura]],Tabla4[[NIT]:[TOTAL CREDITO]],3,FALSE),0))</f>
        <v>0</v>
      </c>
      <c r="R431" s="9">
        <f>+IFERROR(VLOOKUP(Tabla3[[#This Row],[Cliente factura]],Tabla4[[NIT]:[TOTAL CREDITO]],6,FALSE),0)</f>
        <v>78989409</v>
      </c>
      <c r="S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1" s="10" t="str">
        <f>VLOOKUP(Tabla3[[#This Row],[Razón social cliente factura]]&amp;Tabla3[[#This Row],[Desc. ciudad]],'Estandar de Rutas'!$C$1:$E$553,2,FALSE)</f>
        <v>5.2.A</v>
      </c>
      <c r="U431" s="130">
        <f>IFERROR(VLOOKUP(Tabla3[[#This Row],[Referencia]]&amp;Tabla3[[#This Row],[Desc detalle ext 1]],Tabla1[[Referencia-Color]:[Disponibilidad]],3,FALSE),0)</f>
        <v>23</v>
      </c>
      <c r="V431" s="13"/>
      <c r="W431" s="17">
        <f>+Tabla3[[#This Row],[Cant. Programada]]*Tabla3[[#This Row],[Precio unit]]</f>
        <v>0</v>
      </c>
      <c r="X431" s="8"/>
      <c r="Y431" s="8"/>
      <c r="Z431" s="8" t="str">
        <f>+Tabla3[[#This Row],[Referencia]]&amp;Tabla3[[#This Row],[Desc detalle ext 1]]</f>
        <v xml:space="preserve">WAVE 110S                                         BLANCO   </v>
      </c>
      <c r="AA431" s="128" t="e">
        <f>+VLOOKUP(Tabla3[[#This Row],[CODIGO2]],ESTANDAR!$B$3:$C$9,2,FALSE)</f>
        <v>#N/A</v>
      </c>
      <c r="AB431" s="128" t="str">
        <f>+MID(Tabla3[[#This Row],['# Viaje]],10,1)</f>
        <v/>
      </c>
    </row>
    <row r="432" spans="1:28" ht="15" hidden="1" customHeight="1">
      <c r="A432" s="173" t="s">
        <v>1529</v>
      </c>
      <c r="B432" s="174">
        <v>42948</v>
      </c>
      <c r="C432" s="173" t="s">
        <v>1477</v>
      </c>
      <c r="D432" s="173" t="s">
        <v>1237</v>
      </c>
      <c r="E432" s="173" t="s">
        <v>1479</v>
      </c>
      <c r="F432" s="173">
        <v>5</v>
      </c>
      <c r="G432" s="173" t="s">
        <v>74</v>
      </c>
      <c r="H432" s="173">
        <v>5</v>
      </c>
      <c r="I432" s="173" t="s">
        <v>1530</v>
      </c>
      <c r="J432" s="173" t="s">
        <v>1430</v>
      </c>
      <c r="K432" s="173" t="s">
        <v>16</v>
      </c>
      <c r="L432" s="173"/>
      <c r="M432" s="173" t="s">
        <v>73</v>
      </c>
      <c r="N432" s="173">
        <v>18184960</v>
      </c>
      <c r="O432" s="175">
        <v>3941176</v>
      </c>
      <c r="P432" s="7"/>
      <c r="Q432" s="16">
        <f>+IF(IFERROR(VLOOKUP(Tabla3[[#This Row],[Cliente factura]],Tabla4[[NIT]:[TOTAL CREDITO]],3,FALSE),0)="",0,IFERROR(VLOOKUP(Tabla3[[#This Row],[Cliente factura]],Tabla4[[NIT]:[TOTAL CREDITO]],3,FALSE),0))</f>
        <v>0</v>
      </c>
      <c r="R432" s="9">
        <f>+IFERROR(VLOOKUP(Tabla3[[#This Row],[Cliente factura]],Tabla4[[NIT]:[TOTAL CREDITO]],6,FALSE),0)</f>
        <v>78989409</v>
      </c>
      <c r="S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2" s="10" t="str">
        <f>VLOOKUP(Tabla3[[#This Row],[Razón social cliente factura]]&amp;Tabla3[[#This Row],[Desc. ciudad]],'Estandar de Rutas'!$C$1:$E$553,2,FALSE)</f>
        <v>5.2.A</v>
      </c>
      <c r="U432" s="130">
        <f>IFERROR(VLOOKUP(Tabla3[[#This Row],[Referencia]]&amp;Tabla3[[#This Row],[Desc detalle ext 1]],Tabla1[[Referencia-Color]:[Disponibilidad]],3,FALSE),0)</f>
        <v>0</v>
      </c>
      <c r="V432" s="13"/>
      <c r="W432" s="17">
        <f>+Tabla3[[#This Row],[Cant. Programada]]*Tabla3[[#This Row],[Precio unit]]</f>
        <v>0</v>
      </c>
      <c r="X432" s="8"/>
      <c r="Y432" s="8"/>
      <c r="Z432" s="8" t="str">
        <f>+Tabla3[[#This Row],[Referencia]]&amp;Tabla3[[#This Row],[Desc detalle ext 1]]</f>
        <v xml:space="preserve">WAVE 110S                                         NEGRO    </v>
      </c>
      <c r="AA432" s="128" t="e">
        <f>+VLOOKUP(Tabla3[[#This Row],[CODIGO2]],ESTANDAR!$B$3:$C$9,2,FALSE)</f>
        <v>#N/A</v>
      </c>
      <c r="AB432" s="128" t="str">
        <f>+MID(Tabla3[[#This Row],['# Viaje]],10,1)</f>
        <v/>
      </c>
    </row>
    <row r="433" spans="1:28" ht="15" hidden="1" customHeight="1">
      <c r="A433" s="173" t="s">
        <v>1529</v>
      </c>
      <c r="B433" s="174">
        <v>42948</v>
      </c>
      <c r="C433" s="173" t="s">
        <v>1477</v>
      </c>
      <c r="D433" s="173" t="s">
        <v>1237</v>
      </c>
      <c r="E433" s="173" t="s">
        <v>1479</v>
      </c>
      <c r="F433" s="173">
        <v>6</v>
      </c>
      <c r="G433" s="173" t="s">
        <v>74</v>
      </c>
      <c r="H433" s="173">
        <v>6</v>
      </c>
      <c r="I433" s="173" t="s">
        <v>1530</v>
      </c>
      <c r="J433" s="173" t="s">
        <v>1430</v>
      </c>
      <c r="K433" s="173" t="s">
        <v>1431</v>
      </c>
      <c r="L433" s="173"/>
      <c r="M433" s="173" t="s">
        <v>73</v>
      </c>
      <c r="N433" s="173">
        <v>18184960</v>
      </c>
      <c r="O433" s="175">
        <v>3941176</v>
      </c>
      <c r="P433" s="7"/>
      <c r="Q433" s="16">
        <f>+IF(IFERROR(VLOOKUP(Tabla3[[#This Row],[Cliente factura]],Tabla4[[NIT]:[TOTAL CREDITO]],3,FALSE),0)="",0,IFERROR(VLOOKUP(Tabla3[[#This Row],[Cliente factura]],Tabla4[[NIT]:[TOTAL CREDITO]],3,FALSE),0))</f>
        <v>0</v>
      </c>
      <c r="R433" s="9">
        <f>+IFERROR(VLOOKUP(Tabla3[[#This Row],[Cliente factura]],Tabla4[[NIT]:[TOTAL CREDITO]],6,FALSE),0)</f>
        <v>78989409</v>
      </c>
      <c r="S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3" s="10" t="str">
        <f>VLOOKUP(Tabla3[[#This Row],[Razón social cliente factura]]&amp;Tabla3[[#This Row],[Desc. ciudad]],'Estandar de Rutas'!$C$1:$E$553,2,FALSE)</f>
        <v>5.2.A</v>
      </c>
      <c r="U433" s="130">
        <f>IFERROR(VLOOKUP(Tabla3[[#This Row],[Referencia]]&amp;Tabla3[[#This Row],[Desc detalle ext 1]],Tabla1[[Referencia-Color]:[Disponibilidad]],3,FALSE),0)</f>
        <v>0</v>
      </c>
      <c r="V433" s="13"/>
      <c r="W433" s="17">
        <f>+Tabla3[[#This Row],[Cant. Programada]]*Tabla3[[#This Row],[Precio unit]]</f>
        <v>0</v>
      </c>
      <c r="X433" s="8"/>
      <c r="Y433" s="8"/>
      <c r="Z433" s="8" t="str">
        <f>+Tabla3[[#This Row],[Referencia]]&amp;Tabla3[[#This Row],[Desc detalle ext 1]]</f>
        <v xml:space="preserve">WAVE 110S                                         ROJO     </v>
      </c>
      <c r="AA433" s="128" t="e">
        <f>+VLOOKUP(Tabla3[[#This Row],[CODIGO2]],ESTANDAR!$B$3:$C$9,2,FALSE)</f>
        <v>#N/A</v>
      </c>
      <c r="AB433" s="128" t="str">
        <f>+MID(Tabla3[[#This Row],['# Viaje]],10,1)</f>
        <v/>
      </c>
    </row>
    <row r="434" spans="1:28" ht="15" hidden="1" customHeight="1">
      <c r="A434" s="173" t="s">
        <v>1529</v>
      </c>
      <c r="B434" s="174">
        <v>42948</v>
      </c>
      <c r="C434" s="173" t="s">
        <v>1477</v>
      </c>
      <c r="D434" s="173" t="s">
        <v>1237</v>
      </c>
      <c r="E434" s="173" t="s">
        <v>1479</v>
      </c>
      <c r="F434" s="173">
        <v>5</v>
      </c>
      <c r="G434" s="173" t="s">
        <v>74</v>
      </c>
      <c r="H434" s="173">
        <v>5</v>
      </c>
      <c r="I434" s="173" t="s">
        <v>1530</v>
      </c>
      <c r="J434" s="173" t="s">
        <v>1451</v>
      </c>
      <c r="K434" s="173" t="s">
        <v>1431</v>
      </c>
      <c r="L434" s="173"/>
      <c r="M434" s="173" t="s">
        <v>73</v>
      </c>
      <c r="N434" s="173">
        <v>18184960</v>
      </c>
      <c r="O434" s="175">
        <v>3696639</v>
      </c>
      <c r="P434" s="7"/>
      <c r="Q434" s="16">
        <f>+IF(IFERROR(VLOOKUP(Tabla3[[#This Row],[Cliente factura]],Tabla4[[NIT]:[TOTAL CREDITO]],3,FALSE),0)="",0,IFERROR(VLOOKUP(Tabla3[[#This Row],[Cliente factura]],Tabla4[[NIT]:[TOTAL CREDITO]],3,FALSE),0))</f>
        <v>0</v>
      </c>
      <c r="R434" s="9">
        <f>+IFERROR(VLOOKUP(Tabla3[[#This Row],[Cliente factura]],Tabla4[[NIT]:[TOTAL CREDITO]],6,FALSE),0)</f>
        <v>78989409</v>
      </c>
      <c r="S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4" s="10" t="str">
        <f>VLOOKUP(Tabla3[[#This Row],[Razón social cliente factura]]&amp;Tabla3[[#This Row],[Desc. ciudad]],'Estandar de Rutas'!$C$1:$E$553,2,FALSE)</f>
        <v>5.2.A</v>
      </c>
      <c r="U434" s="130">
        <f>IFERROR(VLOOKUP(Tabla3[[#This Row],[Referencia]]&amp;Tabla3[[#This Row],[Desc detalle ext 1]],Tabla1[[Referencia-Color]:[Disponibilidad]],3,FALSE),0)</f>
        <v>21</v>
      </c>
      <c r="V434" s="13"/>
      <c r="W434" s="17">
        <f>+Tabla3[[#This Row],[Cant. Programada]]*Tabla3[[#This Row],[Precio unit]]</f>
        <v>0</v>
      </c>
      <c r="X434" s="130"/>
      <c r="Y434" s="8"/>
      <c r="Z434" s="8" t="str">
        <f>+Tabla3[[#This Row],[Referencia]]&amp;Tabla3[[#This Row],[Desc detalle ext 1]]</f>
        <v xml:space="preserve">CB 110 DLX                                        ROJO     </v>
      </c>
      <c r="AA434" s="128" t="e">
        <f>+VLOOKUP(Tabla3[[#This Row],[CODIGO2]],ESTANDAR!$B$3:$C$9,2,FALSE)</f>
        <v>#N/A</v>
      </c>
      <c r="AB434" s="128" t="str">
        <f>+MID(Tabla3[[#This Row],['# Viaje]],10,1)</f>
        <v/>
      </c>
    </row>
    <row r="435" spans="1:28" ht="15" hidden="1" customHeight="1">
      <c r="A435" s="173" t="s">
        <v>1529</v>
      </c>
      <c r="B435" s="174">
        <v>42948</v>
      </c>
      <c r="C435" s="173" t="s">
        <v>1477</v>
      </c>
      <c r="D435" s="173" t="s">
        <v>1237</v>
      </c>
      <c r="E435" s="173" t="s">
        <v>1479</v>
      </c>
      <c r="F435" s="173">
        <v>5</v>
      </c>
      <c r="G435" s="173" t="s">
        <v>74</v>
      </c>
      <c r="H435" s="173">
        <v>5</v>
      </c>
      <c r="I435" s="173" t="s">
        <v>1530</v>
      </c>
      <c r="J435" s="173" t="s">
        <v>1451</v>
      </c>
      <c r="K435" s="173" t="s">
        <v>1449</v>
      </c>
      <c r="L435" s="173"/>
      <c r="M435" s="173" t="s">
        <v>73</v>
      </c>
      <c r="N435" s="173">
        <v>18184960</v>
      </c>
      <c r="O435" s="175">
        <v>3696639</v>
      </c>
      <c r="P435" s="7"/>
      <c r="Q435" s="16">
        <f>+IF(IFERROR(VLOOKUP(Tabla3[[#This Row],[Cliente factura]],Tabla4[[NIT]:[TOTAL CREDITO]],3,FALSE),0)="",0,IFERROR(VLOOKUP(Tabla3[[#This Row],[Cliente factura]],Tabla4[[NIT]:[TOTAL CREDITO]],3,FALSE),0))</f>
        <v>0</v>
      </c>
      <c r="R435" s="9">
        <f>+IFERROR(VLOOKUP(Tabla3[[#This Row],[Cliente factura]],Tabla4[[NIT]:[TOTAL CREDITO]],6,FALSE),0)</f>
        <v>78989409</v>
      </c>
      <c r="S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5" s="10" t="str">
        <f>VLOOKUP(Tabla3[[#This Row],[Razón social cliente factura]]&amp;Tabla3[[#This Row],[Desc. ciudad]],'Estandar de Rutas'!$C$1:$E$553,2,FALSE)</f>
        <v>5.2.A</v>
      </c>
      <c r="U435" s="130">
        <f>IFERROR(VLOOKUP(Tabla3[[#This Row],[Referencia]]&amp;Tabla3[[#This Row],[Desc detalle ext 1]],Tabla1[[Referencia-Color]:[Disponibilidad]],3,FALSE),0)</f>
        <v>24</v>
      </c>
      <c r="V435" s="13"/>
      <c r="W435" s="17">
        <f>+Tabla3[[#This Row],[Cant. Programada]]*Tabla3[[#This Row],[Precio unit]]</f>
        <v>0</v>
      </c>
      <c r="X435" s="8"/>
      <c r="Y435" s="8"/>
      <c r="Z435" s="8" t="str">
        <f>+Tabla3[[#This Row],[Referencia]]&amp;Tabla3[[#This Row],[Desc detalle ext 1]]</f>
        <v xml:space="preserve">CB 110 DLX                                        GRIS     </v>
      </c>
      <c r="AA435" s="128" t="e">
        <f>+VLOOKUP(Tabla3[[#This Row],[CODIGO2]],ESTANDAR!$B$3:$C$9,2,FALSE)</f>
        <v>#N/A</v>
      </c>
      <c r="AB435" s="128" t="str">
        <f>+MID(Tabla3[[#This Row],['# Viaje]],10,1)</f>
        <v/>
      </c>
    </row>
    <row r="436" spans="1:28" ht="15" hidden="1" customHeight="1">
      <c r="A436" s="173" t="s">
        <v>1529</v>
      </c>
      <c r="B436" s="174">
        <v>42948</v>
      </c>
      <c r="C436" s="173" t="s">
        <v>1477</v>
      </c>
      <c r="D436" s="173" t="s">
        <v>1237</v>
      </c>
      <c r="E436" s="173" t="s">
        <v>1479</v>
      </c>
      <c r="F436" s="173">
        <v>8</v>
      </c>
      <c r="G436" s="173" t="s">
        <v>74</v>
      </c>
      <c r="H436" s="173">
        <v>8</v>
      </c>
      <c r="I436" s="173" t="s">
        <v>1530</v>
      </c>
      <c r="J436" s="173" t="s">
        <v>1451</v>
      </c>
      <c r="K436" s="173" t="s">
        <v>1452</v>
      </c>
      <c r="L436" s="173"/>
      <c r="M436" s="173" t="s">
        <v>73</v>
      </c>
      <c r="N436" s="173">
        <v>18184960</v>
      </c>
      <c r="O436" s="175">
        <v>3696639</v>
      </c>
      <c r="P436" s="7"/>
      <c r="Q436" s="16">
        <f>+IF(IFERROR(VLOOKUP(Tabla3[[#This Row],[Cliente factura]],Tabla4[[NIT]:[TOTAL CREDITO]],3,FALSE),0)="",0,IFERROR(VLOOKUP(Tabla3[[#This Row],[Cliente factura]],Tabla4[[NIT]:[TOTAL CREDITO]],3,FALSE),0))</f>
        <v>0</v>
      </c>
      <c r="R436" s="9">
        <f>+IFERROR(VLOOKUP(Tabla3[[#This Row],[Cliente factura]],Tabla4[[NIT]:[TOTAL CREDITO]],6,FALSE),0)</f>
        <v>78989409</v>
      </c>
      <c r="S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6" s="10" t="str">
        <f>VLOOKUP(Tabla3[[#This Row],[Razón social cliente factura]]&amp;Tabla3[[#This Row],[Desc. ciudad]],'Estandar de Rutas'!$C$1:$E$553,2,FALSE)</f>
        <v>5.2.A</v>
      </c>
      <c r="U436" s="130">
        <f>IFERROR(VLOOKUP(Tabla3[[#This Row],[Referencia]]&amp;Tabla3[[#This Row],[Desc detalle ext 1]],Tabla1[[Referencia-Color]:[Disponibilidad]],3,FALSE),0)</f>
        <v>21</v>
      </c>
      <c r="V436" s="13"/>
      <c r="W436" s="17">
        <f>+Tabla3[[#This Row],[Cant. Programada]]*Tabla3[[#This Row],[Precio unit]]</f>
        <v>0</v>
      </c>
      <c r="X436" s="8"/>
      <c r="Y436" s="8"/>
      <c r="Z436" s="8" t="str">
        <f>+Tabla3[[#This Row],[Referencia]]&amp;Tabla3[[#This Row],[Desc detalle ext 1]]</f>
        <v xml:space="preserve">CB 110 DLX                                        AZUL     </v>
      </c>
      <c r="AA436" s="128" t="e">
        <f>+VLOOKUP(Tabla3[[#This Row],[CODIGO2]],ESTANDAR!$B$3:$C$9,2,FALSE)</f>
        <v>#N/A</v>
      </c>
      <c r="AB436" s="128" t="str">
        <f>+MID(Tabla3[[#This Row],['# Viaje]],10,1)</f>
        <v/>
      </c>
    </row>
    <row r="437" spans="1:28" ht="15" hidden="1" customHeight="1">
      <c r="A437" s="173" t="s">
        <v>1529</v>
      </c>
      <c r="B437" s="174">
        <v>42948</v>
      </c>
      <c r="C437" s="173" t="s">
        <v>1477</v>
      </c>
      <c r="D437" s="173" t="s">
        <v>1237</v>
      </c>
      <c r="E437" s="173" t="s">
        <v>1479</v>
      </c>
      <c r="F437" s="173">
        <v>12</v>
      </c>
      <c r="G437" s="173" t="s">
        <v>74</v>
      </c>
      <c r="H437" s="173">
        <v>12</v>
      </c>
      <c r="I437" s="173" t="s">
        <v>1530</v>
      </c>
      <c r="J437" s="173" t="s">
        <v>1451</v>
      </c>
      <c r="K437" s="173" t="s">
        <v>16</v>
      </c>
      <c r="L437" s="173"/>
      <c r="M437" s="173" t="s">
        <v>73</v>
      </c>
      <c r="N437" s="173">
        <v>18184960</v>
      </c>
      <c r="O437" s="175">
        <v>3696639</v>
      </c>
      <c r="P437" s="7"/>
      <c r="Q437" s="16">
        <f>+IF(IFERROR(VLOOKUP(Tabla3[[#This Row],[Cliente factura]],Tabla4[[NIT]:[TOTAL CREDITO]],3,FALSE),0)="",0,IFERROR(VLOOKUP(Tabla3[[#This Row],[Cliente factura]],Tabla4[[NIT]:[TOTAL CREDITO]],3,FALSE),0))</f>
        <v>0</v>
      </c>
      <c r="R437" s="9">
        <f>+IFERROR(VLOOKUP(Tabla3[[#This Row],[Cliente factura]],Tabla4[[NIT]:[TOTAL CREDITO]],6,FALSE),0)</f>
        <v>78989409</v>
      </c>
      <c r="S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7" s="10" t="str">
        <f>VLOOKUP(Tabla3[[#This Row],[Razón social cliente factura]]&amp;Tabla3[[#This Row],[Desc. ciudad]],'Estandar de Rutas'!$C$1:$E$553,2,FALSE)</f>
        <v>5.2.A</v>
      </c>
      <c r="U437" s="130">
        <f>IFERROR(VLOOKUP(Tabla3[[#This Row],[Referencia]]&amp;Tabla3[[#This Row],[Desc detalle ext 1]],Tabla1[[Referencia-Color]:[Disponibilidad]],3,FALSE),0)</f>
        <v>3</v>
      </c>
      <c r="V437" s="13"/>
      <c r="W437" s="17">
        <f>+Tabla3[[#This Row],[Cant. Programada]]*Tabla3[[#This Row],[Precio unit]]</f>
        <v>0</v>
      </c>
      <c r="X437" s="8"/>
      <c r="Y437" s="8"/>
      <c r="Z437" s="8" t="str">
        <f>+Tabla3[[#This Row],[Referencia]]&amp;Tabla3[[#This Row],[Desc detalle ext 1]]</f>
        <v xml:space="preserve">CB 110 DLX                                        NEGRO    </v>
      </c>
      <c r="AA437" s="128" t="e">
        <f>+VLOOKUP(Tabla3[[#This Row],[CODIGO2]],ESTANDAR!$B$3:$C$9,2,FALSE)</f>
        <v>#N/A</v>
      </c>
      <c r="AB437" s="128" t="str">
        <f>+MID(Tabla3[[#This Row],['# Viaje]],10,1)</f>
        <v/>
      </c>
    </row>
    <row r="438" spans="1:28" ht="15" hidden="1" customHeight="1">
      <c r="A438" s="173" t="s">
        <v>1531</v>
      </c>
      <c r="B438" s="174">
        <v>42948</v>
      </c>
      <c r="C438" s="173" t="s">
        <v>1477</v>
      </c>
      <c r="D438" s="173" t="s">
        <v>1478</v>
      </c>
      <c r="E438" s="173" t="s">
        <v>1479</v>
      </c>
      <c r="F438" s="173">
        <v>2</v>
      </c>
      <c r="G438" s="173" t="s">
        <v>48</v>
      </c>
      <c r="H438" s="173">
        <v>2</v>
      </c>
      <c r="I438" s="173" t="s">
        <v>1532</v>
      </c>
      <c r="J438" s="173" t="s">
        <v>14</v>
      </c>
      <c r="K438" s="173" t="s">
        <v>16</v>
      </c>
      <c r="L438" s="173"/>
      <c r="M438" s="173" t="s">
        <v>123</v>
      </c>
      <c r="N438" s="173">
        <v>900330225</v>
      </c>
      <c r="O438" s="175">
        <v>3360504</v>
      </c>
      <c r="P438" s="7"/>
      <c r="Q438" s="16">
        <f>+IF(IFERROR(VLOOKUP(Tabla3[[#This Row],[Cliente factura]],Tabla4[[NIT]:[TOTAL CREDITO]],3,FALSE),0)="",0,IFERROR(VLOOKUP(Tabla3[[#This Row],[Cliente factura]],Tabla4[[NIT]:[TOTAL CREDITO]],3,FALSE),0))</f>
        <v>0</v>
      </c>
      <c r="R438" s="9">
        <f>+IFERROR(VLOOKUP(Tabla3[[#This Row],[Cliente factura]],Tabla4[[NIT]:[TOTAL CREDITO]],6,FALSE),0)</f>
        <v>0</v>
      </c>
      <c r="S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8" s="10" t="str">
        <f>VLOOKUP(Tabla3[[#This Row],[Razón social cliente factura]]&amp;Tabla3[[#This Row],[Desc. ciudad]],'Estandar de Rutas'!$C$1:$E$553,2,FALSE)</f>
        <v>4.1.B</v>
      </c>
      <c r="U438" s="130">
        <f>IFERROR(VLOOKUP(Tabla3[[#This Row],[Referencia]]&amp;Tabla3[[#This Row],[Desc detalle ext 1]],Tabla1[[Referencia-Color]:[Disponibilidad]],3,FALSE),0)</f>
        <v>83</v>
      </c>
      <c r="V438" s="13"/>
      <c r="W438" s="17">
        <f>+Tabla3[[#This Row],[Cant. Programada]]*Tabla3[[#This Row],[Precio unit]]</f>
        <v>0</v>
      </c>
      <c r="X438" s="130"/>
      <c r="Y438" s="8"/>
      <c r="Z438" s="8" t="str">
        <f>+Tabla3[[#This Row],[Referencia]]&amp;Tabla3[[#This Row],[Desc detalle ext 1]]</f>
        <v xml:space="preserve">*CB-110                                           NEGRO    </v>
      </c>
      <c r="AA438" s="128" t="e">
        <f>+VLOOKUP(Tabla3[[#This Row],[CODIGO2]],ESTANDAR!$B$3:$C$9,2,FALSE)</f>
        <v>#N/A</v>
      </c>
      <c r="AB438" s="128" t="str">
        <f>+MID(Tabla3[[#This Row],['# Viaje]],10,1)</f>
        <v/>
      </c>
    </row>
    <row r="439" spans="1:28" ht="15" hidden="1" customHeight="1">
      <c r="A439" s="173" t="s">
        <v>1531</v>
      </c>
      <c r="B439" s="174">
        <v>42948</v>
      </c>
      <c r="C439" s="173" t="s">
        <v>1477</v>
      </c>
      <c r="D439" s="173" t="s">
        <v>1478</v>
      </c>
      <c r="E439" s="173" t="s">
        <v>1479</v>
      </c>
      <c r="F439" s="173">
        <v>1</v>
      </c>
      <c r="G439" s="173" t="s">
        <v>48</v>
      </c>
      <c r="H439" s="173">
        <v>1</v>
      </c>
      <c r="I439" s="173" t="s">
        <v>1532</v>
      </c>
      <c r="J439" s="173" t="s">
        <v>27</v>
      </c>
      <c r="K439" s="173" t="s">
        <v>16</v>
      </c>
      <c r="L439" s="173"/>
      <c r="M439" s="173" t="s">
        <v>123</v>
      </c>
      <c r="N439" s="173">
        <v>900330225</v>
      </c>
      <c r="O439" s="175">
        <v>5789916</v>
      </c>
      <c r="P439" s="7"/>
      <c r="Q439" s="16">
        <f>+IF(IFERROR(VLOOKUP(Tabla3[[#This Row],[Cliente factura]],Tabla4[[NIT]:[TOTAL CREDITO]],3,FALSE),0)="",0,IFERROR(VLOOKUP(Tabla3[[#This Row],[Cliente factura]],Tabla4[[NIT]:[TOTAL CREDITO]],3,FALSE),0))</f>
        <v>0</v>
      </c>
      <c r="R439" s="9">
        <f>+IFERROR(VLOOKUP(Tabla3[[#This Row],[Cliente factura]],Tabla4[[NIT]:[TOTAL CREDITO]],6,FALSE),0)</f>
        <v>0</v>
      </c>
      <c r="S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9" s="10" t="str">
        <f>VLOOKUP(Tabla3[[#This Row],[Razón social cliente factura]]&amp;Tabla3[[#This Row],[Desc. ciudad]],'Estandar de Rutas'!$C$1:$E$553,2,FALSE)</f>
        <v>4.1.B</v>
      </c>
      <c r="U439" s="130">
        <f>IFERROR(VLOOKUP(Tabla3[[#This Row],[Referencia]]&amp;Tabla3[[#This Row],[Desc detalle ext 1]],Tabla1[[Referencia-Color]:[Disponibilidad]],3,FALSE),0)</f>
        <v>3</v>
      </c>
      <c r="V439" s="13"/>
      <c r="W439" s="17">
        <f>+Tabla3[[#This Row],[Cant. Programada]]*Tabla3[[#This Row],[Precio unit]]</f>
        <v>0</v>
      </c>
      <c r="X439" s="8"/>
      <c r="Y439" s="8"/>
      <c r="Z439" s="8" t="str">
        <f>+Tabla3[[#This Row],[Referencia]]&amp;Tabla3[[#This Row],[Desc detalle ext 1]]</f>
        <v xml:space="preserve">*XR 150L                                          NEGRO    </v>
      </c>
      <c r="AA439" s="128" t="e">
        <f>+VLOOKUP(Tabla3[[#This Row],[CODIGO2]],ESTANDAR!$B$3:$C$9,2,FALSE)</f>
        <v>#N/A</v>
      </c>
      <c r="AB439" s="128" t="str">
        <f>+MID(Tabla3[[#This Row],['# Viaje]],10,1)</f>
        <v/>
      </c>
    </row>
    <row r="440" spans="1:28" ht="15" hidden="1" customHeight="1">
      <c r="A440" s="173" t="s">
        <v>1531</v>
      </c>
      <c r="B440" s="174">
        <v>42948</v>
      </c>
      <c r="C440" s="173" t="s">
        <v>1477</v>
      </c>
      <c r="D440" s="173" t="s">
        <v>1478</v>
      </c>
      <c r="E440" s="173" t="s">
        <v>1479</v>
      </c>
      <c r="F440" s="173">
        <v>1</v>
      </c>
      <c r="G440" s="173" t="s">
        <v>48</v>
      </c>
      <c r="H440" s="173">
        <v>1</v>
      </c>
      <c r="I440" s="173" t="s">
        <v>1532</v>
      </c>
      <c r="J440" s="173" t="s">
        <v>1425</v>
      </c>
      <c r="K440" s="173" t="s">
        <v>1426</v>
      </c>
      <c r="L440" s="173"/>
      <c r="M440" s="173" t="s">
        <v>123</v>
      </c>
      <c r="N440" s="173">
        <v>900330225</v>
      </c>
      <c r="O440" s="175">
        <v>7730252</v>
      </c>
      <c r="P440" s="7"/>
      <c r="Q440" s="16">
        <f>+IF(IFERROR(VLOOKUP(Tabla3[[#This Row],[Cliente factura]],Tabla4[[NIT]:[TOTAL CREDITO]],3,FALSE),0)="",0,IFERROR(VLOOKUP(Tabla3[[#This Row],[Cliente factura]],Tabla4[[NIT]:[TOTAL CREDITO]],3,FALSE),0))</f>
        <v>0</v>
      </c>
      <c r="R440" s="9">
        <f>+IFERROR(VLOOKUP(Tabla3[[#This Row],[Cliente factura]],Tabla4[[NIT]:[TOTAL CREDITO]],6,FALSE),0)</f>
        <v>0</v>
      </c>
      <c r="S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0" s="10" t="str">
        <f>VLOOKUP(Tabla3[[#This Row],[Razón social cliente factura]]&amp;Tabla3[[#This Row],[Desc. ciudad]],'Estandar de Rutas'!$C$1:$E$553,2,FALSE)</f>
        <v>4.1.B</v>
      </c>
      <c r="U440" s="130">
        <f>IFERROR(VLOOKUP(Tabla3[[#This Row],[Referencia]]&amp;Tabla3[[#This Row],[Desc detalle ext 1]],Tabla1[[Referencia-Color]:[Disponibilidad]],3,FALSE),0)</f>
        <v>104</v>
      </c>
      <c r="V440" s="13"/>
      <c r="W440" s="17">
        <f>+Tabla3[[#This Row],[Cant. Programada]]*Tabla3[[#This Row],[Precio unit]]</f>
        <v>0</v>
      </c>
      <c r="X440" s="8"/>
      <c r="Y440" s="8"/>
      <c r="Z440" s="8" t="str">
        <f>+Tabla3[[#This Row],[Referencia]]&amp;Tabla3[[#This Row],[Desc detalle ext 1]]</f>
        <v>CB 190 REPSOL                                     NARANJA B</v>
      </c>
      <c r="AA440" s="128" t="e">
        <f>+VLOOKUP(Tabla3[[#This Row],[CODIGO2]],ESTANDAR!$B$3:$C$9,2,FALSE)</f>
        <v>#N/A</v>
      </c>
      <c r="AB440" s="128" t="str">
        <f>+MID(Tabla3[[#This Row],['# Viaje]],10,1)</f>
        <v/>
      </c>
    </row>
    <row r="441" spans="1:28" ht="15" hidden="1" customHeight="1">
      <c r="A441" s="173" t="s">
        <v>1531</v>
      </c>
      <c r="B441" s="174">
        <v>42948</v>
      </c>
      <c r="C441" s="173" t="s">
        <v>1477</v>
      </c>
      <c r="D441" s="173" t="s">
        <v>1478</v>
      </c>
      <c r="E441" s="173" t="s">
        <v>1479</v>
      </c>
      <c r="F441" s="173">
        <v>1</v>
      </c>
      <c r="G441" s="173" t="s">
        <v>48</v>
      </c>
      <c r="H441" s="173">
        <v>1</v>
      </c>
      <c r="I441" s="173" t="s">
        <v>1532</v>
      </c>
      <c r="J441" s="173" t="s">
        <v>354</v>
      </c>
      <c r="K441" s="173" t="s">
        <v>355</v>
      </c>
      <c r="L441" s="173"/>
      <c r="M441" s="173" t="s">
        <v>123</v>
      </c>
      <c r="N441" s="173">
        <v>900330225</v>
      </c>
      <c r="O441" s="175">
        <v>6133613</v>
      </c>
      <c r="P441" s="7"/>
      <c r="Q441" s="16">
        <f>+IF(IFERROR(VLOOKUP(Tabla3[[#This Row],[Cliente factura]],Tabla4[[NIT]:[TOTAL CREDITO]],3,FALSE),0)="",0,IFERROR(VLOOKUP(Tabla3[[#This Row],[Cliente factura]],Tabla4[[NIT]:[TOTAL CREDITO]],3,FALSE),0))</f>
        <v>0</v>
      </c>
      <c r="R441" s="9">
        <f>+IFERROR(VLOOKUP(Tabla3[[#This Row],[Cliente factura]],Tabla4[[NIT]:[TOTAL CREDITO]],6,FALSE),0)</f>
        <v>0</v>
      </c>
      <c r="S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1" s="10" t="str">
        <f>VLOOKUP(Tabla3[[#This Row],[Razón social cliente factura]]&amp;Tabla3[[#This Row],[Desc. ciudad]],'Estandar de Rutas'!$C$1:$E$553,2,FALSE)</f>
        <v>4.1.B</v>
      </c>
      <c r="U441" s="130">
        <f>IFERROR(VLOOKUP(Tabla3[[#This Row],[Referencia]]&amp;Tabla3[[#This Row],[Desc detalle ext 1]],Tabla1[[Referencia-Color]:[Disponibilidad]],3,FALSE),0)</f>
        <v>0</v>
      </c>
      <c r="V441" s="13"/>
      <c r="W441" s="17">
        <f>+Tabla3[[#This Row],[Cant. Programada]]*Tabla3[[#This Row],[Precio unit]]</f>
        <v>0</v>
      </c>
      <c r="X441" s="130"/>
      <c r="Y441" s="8"/>
      <c r="Z441" s="8" t="str">
        <f>+Tabla3[[#This Row],[Referencia]]&amp;Tabla3[[#This Row],[Desc detalle ext 1]]</f>
        <v>CB 160F DLX                                       NEGRO PER</v>
      </c>
      <c r="AA441" s="128" t="e">
        <f>+VLOOKUP(Tabla3[[#This Row],[CODIGO2]],ESTANDAR!$B$3:$C$9,2,FALSE)</f>
        <v>#N/A</v>
      </c>
      <c r="AB441" s="128" t="str">
        <f>+MID(Tabla3[[#This Row],['# Viaje]],10,1)</f>
        <v/>
      </c>
    </row>
    <row r="442" spans="1:28" ht="15" hidden="1" customHeight="1">
      <c r="A442" s="173" t="s">
        <v>1531</v>
      </c>
      <c r="B442" s="174">
        <v>42948</v>
      </c>
      <c r="C442" s="173" t="s">
        <v>1477</v>
      </c>
      <c r="D442" s="173" t="s">
        <v>1478</v>
      </c>
      <c r="E442" s="173" t="s">
        <v>1479</v>
      </c>
      <c r="F442" s="173">
        <v>1</v>
      </c>
      <c r="G442" s="173" t="s">
        <v>48</v>
      </c>
      <c r="H442" s="173">
        <v>1</v>
      </c>
      <c r="I442" s="173" t="s">
        <v>1532</v>
      </c>
      <c r="J442" s="173" t="s">
        <v>1428</v>
      </c>
      <c r="K442" s="173" t="s">
        <v>1429</v>
      </c>
      <c r="L442" s="173"/>
      <c r="M442" s="173" t="s">
        <v>123</v>
      </c>
      <c r="N442" s="173">
        <v>900330225</v>
      </c>
      <c r="O442" s="175">
        <v>3067227</v>
      </c>
      <c r="P442" s="7"/>
      <c r="Q442" s="16">
        <f>+IF(IFERROR(VLOOKUP(Tabla3[[#This Row],[Cliente factura]],Tabla4[[NIT]:[TOTAL CREDITO]],3,FALSE),0)="",0,IFERROR(VLOOKUP(Tabla3[[#This Row],[Cliente factura]],Tabla4[[NIT]:[TOTAL CREDITO]],3,FALSE),0))</f>
        <v>0</v>
      </c>
      <c r="R442" s="9">
        <f>+IFERROR(VLOOKUP(Tabla3[[#This Row],[Cliente factura]],Tabla4[[NIT]:[TOTAL CREDITO]],6,FALSE),0)</f>
        <v>0</v>
      </c>
      <c r="S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2" s="10" t="str">
        <f>VLOOKUP(Tabla3[[#This Row],[Razón social cliente factura]]&amp;Tabla3[[#This Row],[Desc. ciudad]],'Estandar de Rutas'!$C$1:$E$553,2,FALSE)</f>
        <v>4.1.B</v>
      </c>
      <c r="U442" s="130">
        <f>IFERROR(VLOOKUP(Tabla3[[#This Row],[Referencia]]&amp;Tabla3[[#This Row],[Desc detalle ext 1]],Tabla1[[Referencia-Color]:[Disponibilidad]],3,FALSE),0)</f>
        <v>0</v>
      </c>
      <c r="V442" s="13"/>
      <c r="W442" s="17">
        <f>+Tabla3[[#This Row],[Cant. Programada]]*Tabla3[[#This Row],[Precio unit]]</f>
        <v>0</v>
      </c>
      <c r="X442" s="130"/>
      <c r="Y442" s="8"/>
      <c r="Z442" s="8" t="str">
        <f>+Tabla3[[#This Row],[Referencia]]&amp;Tabla3[[#This Row],[Desc detalle ext 1]]</f>
        <v>DREAM  NEO                                        NEGRO AZU</v>
      </c>
      <c r="AA442" s="128" t="e">
        <f>+VLOOKUP(Tabla3[[#This Row],[CODIGO2]],ESTANDAR!$B$3:$C$9,2,FALSE)</f>
        <v>#N/A</v>
      </c>
      <c r="AB442" s="128" t="str">
        <f>+MID(Tabla3[[#This Row],['# Viaje]],10,1)</f>
        <v/>
      </c>
    </row>
    <row r="443" spans="1:28" ht="15" hidden="1" customHeight="1">
      <c r="A443" s="173" t="s">
        <v>1531</v>
      </c>
      <c r="B443" s="174">
        <v>42948</v>
      </c>
      <c r="C443" s="173" t="s">
        <v>1477</v>
      </c>
      <c r="D443" s="173" t="s">
        <v>1478</v>
      </c>
      <c r="E443" s="173" t="s">
        <v>1479</v>
      </c>
      <c r="F443" s="173">
        <v>1</v>
      </c>
      <c r="G443" s="173" t="s">
        <v>48</v>
      </c>
      <c r="H443" s="173">
        <v>1</v>
      </c>
      <c r="I443" s="173" t="s">
        <v>1532</v>
      </c>
      <c r="J443" s="173" t="s">
        <v>1430</v>
      </c>
      <c r="K443" s="173" t="s">
        <v>16</v>
      </c>
      <c r="L443" s="173"/>
      <c r="M443" s="173" t="s">
        <v>123</v>
      </c>
      <c r="N443" s="173">
        <v>900330225</v>
      </c>
      <c r="O443" s="175">
        <v>3941176</v>
      </c>
      <c r="P443" s="7"/>
      <c r="Q443" s="16">
        <f>+IF(IFERROR(VLOOKUP(Tabla3[[#This Row],[Cliente factura]],Tabla4[[NIT]:[TOTAL CREDITO]],3,FALSE),0)="",0,IFERROR(VLOOKUP(Tabla3[[#This Row],[Cliente factura]],Tabla4[[NIT]:[TOTAL CREDITO]],3,FALSE),0))</f>
        <v>0</v>
      </c>
      <c r="R443" s="9">
        <f>+IFERROR(VLOOKUP(Tabla3[[#This Row],[Cliente factura]],Tabla4[[NIT]:[TOTAL CREDITO]],6,FALSE),0)</f>
        <v>0</v>
      </c>
      <c r="S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3" s="10" t="str">
        <f>VLOOKUP(Tabla3[[#This Row],[Razón social cliente factura]]&amp;Tabla3[[#This Row],[Desc. ciudad]],'Estandar de Rutas'!$C$1:$E$553,2,FALSE)</f>
        <v>4.1.B</v>
      </c>
      <c r="U443" s="130">
        <f>IFERROR(VLOOKUP(Tabla3[[#This Row],[Referencia]]&amp;Tabla3[[#This Row],[Desc detalle ext 1]],Tabla1[[Referencia-Color]:[Disponibilidad]],3,FALSE),0)</f>
        <v>0</v>
      </c>
      <c r="V443" s="13"/>
      <c r="W443" s="17">
        <f>+Tabla3[[#This Row],[Cant. Programada]]*Tabla3[[#This Row],[Precio unit]]</f>
        <v>0</v>
      </c>
      <c r="X443" s="8"/>
      <c r="Y443" s="8"/>
      <c r="Z443" s="8" t="str">
        <f>+Tabla3[[#This Row],[Referencia]]&amp;Tabla3[[#This Row],[Desc detalle ext 1]]</f>
        <v xml:space="preserve">WAVE 110S                                         NEGRO    </v>
      </c>
      <c r="AA443" s="128" t="e">
        <f>+VLOOKUP(Tabla3[[#This Row],[CODIGO2]],ESTANDAR!$B$3:$C$9,2,FALSE)</f>
        <v>#N/A</v>
      </c>
      <c r="AB443" s="128" t="str">
        <f>+MID(Tabla3[[#This Row],['# Viaje]],10,1)</f>
        <v/>
      </c>
    </row>
    <row r="444" spans="1:28" ht="15" hidden="1" customHeight="1">
      <c r="A444" s="173" t="s">
        <v>1531</v>
      </c>
      <c r="B444" s="174">
        <v>42948</v>
      </c>
      <c r="C444" s="173" t="s">
        <v>1477</v>
      </c>
      <c r="D444" s="173" t="s">
        <v>1478</v>
      </c>
      <c r="E444" s="173" t="s">
        <v>1479</v>
      </c>
      <c r="F444" s="173">
        <v>1</v>
      </c>
      <c r="G444" s="173" t="s">
        <v>48</v>
      </c>
      <c r="H444" s="173">
        <v>1</v>
      </c>
      <c r="I444" s="173" t="s">
        <v>1532</v>
      </c>
      <c r="J444" s="173" t="s">
        <v>1234</v>
      </c>
      <c r="K444" s="173" t="s">
        <v>355</v>
      </c>
      <c r="L444" s="173"/>
      <c r="M444" s="173" t="s">
        <v>123</v>
      </c>
      <c r="N444" s="173">
        <v>900330225</v>
      </c>
      <c r="O444" s="175">
        <v>5453782</v>
      </c>
      <c r="P444" s="7"/>
      <c r="Q444" s="16">
        <f>+IF(IFERROR(VLOOKUP(Tabla3[[#This Row],[Cliente factura]],Tabla4[[NIT]:[TOTAL CREDITO]],3,FALSE),0)="",0,IFERROR(VLOOKUP(Tabla3[[#This Row],[Cliente factura]],Tabla4[[NIT]:[TOTAL CREDITO]],3,FALSE),0))</f>
        <v>0</v>
      </c>
      <c r="R444" s="9">
        <f>+IFERROR(VLOOKUP(Tabla3[[#This Row],[Cliente factura]],Tabla4[[NIT]:[TOTAL CREDITO]],6,FALSE),0)</f>
        <v>0</v>
      </c>
      <c r="S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4" s="10" t="str">
        <f>VLOOKUP(Tabla3[[#This Row],[Razón social cliente factura]]&amp;Tabla3[[#This Row],[Desc. ciudad]],'Estandar de Rutas'!$C$1:$E$553,2,FALSE)</f>
        <v>4.1.B</v>
      </c>
      <c r="U444" s="130">
        <f>IFERROR(VLOOKUP(Tabla3[[#This Row],[Referencia]]&amp;Tabla3[[#This Row],[Desc detalle ext 1]],Tabla1[[Referencia-Color]:[Disponibilidad]],3,FALSE),0)</f>
        <v>0</v>
      </c>
      <c r="V444" s="13"/>
      <c r="W444" s="17">
        <f>+Tabla3[[#This Row],[Cant. Programada]]*Tabla3[[#This Row],[Precio unit]]</f>
        <v>0</v>
      </c>
      <c r="X444" s="130"/>
      <c r="Y444" s="8"/>
      <c r="Z444" s="8" t="str">
        <f>+Tabla3[[#This Row],[Referencia]]&amp;Tabla3[[#This Row],[Desc detalle ext 1]]</f>
        <v>CB 160F STD                                       NEGRO PER</v>
      </c>
      <c r="AA444" s="128" t="e">
        <f>+VLOOKUP(Tabla3[[#This Row],[CODIGO2]],ESTANDAR!$B$3:$C$9,2,FALSE)</f>
        <v>#N/A</v>
      </c>
      <c r="AB444" s="128" t="str">
        <f>+MID(Tabla3[[#This Row],['# Viaje]],10,1)</f>
        <v/>
      </c>
    </row>
    <row r="445" spans="1:28" ht="15" hidden="1" customHeight="1">
      <c r="A445" s="173" t="s">
        <v>1531</v>
      </c>
      <c r="B445" s="174">
        <v>42948</v>
      </c>
      <c r="C445" s="173" t="s">
        <v>1477</v>
      </c>
      <c r="D445" s="173" t="s">
        <v>1478</v>
      </c>
      <c r="E445" s="173" t="s">
        <v>1479</v>
      </c>
      <c r="F445" s="173">
        <v>1</v>
      </c>
      <c r="G445" s="173" t="s">
        <v>48</v>
      </c>
      <c r="H445" s="173">
        <v>1</v>
      </c>
      <c r="I445" s="173" t="s">
        <v>1532</v>
      </c>
      <c r="J445" s="173" t="s">
        <v>1451</v>
      </c>
      <c r="K445" s="173" t="s">
        <v>16</v>
      </c>
      <c r="L445" s="173"/>
      <c r="M445" s="173" t="s">
        <v>123</v>
      </c>
      <c r="N445" s="173">
        <v>900330225</v>
      </c>
      <c r="O445" s="175">
        <v>3696639</v>
      </c>
      <c r="P445" s="7"/>
      <c r="Q445" s="16">
        <f>+IF(IFERROR(VLOOKUP(Tabla3[[#This Row],[Cliente factura]],Tabla4[[NIT]:[TOTAL CREDITO]],3,FALSE),0)="",0,IFERROR(VLOOKUP(Tabla3[[#This Row],[Cliente factura]],Tabla4[[NIT]:[TOTAL CREDITO]],3,FALSE),0))</f>
        <v>0</v>
      </c>
      <c r="R445" s="9">
        <f>+IFERROR(VLOOKUP(Tabla3[[#This Row],[Cliente factura]],Tabla4[[NIT]:[TOTAL CREDITO]],6,FALSE),0)</f>
        <v>0</v>
      </c>
      <c r="S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5" s="10" t="str">
        <f>VLOOKUP(Tabla3[[#This Row],[Razón social cliente factura]]&amp;Tabla3[[#This Row],[Desc. ciudad]],'Estandar de Rutas'!$C$1:$E$553,2,FALSE)</f>
        <v>4.1.B</v>
      </c>
      <c r="U445" s="130">
        <f>IFERROR(VLOOKUP(Tabla3[[#This Row],[Referencia]]&amp;Tabla3[[#This Row],[Desc detalle ext 1]],Tabla1[[Referencia-Color]:[Disponibilidad]],3,FALSE),0)</f>
        <v>3</v>
      </c>
      <c r="V445" s="13"/>
      <c r="W445" s="17">
        <f>+Tabla3[[#This Row],[Cant. Programada]]*Tabla3[[#This Row],[Precio unit]]</f>
        <v>0</v>
      </c>
      <c r="X445" s="130"/>
      <c r="Y445" s="8"/>
      <c r="Z445" s="8" t="str">
        <f>+Tabla3[[#This Row],[Referencia]]&amp;Tabla3[[#This Row],[Desc detalle ext 1]]</f>
        <v xml:space="preserve">CB 110 DLX                                        NEGRO    </v>
      </c>
      <c r="AA445" s="128" t="e">
        <f>+VLOOKUP(Tabla3[[#This Row],[CODIGO2]],ESTANDAR!$B$3:$C$9,2,FALSE)</f>
        <v>#N/A</v>
      </c>
      <c r="AB445" s="128" t="str">
        <f>+MID(Tabla3[[#This Row],['# Viaje]],10,1)</f>
        <v/>
      </c>
    </row>
    <row r="446" spans="1:28" ht="15" hidden="1" customHeight="1">
      <c r="A446" s="173" t="s">
        <v>1533</v>
      </c>
      <c r="B446" s="174">
        <v>42948</v>
      </c>
      <c r="C446" s="173" t="s">
        <v>1231</v>
      </c>
      <c r="D446" s="173" t="s">
        <v>1478</v>
      </c>
      <c r="E446" s="173" t="s">
        <v>1479</v>
      </c>
      <c r="F446" s="173">
        <v>1</v>
      </c>
      <c r="G446" s="173" t="s">
        <v>48</v>
      </c>
      <c r="H446" s="173">
        <v>1</v>
      </c>
      <c r="I446" s="173" t="s">
        <v>1534</v>
      </c>
      <c r="J446" s="173" t="s">
        <v>14</v>
      </c>
      <c r="K446" s="173" t="s">
        <v>16</v>
      </c>
      <c r="L446" s="173"/>
      <c r="M446" s="173" t="s">
        <v>124</v>
      </c>
      <c r="N446" s="173">
        <v>900330225</v>
      </c>
      <c r="O446" s="175">
        <v>3360504</v>
      </c>
      <c r="P446" s="7"/>
      <c r="Q446" s="16">
        <f>+IF(IFERROR(VLOOKUP(Tabla3[[#This Row],[Cliente factura]],Tabla4[[NIT]:[TOTAL CREDITO]],3,FALSE),0)="",0,IFERROR(VLOOKUP(Tabla3[[#This Row],[Cliente factura]],Tabla4[[NIT]:[TOTAL CREDITO]],3,FALSE),0))</f>
        <v>0</v>
      </c>
      <c r="R446" s="9">
        <f>+IFERROR(VLOOKUP(Tabla3[[#This Row],[Cliente factura]],Tabla4[[NIT]:[TOTAL CREDITO]],6,FALSE),0)</f>
        <v>0</v>
      </c>
      <c r="S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6" s="10" t="str">
        <f>VLOOKUP(Tabla3[[#This Row],[Razón social cliente factura]]&amp;Tabla3[[#This Row],[Desc. ciudad]],'Estandar de Rutas'!$C$1:$E$553,2,FALSE)</f>
        <v>4.1.A</v>
      </c>
      <c r="U446" s="130">
        <f>IFERROR(VLOOKUP(Tabla3[[#This Row],[Referencia]]&amp;Tabla3[[#This Row],[Desc detalle ext 1]],Tabla1[[Referencia-Color]:[Disponibilidad]],3,FALSE),0)</f>
        <v>83</v>
      </c>
      <c r="V446" s="13"/>
      <c r="W446" s="17">
        <f>+Tabla3[[#This Row],[Cant. Programada]]*Tabla3[[#This Row],[Precio unit]]</f>
        <v>0</v>
      </c>
      <c r="X446" s="8"/>
      <c r="Y446" s="8"/>
      <c r="Z446" s="8" t="str">
        <f>+Tabla3[[#This Row],[Referencia]]&amp;Tabla3[[#This Row],[Desc detalle ext 1]]</f>
        <v xml:space="preserve">*CB-110                                           NEGRO    </v>
      </c>
      <c r="AA446" s="128" t="e">
        <f>+VLOOKUP(Tabla3[[#This Row],[CODIGO2]],ESTANDAR!$B$3:$C$9,2,FALSE)</f>
        <v>#N/A</v>
      </c>
      <c r="AB446" s="128" t="str">
        <f>+MID(Tabla3[[#This Row],['# Viaje]],10,1)</f>
        <v/>
      </c>
    </row>
    <row r="447" spans="1:28" ht="15" hidden="1" customHeight="1">
      <c r="A447" s="173" t="s">
        <v>1533</v>
      </c>
      <c r="B447" s="174">
        <v>42948</v>
      </c>
      <c r="C447" s="173" t="s">
        <v>1231</v>
      </c>
      <c r="D447" s="173" t="s">
        <v>1478</v>
      </c>
      <c r="E447" s="173" t="s">
        <v>1479</v>
      </c>
      <c r="F447" s="173">
        <v>1</v>
      </c>
      <c r="G447" s="173" t="s">
        <v>48</v>
      </c>
      <c r="H447" s="173">
        <v>1</v>
      </c>
      <c r="I447" s="173" t="s">
        <v>1534</v>
      </c>
      <c r="J447" s="173" t="s">
        <v>25</v>
      </c>
      <c r="K447" s="173" t="s">
        <v>26</v>
      </c>
      <c r="L447" s="173"/>
      <c r="M447" s="173" t="s">
        <v>124</v>
      </c>
      <c r="N447" s="173">
        <v>900330225</v>
      </c>
      <c r="O447" s="175">
        <v>3521008</v>
      </c>
      <c r="P447" s="7"/>
      <c r="Q447" s="16">
        <f>+IF(IFERROR(VLOOKUP(Tabla3[[#This Row],[Cliente factura]],Tabla4[[NIT]:[TOTAL CREDITO]],3,FALSE),0)="",0,IFERROR(VLOOKUP(Tabla3[[#This Row],[Cliente factura]],Tabla4[[NIT]:[TOTAL CREDITO]],3,FALSE),0))</f>
        <v>0</v>
      </c>
      <c r="R447" s="9">
        <f>+IFERROR(VLOOKUP(Tabla3[[#This Row],[Cliente factura]],Tabla4[[NIT]:[TOTAL CREDITO]],6,FALSE),0)</f>
        <v>0</v>
      </c>
      <c r="S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7" s="10" t="str">
        <f>VLOOKUP(Tabla3[[#This Row],[Razón social cliente factura]]&amp;Tabla3[[#This Row],[Desc. ciudad]],'Estandar de Rutas'!$C$1:$E$553,2,FALSE)</f>
        <v>4.1.A</v>
      </c>
      <c r="U447" s="130">
        <f>IFERROR(VLOOKUP(Tabla3[[#This Row],[Referencia]]&amp;Tabla3[[#This Row],[Desc detalle ext 1]],Tabla1[[Referencia-Color]:[Disponibilidad]],3,FALSE),0)</f>
        <v>15</v>
      </c>
      <c r="V447" s="13"/>
      <c r="W447" s="17">
        <f>+Tabla3[[#This Row],[Cant. Programada]]*Tabla3[[#This Row],[Precio unit]]</f>
        <v>0</v>
      </c>
      <c r="X447" s="130"/>
      <c r="Y447" s="8"/>
      <c r="Z447" s="8" t="str">
        <f>+Tabla3[[#This Row],[Referencia]]&amp;Tabla3[[#This Row],[Desc detalle ext 1]]</f>
        <v>DIO 110                                           NEGRO BLA</v>
      </c>
      <c r="AA447" s="128" t="e">
        <f>+VLOOKUP(Tabla3[[#This Row],[CODIGO2]],ESTANDAR!$B$3:$C$9,2,FALSE)</f>
        <v>#N/A</v>
      </c>
      <c r="AB447" s="128" t="str">
        <f>+MID(Tabla3[[#This Row],['# Viaje]],10,1)</f>
        <v/>
      </c>
    </row>
    <row r="448" spans="1:28" ht="15" hidden="1" customHeight="1">
      <c r="A448" s="173" t="s">
        <v>1533</v>
      </c>
      <c r="B448" s="174">
        <v>42948</v>
      </c>
      <c r="C448" s="173" t="s">
        <v>1231</v>
      </c>
      <c r="D448" s="173" t="s">
        <v>1478</v>
      </c>
      <c r="E448" s="173" t="s">
        <v>1479</v>
      </c>
      <c r="F448" s="173">
        <v>1</v>
      </c>
      <c r="G448" s="173" t="s">
        <v>48</v>
      </c>
      <c r="H448" s="173">
        <v>1</v>
      </c>
      <c r="I448" s="173" t="s">
        <v>1534</v>
      </c>
      <c r="J448" s="173" t="s">
        <v>1425</v>
      </c>
      <c r="K448" s="173" t="s">
        <v>1426</v>
      </c>
      <c r="L448" s="173"/>
      <c r="M448" s="173" t="s">
        <v>124</v>
      </c>
      <c r="N448" s="173">
        <v>900330225</v>
      </c>
      <c r="O448" s="175">
        <v>7730252</v>
      </c>
      <c r="P448" s="7"/>
      <c r="Q448" s="16">
        <f>+IF(IFERROR(VLOOKUP(Tabla3[[#This Row],[Cliente factura]],Tabla4[[NIT]:[TOTAL CREDITO]],3,FALSE),0)="",0,IFERROR(VLOOKUP(Tabla3[[#This Row],[Cliente factura]],Tabla4[[NIT]:[TOTAL CREDITO]],3,FALSE),0))</f>
        <v>0</v>
      </c>
      <c r="R448" s="9">
        <f>+IFERROR(VLOOKUP(Tabla3[[#This Row],[Cliente factura]],Tabla4[[NIT]:[TOTAL CREDITO]],6,FALSE),0)</f>
        <v>0</v>
      </c>
      <c r="S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8" s="10" t="str">
        <f>VLOOKUP(Tabla3[[#This Row],[Razón social cliente factura]]&amp;Tabla3[[#This Row],[Desc. ciudad]],'Estandar de Rutas'!$C$1:$E$553,2,FALSE)</f>
        <v>4.1.A</v>
      </c>
      <c r="U448" s="130">
        <f>IFERROR(VLOOKUP(Tabla3[[#This Row],[Referencia]]&amp;Tabla3[[#This Row],[Desc detalle ext 1]],Tabla1[[Referencia-Color]:[Disponibilidad]],3,FALSE),0)</f>
        <v>104</v>
      </c>
      <c r="V448" s="13"/>
      <c r="W448" s="17">
        <f>+Tabla3[[#This Row],[Cant. Programada]]*Tabla3[[#This Row],[Precio unit]]</f>
        <v>0</v>
      </c>
      <c r="X448" s="130"/>
      <c r="Y448" s="8"/>
      <c r="Z448" s="8" t="str">
        <f>+Tabla3[[#This Row],[Referencia]]&amp;Tabla3[[#This Row],[Desc detalle ext 1]]</f>
        <v>CB 190 REPSOL                                     NARANJA B</v>
      </c>
      <c r="AA448" s="128" t="e">
        <f>+VLOOKUP(Tabla3[[#This Row],[CODIGO2]],ESTANDAR!$B$3:$C$9,2,FALSE)</f>
        <v>#N/A</v>
      </c>
      <c r="AB448" s="128" t="str">
        <f>+MID(Tabla3[[#This Row],['# Viaje]],10,1)</f>
        <v/>
      </c>
    </row>
    <row r="449" spans="1:28" ht="15" hidden="1" customHeight="1">
      <c r="A449" s="173" t="s">
        <v>1533</v>
      </c>
      <c r="B449" s="174">
        <v>42948</v>
      </c>
      <c r="C449" s="173" t="s">
        <v>1231</v>
      </c>
      <c r="D449" s="173" t="s">
        <v>1478</v>
      </c>
      <c r="E449" s="173" t="s">
        <v>1479</v>
      </c>
      <c r="F449" s="173">
        <v>1</v>
      </c>
      <c r="G449" s="173" t="s">
        <v>48</v>
      </c>
      <c r="H449" s="173">
        <v>1</v>
      </c>
      <c r="I449" s="173" t="s">
        <v>1534</v>
      </c>
      <c r="J449" s="173" t="s">
        <v>354</v>
      </c>
      <c r="K449" s="173" t="s">
        <v>355</v>
      </c>
      <c r="L449" s="173"/>
      <c r="M449" s="173" t="s">
        <v>124</v>
      </c>
      <c r="N449" s="173">
        <v>900330225</v>
      </c>
      <c r="O449" s="175">
        <v>6133613</v>
      </c>
      <c r="P449" s="7"/>
      <c r="Q449" s="16">
        <f>+IF(IFERROR(VLOOKUP(Tabla3[[#This Row],[Cliente factura]],Tabla4[[NIT]:[TOTAL CREDITO]],3,FALSE),0)="",0,IFERROR(VLOOKUP(Tabla3[[#This Row],[Cliente factura]],Tabla4[[NIT]:[TOTAL CREDITO]],3,FALSE),0))</f>
        <v>0</v>
      </c>
      <c r="R449" s="9">
        <f>+IFERROR(VLOOKUP(Tabla3[[#This Row],[Cliente factura]],Tabla4[[NIT]:[TOTAL CREDITO]],6,FALSE),0)</f>
        <v>0</v>
      </c>
      <c r="S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9" s="10" t="str">
        <f>VLOOKUP(Tabla3[[#This Row],[Razón social cliente factura]]&amp;Tabla3[[#This Row],[Desc. ciudad]],'Estandar de Rutas'!$C$1:$E$553,2,FALSE)</f>
        <v>4.1.A</v>
      </c>
      <c r="U449" s="130">
        <f>IFERROR(VLOOKUP(Tabla3[[#This Row],[Referencia]]&amp;Tabla3[[#This Row],[Desc detalle ext 1]],Tabla1[[Referencia-Color]:[Disponibilidad]],3,FALSE),0)</f>
        <v>0</v>
      </c>
      <c r="V449" s="13"/>
      <c r="W449" s="17">
        <f>+Tabla3[[#This Row],[Cant. Programada]]*Tabla3[[#This Row],[Precio unit]]</f>
        <v>0</v>
      </c>
      <c r="X449" s="8"/>
      <c r="Y449" s="8"/>
      <c r="Z449" s="8" t="str">
        <f>+Tabla3[[#This Row],[Referencia]]&amp;Tabla3[[#This Row],[Desc detalle ext 1]]</f>
        <v>CB 160F DLX                                       NEGRO PER</v>
      </c>
      <c r="AA449" s="128" t="e">
        <f>+VLOOKUP(Tabla3[[#This Row],[CODIGO2]],ESTANDAR!$B$3:$C$9,2,FALSE)</f>
        <v>#N/A</v>
      </c>
      <c r="AB449" s="128" t="str">
        <f>+MID(Tabla3[[#This Row],['# Viaje]],10,1)</f>
        <v/>
      </c>
    </row>
    <row r="450" spans="1:28" ht="15" hidden="1" customHeight="1">
      <c r="A450" s="173" t="s">
        <v>1533</v>
      </c>
      <c r="B450" s="174">
        <v>42948</v>
      </c>
      <c r="C450" s="173" t="s">
        <v>1231</v>
      </c>
      <c r="D450" s="173" t="s">
        <v>1478</v>
      </c>
      <c r="E450" s="173" t="s">
        <v>1479</v>
      </c>
      <c r="F450" s="173">
        <v>1</v>
      </c>
      <c r="G450" s="173" t="s">
        <v>48</v>
      </c>
      <c r="H450" s="173">
        <v>1</v>
      </c>
      <c r="I450" s="173" t="s">
        <v>1534</v>
      </c>
      <c r="J450" s="173" t="s">
        <v>1428</v>
      </c>
      <c r="K450" s="173" t="s">
        <v>1429</v>
      </c>
      <c r="L450" s="173"/>
      <c r="M450" s="173" t="s">
        <v>124</v>
      </c>
      <c r="N450" s="173">
        <v>900330225</v>
      </c>
      <c r="O450" s="175">
        <v>3067227</v>
      </c>
      <c r="P450" s="7"/>
      <c r="Q450" s="16">
        <f>+IF(IFERROR(VLOOKUP(Tabla3[[#This Row],[Cliente factura]],Tabla4[[NIT]:[TOTAL CREDITO]],3,FALSE),0)="",0,IFERROR(VLOOKUP(Tabla3[[#This Row],[Cliente factura]],Tabla4[[NIT]:[TOTAL CREDITO]],3,FALSE),0))</f>
        <v>0</v>
      </c>
      <c r="R450" s="9">
        <f>+IFERROR(VLOOKUP(Tabla3[[#This Row],[Cliente factura]],Tabla4[[NIT]:[TOTAL CREDITO]],6,FALSE),0)</f>
        <v>0</v>
      </c>
      <c r="S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0" s="10" t="str">
        <f>VLOOKUP(Tabla3[[#This Row],[Razón social cliente factura]]&amp;Tabla3[[#This Row],[Desc. ciudad]],'Estandar de Rutas'!$C$1:$E$553,2,FALSE)</f>
        <v>4.1.A</v>
      </c>
      <c r="U450" s="130">
        <f>IFERROR(VLOOKUP(Tabla3[[#This Row],[Referencia]]&amp;Tabla3[[#This Row],[Desc detalle ext 1]],Tabla1[[Referencia-Color]:[Disponibilidad]],3,FALSE),0)</f>
        <v>0</v>
      </c>
      <c r="V450" s="13"/>
      <c r="W450" s="17">
        <f>+Tabla3[[#This Row],[Cant. Programada]]*Tabla3[[#This Row],[Precio unit]]</f>
        <v>0</v>
      </c>
      <c r="X450" s="8"/>
      <c r="Y450" s="8"/>
      <c r="Z450" s="8" t="str">
        <f>+Tabla3[[#This Row],[Referencia]]&amp;Tabla3[[#This Row],[Desc detalle ext 1]]</f>
        <v>DREAM  NEO                                        NEGRO AZU</v>
      </c>
      <c r="AA450" s="128" t="e">
        <f>+VLOOKUP(Tabla3[[#This Row],[CODIGO2]],ESTANDAR!$B$3:$C$9,2,FALSE)</f>
        <v>#N/A</v>
      </c>
      <c r="AB450" s="128" t="str">
        <f>+MID(Tabla3[[#This Row],['# Viaje]],10,1)</f>
        <v/>
      </c>
    </row>
    <row r="451" spans="1:28" ht="15" hidden="1" customHeight="1">
      <c r="A451" s="173" t="s">
        <v>1533</v>
      </c>
      <c r="B451" s="174">
        <v>42948</v>
      </c>
      <c r="C451" s="173" t="s">
        <v>1231</v>
      </c>
      <c r="D451" s="173" t="s">
        <v>1478</v>
      </c>
      <c r="E451" s="173" t="s">
        <v>1479</v>
      </c>
      <c r="F451" s="173">
        <v>1</v>
      </c>
      <c r="G451" s="173" t="s">
        <v>48</v>
      </c>
      <c r="H451" s="173">
        <v>1</v>
      </c>
      <c r="I451" s="173" t="s">
        <v>1534</v>
      </c>
      <c r="J451" s="173" t="s">
        <v>1430</v>
      </c>
      <c r="K451" s="173" t="s">
        <v>16</v>
      </c>
      <c r="L451" s="173"/>
      <c r="M451" s="173" t="s">
        <v>124</v>
      </c>
      <c r="N451" s="173">
        <v>900330225</v>
      </c>
      <c r="O451" s="175">
        <v>3941176</v>
      </c>
      <c r="P451" s="7"/>
      <c r="Q451" s="16">
        <f>+IF(IFERROR(VLOOKUP(Tabla3[[#This Row],[Cliente factura]],Tabla4[[NIT]:[TOTAL CREDITO]],3,FALSE),0)="",0,IFERROR(VLOOKUP(Tabla3[[#This Row],[Cliente factura]],Tabla4[[NIT]:[TOTAL CREDITO]],3,FALSE),0))</f>
        <v>0</v>
      </c>
      <c r="R451" s="9">
        <f>+IFERROR(VLOOKUP(Tabla3[[#This Row],[Cliente factura]],Tabla4[[NIT]:[TOTAL CREDITO]],6,FALSE),0)</f>
        <v>0</v>
      </c>
      <c r="S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1" s="10" t="str">
        <f>VLOOKUP(Tabla3[[#This Row],[Razón social cliente factura]]&amp;Tabla3[[#This Row],[Desc. ciudad]],'Estandar de Rutas'!$C$1:$E$553,2,FALSE)</f>
        <v>4.1.A</v>
      </c>
      <c r="U451" s="130">
        <f>IFERROR(VLOOKUP(Tabla3[[#This Row],[Referencia]]&amp;Tabla3[[#This Row],[Desc detalle ext 1]],Tabla1[[Referencia-Color]:[Disponibilidad]],3,FALSE),0)</f>
        <v>0</v>
      </c>
      <c r="V451" s="13"/>
      <c r="W451" s="17">
        <f>+Tabla3[[#This Row],[Cant. Programada]]*Tabla3[[#This Row],[Precio unit]]</f>
        <v>0</v>
      </c>
      <c r="X451" s="8"/>
      <c r="Y451" s="8"/>
      <c r="Z451" s="8" t="str">
        <f>+Tabla3[[#This Row],[Referencia]]&amp;Tabla3[[#This Row],[Desc detalle ext 1]]</f>
        <v xml:space="preserve">WAVE 110S                                         NEGRO    </v>
      </c>
      <c r="AA451" s="128" t="e">
        <f>+VLOOKUP(Tabla3[[#This Row],[CODIGO2]],ESTANDAR!$B$3:$C$9,2,FALSE)</f>
        <v>#N/A</v>
      </c>
      <c r="AB451" s="128" t="str">
        <f>+MID(Tabla3[[#This Row],['# Viaje]],10,1)</f>
        <v/>
      </c>
    </row>
    <row r="452" spans="1:28" ht="15" hidden="1" customHeight="1">
      <c r="A452" s="173" t="s">
        <v>1533</v>
      </c>
      <c r="B452" s="174">
        <v>42948</v>
      </c>
      <c r="C452" s="173" t="s">
        <v>1231</v>
      </c>
      <c r="D452" s="173" t="s">
        <v>1478</v>
      </c>
      <c r="E452" s="173" t="s">
        <v>1479</v>
      </c>
      <c r="F452" s="173">
        <v>1</v>
      </c>
      <c r="G452" s="173" t="s">
        <v>48</v>
      </c>
      <c r="H452" s="173">
        <v>1</v>
      </c>
      <c r="I452" s="173" t="s">
        <v>1534</v>
      </c>
      <c r="J452" s="173" t="s">
        <v>1234</v>
      </c>
      <c r="K452" s="173" t="s">
        <v>355</v>
      </c>
      <c r="L452" s="173"/>
      <c r="M452" s="173" t="s">
        <v>124</v>
      </c>
      <c r="N452" s="173">
        <v>900330225</v>
      </c>
      <c r="O452" s="175">
        <v>5453782</v>
      </c>
      <c r="P452" s="7"/>
      <c r="Q452" s="16">
        <f>+IF(IFERROR(VLOOKUP(Tabla3[[#This Row],[Cliente factura]],Tabla4[[NIT]:[TOTAL CREDITO]],3,FALSE),0)="",0,IFERROR(VLOOKUP(Tabla3[[#This Row],[Cliente factura]],Tabla4[[NIT]:[TOTAL CREDITO]],3,FALSE),0))</f>
        <v>0</v>
      </c>
      <c r="R452" s="9">
        <f>+IFERROR(VLOOKUP(Tabla3[[#This Row],[Cliente factura]],Tabla4[[NIT]:[TOTAL CREDITO]],6,FALSE),0)</f>
        <v>0</v>
      </c>
      <c r="S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2" s="10" t="str">
        <f>VLOOKUP(Tabla3[[#This Row],[Razón social cliente factura]]&amp;Tabla3[[#This Row],[Desc. ciudad]],'Estandar de Rutas'!$C$1:$E$553,2,FALSE)</f>
        <v>4.1.A</v>
      </c>
      <c r="U452" s="130">
        <f>IFERROR(VLOOKUP(Tabla3[[#This Row],[Referencia]]&amp;Tabla3[[#This Row],[Desc detalle ext 1]],Tabla1[[Referencia-Color]:[Disponibilidad]],3,FALSE),0)</f>
        <v>0</v>
      </c>
      <c r="V452" s="13"/>
      <c r="W452" s="17">
        <f>+Tabla3[[#This Row],[Cant. Programada]]*Tabla3[[#This Row],[Precio unit]]</f>
        <v>0</v>
      </c>
      <c r="X452" s="8"/>
      <c r="Y452" s="8"/>
      <c r="Z452" s="8" t="str">
        <f>+Tabla3[[#This Row],[Referencia]]&amp;Tabla3[[#This Row],[Desc detalle ext 1]]</f>
        <v>CB 160F STD                                       NEGRO PER</v>
      </c>
      <c r="AA452" s="128" t="e">
        <f>+VLOOKUP(Tabla3[[#This Row],[CODIGO2]],ESTANDAR!$B$3:$C$9,2,FALSE)</f>
        <v>#N/A</v>
      </c>
      <c r="AB452" s="128" t="str">
        <f>+MID(Tabla3[[#This Row],['# Viaje]],10,1)</f>
        <v/>
      </c>
    </row>
    <row r="453" spans="1:28" ht="15" hidden="1" customHeight="1">
      <c r="A453" s="173" t="s">
        <v>1533</v>
      </c>
      <c r="B453" s="174">
        <v>42948</v>
      </c>
      <c r="C453" s="173" t="s">
        <v>1231</v>
      </c>
      <c r="D453" s="173" t="s">
        <v>1478</v>
      </c>
      <c r="E453" s="173" t="s">
        <v>1479</v>
      </c>
      <c r="F453" s="173">
        <v>1</v>
      </c>
      <c r="G453" s="173" t="s">
        <v>48</v>
      </c>
      <c r="H453" s="173">
        <v>1</v>
      </c>
      <c r="I453" s="173" t="s">
        <v>1534</v>
      </c>
      <c r="J453" s="173" t="s">
        <v>1451</v>
      </c>
      <c r="K453" s="173" t="s">
        <v>16</v>
      </c>
      <c r="L453" s="173"/>
      <c r="M453" s="173" t="s">
        <v>124</v>
      </c>
      <c r="N453" s="173">
        <v>900330225</v>
      </c>
      <c r="O453" s="175">
        <v>3696639</v>
      </c>
      <c r="P453" s="7"/>
      <c r="Q453" s="16">
        <f>+IF(IFERROR(VLOOKUP(Tabla3[[#This Row],[Cliente factura]],Tabla4[[NIT]:[TOTAL CREDITO]],3,FALSE),0)="",0,IFERROR(VLOOKUP(Tabla3[[#This Row],[Cliente factura]],Tabla4[[NIT]:[TOTAL CREDITO]],3,FALSE),0))</f>
        <v>0</v>
      </c>
      <c r="R453" s="9">
        <f>+IFERROR(VLOOKUP(Tabla3[[#This Row],[Cliente factura]],Tabla4[[NIT]:[TOTAL CREDITO]],6,FALSE),0)</f>
        <v>0</v>
      </c>
      <c r="S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3" s="10" t="str">
        <f>VLOOKUP(Tabla3[[#This Row],[Razón social cliente factura]]&amp;Tabla3[[#This Row],[Desc. ciudad]],'Estandar de Rutas'!$C$1:$E$553,2,FALSE)</f>
        <v>4.1.A</v>
      </c>
      <c r="U453" s="130">
        <f>IFERROR(VLOOKUP(Tabla3[[#This Row],[Referencia]]&amp;Tabla3[[#This Row],[Desc detalle ext 1]],Tabla1[[Referencia-Color]:[Disponibilidad]],3,FALSE),0)</f>
        <v>3</v>
      </c>
      <c r="V453" s="13"/>
      <c r="W453" s="17">
        <f>+Tabla3[[#This Row],[Cant. Programada]]*Tabla3[[#This Row],[Precio unit]]</f>
        <v>0</v>
      </c>
      <c r="X453" s="8"/>
      <c r="Y453" s="8"/>
      <c r="Z453" s="8" t="str">
        <f>+Tabla3[[#This Row],[Referencia]]&amp;Tabla3[[#This Row],[Desc detalle ext 1]]</f>
        <v xml:space="preserve">CB 110 DLX                                        NEGRO    </v>
      </c>
      <c r="AA453" s="128" t="e">
        <f>+VLOOKUP(Tabla3[[#This Row],[CODIGO2]],ESTANDAR!$B$3:$C$9,2,FALSE)</f>
        <v>#N/A</v>
      </c>
      <c r="AB453" s="128" t="str">
        <f>+MID(Tabla3[[#This Row],['# Viaje]],10,1)</f>
        <v/>
      </c>
    </row>
    <row r="454" spans="1:28" ht="15" hidden="1" customHeight="1">
      <c r="A454" s="173" t="s">
        <v>1535</v>
      </c>
      <c r="B454" s="174">
        <v>42948</v>
      </c>
      <c r="C454" s="173" t="s">
        <v>1477</v>
      </c>
      <c r="D454" s="173" t="s">
        <v>1478</v>
      </c>
      <c r="E454" s="173" t="s">
        <v>1479</v>
      </c>
      <c r="F454" s="173">
        <v>2</v>
      </c>
      <c r="G454" s="173" t="s">
        <v>48</v>
      </c>
      <c r="H454" s="173">
        <v>2</v>
      </c>
      <c r="I454" s="173" t="s">
        <v>1536</v>
      </c>
      <c r="J454" s="173" t="s">
        <v>14</v>
      </c>
      <c r="K454" s="173" t="s">
        <v>16</v>
      </c>
      <c r="L454" s="173"/>
      <c r="M454" s="173" t="s">
        <v>49</v>
      </c>
      <c r="N454" s="173">
        <v>900330225</v>
      </c>
      <c r="O454" s="175">
        <v>3360504</v>
      </c>
      <c r="P454" s="7"/>
      <c r="Q454" s="16">
        <f>+IF(IFERROR(VLOOKUP(Tabla3[[#This Row],[Cliente factura]],Tabla4[[NIT]:[TOTAL CREDITO]],3,FALSE),0)="",0,IFERROR(VLOOKUP(Tabla3[[#This Row],[Cliente factura]],Tabla4[[NIT]:[TOTAL CREDITO]],3,FALSE),0))</f>
        <v>0</v>
      </c>
      <c r="R454" s="9">
        <f>+IFERROR(VLOOKUP(Tabla3[[#This Row],[Cliente factura]],Tabla4[[NIT]:[TOTAL CREDITO]],6,FALSE),0)</f>
        <v>0</v>
      </c>
      <c r="S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4" s="10" t="str">
        <f>VLOOKUP(Tabla3[[#This Row],[Razón social cliente factura]]&amp;Tabla3[[#This Row],[Desc. ciudad]],'Estandar de Rutas'!$C$1:$E$553,2,FALSE)</f>
        <v>3.1</v>
      </c>
      <c r="U454" s="130">
        <f>IFERROR(VLOOKUP(Tabla3[[#This Row],[Referencia]]&amp;Tabla3[[#This Row],[Desc detalle ext 1]],Tabla1[[Referencia-Color]:[Disponibilidad]],3,FALSE),0)</f>
        <v>83</v>
      </c>
      <c r="V454" s="13"/>
      <c r="W454" s="17">
        <f>+Tabla3[[#This Row],[Cant. Programada]]*Tabla3[[#This Row],[Precio unit]]</f>
        <v>0</v>
      </c>
      <c r="X454" s="8"/>
      <c r="Y454" s="8"/>
      <c r="Z454" s="8" t="str">
        <f>+Tabla3[[#This Row],[Referencia]]&amp;Tabla3[[#This Row],[Desc detalle ext 1]]</f>
        <v xml:space="preserve">*CB-110                                           NEGRO    </v>
      </c>
      <c r="AA454" s="128" t="e">
        <f>+VLOOKUP(Tabla3[[#This Row],[CODIGO2]],ESTANDAR!$B$3:$C$9,2,FALSE)</f>
        <v>#N/A</v>
      </c>
      <c r="AB454" s="128" t="str">
        <f>+MID(Tabla3[[#This Row],['# Viaje]],10,1)</f>
        <v/>
      </c>
    </row>
    <row r="455" spans="1:28" ht="15" hidden="1" customHeight="1">
      <c r="A455" s="173" t="s">
        <v>1535</v>
      </c>
      <c r="B455" s="174">
        <v>42948</v>
      </c>
      <c r="C455" s="173" t="s">
        <v>1477</v>
      </c>
      <c r="D455" s="173" t="s">
        <v>1478</v>
      </c>
      <c r="E455" s="173" t="s">
        <v>1479</v>
      </c>
      <c r="F455" s="173">
        <v>1</v>
      </c>
      <c r="G455" s="173" t="s">
        <v>48</v>
      </c>
      <c r="H455" s="173">
        <v>1</v>
      </c>
      <c r="I455" s="173" t="s">
        <v>1536</v>
      </c>
      <c r="J455" s="173" t="s">
        <v>27</v>
      </c>
      <c r="K455" s="173" t="s">
        <v>16</v>
      </c>
      <c r="L455" s="173"/>
      <c r="M455" s="173" t="s">
        <v>49</v>
      </c>
      <c r="N455" s="173">
        <v>900330225</v>
      </c>
      <c r="O455" s="175">
        <v>5789916</v>
      </c>
      <c r="P455" s="7"/>
      <c r="Q455" s="16">
        <f>+IF(IFERROR(VLOOKUP(Tabla3[[#This Row],[Cliente factura]],Tabla4[[NIT]:[TOTAL CREDITO]],3,FALSE),0)="",0,IFERROR(VLOOKUP(Tabla3[[#This Row],[Cliente factura]],Tabla4[[NIT]:[TOTAL CREDITO]],3,FALSE),0))</f>
        <v>0</v>
      </c>
      <c r="R455" s="9">
        <f>+IFERROR(VLOOKUP(Tabla3[[#This Row],[Cliente factura]],Tabla4[[NIT]:[TOTAL CREDITO]],6,FALSE),0)</f>
        <v>0</v>
      </c>
      <c r="S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5" s="10" t="str">
        <f>VLOOKUP(Tabla3[[#This Row],[Razón social cliente factura]]&amp;Tabla3[[#This Row],[Desc. ciudad]],'Estandar de Rutas'!$C$1:$E$553,2,FALSE)</f>
        <v>3.1</v>
      </c>
      <c r="U455" s="130">
        <f>IFERROR(VLOOKUP(Tabla3[[#This Row],[Referencia]]&amp;Tabla3[[#This Row],[Desc detalle ext 1]],Tabla1[[Referencia-Color]:[Disponibilidad]],3,FALSE),0)</f>
        <v>3</v>
      </c>
      <c r="V455" s="13"/>
      <c r="W455" s="17">
        <f>+Tabla3[[#This Row],[Cant. Programada]]*Tabla3[[#This Row],[Precio unit]]</f>
        <v>0</v>
      </c>
      <c r="X455" s="8"/>
      <c r="Y455" s="8"/>
      <c r="Z455" s="8" t="str">
        <f>+Tabla3[[#This Row],[Referencia]]&amp;Tabla3[[#This Row],[Desc detalle ext 1]]</f>
        <v xml:space="preserve">*XR 150L                                          NEGRO    </v>
      </c>
      <c r="AA455" s="128" t="e">
        <f>+VLOOKUP(Tabla3[[#This Row],[CODIGO2]],ESTANDAR!$B$3:$C$9,2,FALSE)</f>
        <v>#N/A</v>
      </c>
      <c r="AB455" s="128" t="str">
        <f>+MID(Tabla3[[#This Row],['# Viaje]],10,1)</f>
        <v/>
      </c>
    </row>
    <row r="456" spans="1:28" ht="15" hidden="1" customHeight="1">
      <c r="A456" s="173" t="s">
        <v>1535</v>
      </c>
      <c r="B456" s="174">
        <v>42948</v>
      </c>
      <c r="C456" s="173" t="s">
        <v>1477</v>
      </c>
      <c r="D456" s="173" t="s">
        <v>1478</v>
      </c>
      <c r="E456" s="173" t="s">
        <v>1479</v>
      </c>
      <c r="F456" s="173">
        <v>1</v>
      </c>
      <c r="G456" s="173" t="s">
        <v>48</v>
      </c>
      <c r="H456" s="173">
        <v>1</v>
      </c>
      <c r="I456" s="173" t="s">
        <v>1536</v>
      </c>
      <c r="J456" s="173" t="s">
        <v>10</v>
      </c>
      <c r="K456" s="173" t="s">
        <v>11</v>
      </c>
      <c r="L456" s="173"/>
      <c r="M456" s="173" t="s">
        <v>49</v>
      </c>
      <c r="N456" s="173">
        <v>900330225</v>
      </c>
      <c r="O456" s="175">
        <v>7554622</v>
      </c>
      <c r="P456" s="7"/>
      <c r="Q456" s="16">
        <f>+IF(IFERROR(VLOOKUP(Tabla3[[#This Row],[Cliente factura]],Tabla4[[NIT]:[TOTAL CREDITO]],3,FALSE),0)="",0,IFERROR(VLOOKUP(Tabla3[[#This Row],[Cliente factura]],Tabla4[[NIT]:[TOTAL CREDITO]],3,FALSE),0))</f>
        <v>0</v>
      </c>
      <c r="R456" s="9">
        <f>+IFERROR(VLOOKUP(Tabla3[[#This Row],[Cliente factura]],Tabla4[[NIT]:[TOTAL CREDITO]],6,FALSE),0)</f>
        <v>0</v>
      </c>
      <c r="S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6" s="10" t="str">
        <f>VLOOKUP(Tabla3[[#This Row],[Razón social cliente factura]]&amp;Tabla3[[#This Row],[Desc. ciudad]],'Estandar de Rutas'!$C$1:$E$553,2,FALSE)</f>
        <v>3.1</v>
      </c>
      <c r="U456" s="130">
        <f>IFERROR(VLOOKUP(Tabla3[[#This Row],[Referencia]]&amp;Tabla3[[#This Row],[Desc detalle ext 1]],Tabla1[[Referencia-Color]:[Disponibilidad]],3,FALSE),0)</f>
        <v>0</v>
      </c>
      <c r="V456" s="13"/>
      <c r="W456" s="17">
        <f>+Tabla3[[#This Row],[Cant. Programada]]*Tabla3[[#This Row],[Precio unit]]</f>
        <v>0</v>
      </c>
      <c r="X456" s="8"/>
      <c r="Y456" s="8"/>
      <c r="Z456" s="8" t="str">
        <f>+Tabla3[[#This Row],[Referencia]]&amp;Tabla3[[#This Row],[Desc detalle ext 1]]</f>
        <v>CB 190R                                           NEGRO ONI</v>
      </c>
      <c r="AA456" s="128" t="e">
        <f>+VLOOKUP(Tabla3[[#This Row],[CODIGO2]],ESTANDAR!$B$3:$C$9,2,FALSE)</f>
        <v>#N/A</v>
      </c>
      <c r="AB456" s="128" t="str">
        <f>+MID(Tabla3[[#This Row],['# Viaje]],10,1)</f>
        <v/>
      </c>
    </row>
    <row r="457" spans="1:28" ht="15" hidden="1" customHeight="1">
      <c r="A457" s="173" t="s">
        <v>1535</v>
      </c>
      <c r="B457" s="174">
        <v>42948</v>
      </c>
      <c r="C457" s="173" t="s">
        <v>1477</v>
      </c>
      <c r="D457" s="173" t="s">
        <v>1478</v>
      </c>
      <c r="E457" s="173" t="s">
        <v>1479</v>
      </c>
      <c r="F457" s="173">
        <v>1</v>
      </c>
      <c r="G457" s="173" t="s">
        <v>48</v>
      </c>
      <c r="H457" s="173">
        <v>1</v>
      </c>
      <c r="I457" s="173" t="s">
        <v>1536</v>
      </c>
      <c r="J457" s="173" t="s">
        <v>354</v>
      </c>
      <c r="K457" s="173" t="s">
        <v>355</v>
      </c>
      <c r="L457" s="173"/>
      <c r="M457" s="173" t="s">
        <v>49</v>
      </c>
      <c r="N457" s="173">
        <v>900330225</v>
      </c>
      <c r="O457" s="175">
        <v>6133613</v>
      </c>
      <c r="P457" s="7"/>
      <c r="Q457" s="16">
        <f>+IF(IFERROR(VLOOKUP(Tabla3[[#This Row],[Cliente factura]],Tabla4[[NIT]:[TOTAL CREDITO]],3,FALSE),0)="",0,IFERROR(VLOOKUP(Tabla3[[#This Row],[Cliente factura]],Tabla4[[NIT]:[TOTAL CREDITO]],3,FALSE),0))</f>
        <v>0</v>
      </c>
      <c r="R457" s="9">
        <f>+IFERROR(VLOOKUP(Tabla3[[#This Row],[Cliente factura]],Tabla4[[NIT]:[TOTAL CREDITO]],6,FALSE),0)</f>
        <v>0</v>
      </c>
      <c r="S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7" s="10" t="str">
        <f>VLOOKUP(Tabla3[[#This Row],[Razón social cliente factura]]&amp;Tabla3[[#This Row],[Desc. ciudad]],'Estandar de Rutas'!$C$1:$E$553,2,FALSE)</f>
        <v>3.1</v>
      </c>
      <c r="U457" s="130">
        <f>IFERROR(VLOOKUP(Tabla3[[#This Row],[Referencia]]&amp;Tabla3[[#This Row],[Desc detalle ext 1]],Tabla1[[Referencia-Color]:[Disponibilidad]],3,FALSE),0)</f>
        <v>0</v>
      </c>
      <c r="V457" s="13"/>
      <c r="W457" s="17">
        <f>+Tabla3[[#This Row],[Cant. Programada]]*Tabla3[[#This Row],[Precio unit]]</f>
        <v>0</v>
      </c>
      <c r="X457" s="8"/>
      <c r="Y457" s="8"/>
      <c r="Z457" s="8" t="str">
        <f>+Tabla3[[#This Row],[Referencia]]&amp;Tabla3[[#This Row],[Desc detalle ext 1]]</f>
        <v>CB 160F DLX                                       NEGRO PER</v>
      </c>
      <c r="AA457" s="128" t="e">
        <f>+VLOOKUP(Tabla3[[#This Row],[CODIGO2]],ESTANDAR!$B$3:$C$9,2,FALSE)</f>
        <v>#N/A</v>
      </c>
      <c r="AB457" s="128" t="str">
        <f>+MID(Tabla3[[#This Row],['# Viaje]],10,1)</f>
        <v/>
      </c>
    </row>
    <row r="458" spans="1:28" ht="15" hidden="1" customHeight="1">
      <c r="A458" s="173" t="s">
        <v>1535</v>
      </c>
      <c r="B458" s="174">
        <v>42948</v>
      </c>
      <c r="C458" s="173" t="s">
        <v>1477</v>
      </c>
      <c r="D458" s="173" t="s">
        <v>1478</v>
      </c>
      <c r="E458" s="173" t="s">
        <v>1479</v>
      </c>
      <c r="F458" s="173">
        <v>1</v>
      </c>
      <c r="G458" s="173" t="s">
        <v>48</v>
      </c>
      <c r="H458" s="173">
        <v>1</v>
      </c>
      <c r="I458" s="173" t="s">
        <v>1536</v>
      </c>
      <c r="J458" s="173" t="s">
        <v>1433</v>
      </c>
      <c r="K458" s="173" t="s">
        <v>1431</v>
      </c>
      <c r="L458" s="173"/>
      <c r="M458" s="173" t="s">
        <v>49</v>
      </c>
      <c r="N458" s="173">
        <v>900330225</v>
      </c>
      <c r="O458" s="175">
        <v>3521008</v>
      </c>
      <c r="P458" s="7"/>
      <c r="Q458" s="16">
        <f>+IF(IFERROR(VLOOKUP(Tabla3[[#This Row],[Cliente factura]],Tabla4[[NIT]:[TOTAL CREDITO]],3,FALSE),0)="",0,IFERROR(VLOOKUP(Tabla3[[#This Row],[Cliente factura]],Tabla4[[NIT]:[TOTAL CREDITO]],3,FALSE),0))</f>
        <v>0</v>
      </c>
      <c r="R458" s="9">
        <f>+IFERROR(VLOOKUP(Tabla3[[#This Row],[Cliente factura]],Tabla4[[NIT]:[TOTAL CREDITO]],6,FALSE),0)</f>
        <v>0</v>
      </c>
      <c r="S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8" s="10" t="str">
        <f>VLOOKUP(Tabla3[[#This Row],[Razón social cliente factura]]&amp;Tabla3[[#This Row],[Desc. ciudad]],'Estandar de Rutas'!$C$1:$E$553,2,FALSE)</f>
        <v>3.1</v>
      </c>
      <c r="U458" s="130">
        <f>IFERROR(VLOOKUP(Tabla3[[#This Row],[Referencia]]&amp;Tabla3[[#This Row],[Desc detalle ext 1]],Tabla1[[Referencia-Color]:[Disponibilidad]],3,FALSE),0)</f>
        <v>0</v>
      </c>
      <c r="V458" s="13"/>
      <c r="W458" s="17">
        <f>+Tabla3[[#This Row],[Cant. Programada]]*Tabla3[[#This Row],[Precio unit]]</f>
        <v>0</v>
      </c>
      <c r="X458" s="8"/>
      <c r="Y458" s="8"/>
      <c r="Z458" s="8" t="str">
        <f>+Tabla3[[#This Row],[Referencia]]&amp;Tabla3[[#This Row],[Desc detalle ext 1]]</f>
        <v xml:space="preserve">DIO  110                                          ROJO     </v>
      </c>
      <c r="AA458" s="128" t="e">
        <f>+VLOOKUP(Tabla3[[#This Row],[CODIGO2]],ESTANDAR!$B$3:$C$9,2,FALSE)</f>
        <v>#N/A</v>
      </c>
      <c r="AB458" s="128" t="str">
        <f>+MID(Tabla3[[#This Row],['# Viaje]],10,1)</f>
        <v/>
      </c>
    </row>
    <row r="459" spans="1:28" ht="15" hidden="1" customHeight="1">
      <c r="A459" s="173" t="s">
        <v>1535</v>
      </c>
      <c r="B459" s="174">
        <v>42948</v>
      </c>
      <c r="C459" s="173" t="s">
        <v>1477</v>
      </c>
      <c r="D459" s="173" t="s">
        <v>1478</v>
      </c>
      <c r="E459" s="173" t="s">
        <v>1479</v>
      </c>
      <c r="F459" s="173">
        <v>1</v>
      </c>
      <c r="G459" s="173" t="s">
        <v>48</v>
      </c>
      <c r="H459" s="173">
        <v>1</v>
      </c>
      <c r="I459" s="173" t="s">
        <v>1536</v>
      </c>
      <c r="J459" s="173" t="s">
        <v>1453</v>
      </c>
      <c r="K459" s="173" t="s">
        <v>11</v>
      </c>
      <c r="L459" s="173"/>
      <c r="M459" s="173" t="s">
        <v>49</v>
      </c>
      <c r="N459" s="173">
        <v>900330225</v>
      </c>
      <c r="O459" s="175">
        <v>7730252</v>
      </c>
      <c r="P459" s="7"/>
      <c r="Q459" s="16">
        <f>+IF(IFERROR(VLOOKUP(Tabla3[[#This Row],[Cliente factura]],Tabla4[[NIT]:[TOTAL CREDITO]],3,FALSE),0)="",0,IFERROR(VLOOKUP(Tabla3[[#This Row],[Cliente factura]],Tabla4[[NIT]:[TOTAL CREDITO]],3,FALSE),0))</f>
        <v>0</v>
      </c>
      <c r="R459" s="9">
        <f>+IFERROR(VLOOKUP(Tabla3[[#This Row],[Cliente factura]],Tabla4[[NIT]:[TOTAL CREDITO]],6,FALSE),0)</f>
        <v>0</v>
      </c>
      <c r="S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9" s="10" t="str">
        <f>VLOOKUP(Tabla3[[#This Row],[Razón social cliente factura]]&amp;Tabla3[[#This Row],[Desc. ciudad]],'Estandar de Rutas'!$C$1:$E$553,2,FALSE)</f>
        <v>3.1</v>
      </c>
      <c r="U459" s="130">
        <f>IFERROR(VLOOKUP(Tabla3[[#This Row],[Referencia]]&amp;Tabla3[[#This Row],[Desc detalle ext 1]],Tabla1[[Referencia-Color]:[Disponibilidad]],3,FALSE),0)</f>
        <v>0</v>
      </c>
      <c r="V459" s="13"/>
      <c r="W459" s="17">
        <f>+Tabla3[[#This Row],[Cant. Programada]]*Tabla3[[#This Row],[Precio unit]]</f>
        <v>0</v>
      </c>
      <c r="X459" s="8"/>
      <c r="Y459" s="8"/>
      <c r="Z459" s="8" t="str">
        <f>+Tabla3[[#This Row],[Referencia]]&amp;Tabla3[[#This Row],[Desc detalle ext 1]]</f>
        <v>CB 190R INSTINTO R                                NEGRO ONI</v>
      </c>
      <c r="AA459" s="128" t="e">
        <f>+VLOOKUP(Tabla3[[#This Row],[CODIGO2]],ESTANDAR!$B$3:$C$9,2,FALSE)</f>
        <v>#N/A</v>
      </c>
      <c r="AB459" s="128" t="str">
        <f>+MID(Tabla3[[#This Row],['# Viaje]],10,1)</f>
        <v/>
      </c>
    </row>
    <row r="460" spans="1:28" ht="15" hidden="1" customHeight="1">
      <c r="A460" s="173" t="s">
        <v>1535</v>
      </c>
      <c r="B460" s="174">
        <v>42948</v>
      </c>
      <c r="C460" s="173" t="s">
        <v>1477</v>
      </c>
      <c r="D460" s="173" t="s">
        <v>1478</v>
      </c>
      <c r="E460" s="173" t="s">
        <v>1479</v>
      </c>
      <c r="F460" s="173">
        <v>1</v>
      </c>
      <c r="G460" s="173" t="s">
        <v>48</v>
      </c>
      <c r="H460" s="173">
        <v>1</v>
      </c>
      <c r="I460" s="173" t="s">
        <v>1536</v>
      </c>
      <c r="J460" s="173" t="s">
        <v>1428</v>
      </c>
      <c r="K460" s="173" t="s">
        <v>1429</v>
      </c>
      <c r="L460" s="173"/>
      <c r="M460" s="173" t="s">
        <v>49</v>
      </c>
      <c r="N460" s="173">
        <v>900330225</v>
      </c>
      <c r="O460" s="175">
        <v>3067227</v>
      </c>
      <c r="P460" s="7"/>
      <c r="Q460" s="16">
        <f>+IF(IFERROR(VLOOKUP(Tabla3[[#This Row],[Cliente factura]],Tabla4[[NIT]:[TOTAL CREDITO]],3,FALSE),0)="",0,IFERROR(VLOOKUP(Tabla3[[#This Row],[Cliente factura]],Tabla4[[NIT]:[TOTAL CREDITO]],3,FALSE),0))</f>
        <v>0</v>
      </c>
      <c r="R460" s="9">
        <f>+IFERROR(VLOOKUP(Tabla3[[#This Row],[Cliente factura]],Tabla4[[NIT]:[TOTAL CREDITO]],6,FALSE),0)</f>
        <v>0</v>
      </c>
      <c r="S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0" s="10" t="str">
        <f>VLOOKUP(Tabla3[[#This Row],[Razón social cliente factura]]&amp;Tabla3[[#This Row],[Desc. ciudad]],'Estandar de Rutas'!$C$1:$E$553,2,FALSE)</f>
        <v>3.1</v>
      </c>
      <c r="U460" s="130">
        <f>IFERROR(VLOOKUP(Tabla3[[#This Row],[Referencia]]&amp;Tabla3[[#This Row],[Desc detalle ext 1]],Tabla1[[Referencia-Color]:[Disponibilidad]],3,FALSE),0)</f>
        <v>0</v>
      </c>
      <c r="V460" s="13"/>
      <c r="W460" s="17">
        <f>+Tabla3[[#This Row],[Cant. Programada]]*Tabla3[[#This Row],[Precio unit]]</f>
        <v>0</v>
      </c>
      <c r="X460" s="8"/>
      <c r="Y460" s="8"/>
      <c r="Z460" s="8" t="str">
        <f>+Tabla3[[#This Row],[Referencia]]&amp;Tabla3[[#This Row],[Desc detalle ext 1]]</f>
        <v>DREAM  NEO                                        NEGRO AZU</v>
      </c>
      <c r="AA460" s="128" t="e">
        <f>+VLOOKUP(Tabla3[[#This Row],[CODIGO2]],ESTANDAR!$B$3:$C$9,2,FALSE)</f>
        <v>#N/A</v>
      </c>
      <c r="AB460" s="128" t="str">
        <f>+MID(Tabla3[[#This Row],['# Viaje]],10,1)</f>
        <v/>
      </c>
    </row>
    <row r="461" spans="1:28" ht="15" hidden="1" customHeight="1">
      <c r="A461" s="173" t="s">
        <v>1535</v>
      </c>
      <c r="B461" s="174">
        <v>42948</v>
      </c>
      <c r="C461" s="173" t="s">
        <v>1477</v>
      </c>
      <c r="D461" s="173" t="s">
        <v>1478</v>
      </c>
      <c r="E461" s="173" t="s">
        <v>1479</v>
      </c>
      <c r="F461" s="173">
        <v>1</v>
      </c>
      <c r="G461" s="173" t="s">
        <v>48</v>
      </c>
      <c r="H461" s="173">
        <v>1</v>
      </c>
      <c r="I461" s="173" t="s">
        <v>1536</v>
      </c>
      <c r="J461" s="173" t="s">
        <v>1430</v>
      </c>
      <c r="K461" s="173" t="s">
        <v>16</v>
      </c>
      <c r="L461" s="173"/>
      <c r="M461" s="173" t="s">
        <v>49</v>
      </c>
      <c r="N461" s="173">
        <v>900330225</v>
      </c>
      <c r="O461" s="175">
        <v>3941176</v>
      </c>
      <c r="P461" s="7"/>
      <c r="Q461" s="16">
        <f>+IF(IFERROR(VLOOKUP(Tabla3[[#This Row],[Cliente factura]],Tabla4[[NIT]:[TOTAL CREDITO]],3,FALSE),0)="",0,IFERROR(VLOOKUP(Tabla3[[#This Row],[Cliente factura]],Tabla4[[NIT]:[TOTAL CREDITO]],3,FALSE),0))</f>
        <v>0</v>
      </c>
      <c r="R461" s="9">
        <f>+IFERROR(VLOOKUP(Tabla3[[#This Row],[Cliente factura]],Tabla4[[NIT]:[TOTAL CREDITO]],6,FALSE),0)</f>
        <v>0</v>
      </c>
      <c r="S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1" s="10" t="str">
        <f>VLOOKUP(Tabla3[[#This Row],[Razón social cliente factura]]&amp;Tabla3[[#This Row],[Desc. ciudad]],'Estandar de Rutas'!$C$1:$E$553,2,FALSE)</f>
        <v>3.1</v>
      </c>
      <c r="U461" s="130">
        <f>IFERROR(VLOOKUP(Tabla3[[#This Row],[Referencia]]&amp;Tabla3[[#This Row],[Desc detalle ext 1]],Tabla1[[Referencia-Color]:[Disponibilidad]],3,FALSE),0)</f>
        <v>0</v>
      </c>
      <c r="V461" s="13"/>
      <c r="W461" s="17">
        <f>+Tabla3[[#This Row],[Cant. Programada]]*Tabla3[[#This Row],[Precio unit]]</f>
        <v>0</v>
      </c>
      <c r="X461" s="8"/>
      <c r="Y461" s="8"/>
      <c r="Z461" s="8" t="str">
        <f>+Tabla3[[#This Row],[Referencia]]&amp;Tabla3[[#This Row],[Desc detalle ext 1]]</f>
        <v xml:space="preserve">WAVE 110S                                         NEGRO    </v>
      </c>
      <c r="AA461" s="128" t="e">
        <f>+VLOOKUP(Tabla3[[#This Row],[CODIGO2]],ESTANDAR!$B$3:$C$9,2,FALSE)</f>
        <v>#N/A</v>
      </c>
      <c r="AB461" s="128" t="str">
        <f>+MID(Tabla3[[#This Row],['# Viaje]],10,1)</f>
        <v/>
      </c>
    </row>
    <row r="462" spans="1:28" ht="15" hidden="1" customHeight="1">
      <c r="A462" s="173" t="s">
        <v>1535</v>
      </c>
      <c r="B462" s="174">
        <v>42948</v>
      </c>
      <c r="C462" s="173" t="s">
        <v>1477</v>
      </c>
      <c r="D462" s="173" t="s">
        <v>1478</v>
      </c>
      <c r="E462" s="173" t="s">
        <v>1479</v>
      </c>
      <c r="F462" s="173">
        <v>1</v>
      </c>
      <c r="G462" s="173" t="s">
        <v>48</v>
      </c>
      <c r="H462" s="173">
        <v>1</v>
      </c>
      <c r="I462" s="173" t="s">
        <v>1536</v>
      </c>
      <c r="J462" s="173" t="s">
        <v>1234</v>
      </c>
      <c r="K462" s="173" t="s">
        <v>355</v>
      </c>
      <c r="L462" s="173"/>
      <c r="M462" s="173" t="s">
        <v>49</v>
      </c>
      <c r="N462" s="173">
        <v>900330225</v>
      </c>
      <c r="O462" s="175">
        <v>5453782</v>
      </c>
      <c r="P462" s="7"/>
      <c r="Q462" s="16">
        <f>+IF(IFERROR(VLOOKUP(Tabla3[[#This Row],[Cliente factura]],Tabla4[[NIT]:[TOTAL CREDITO]],3,FALSE),0)="",0,IFERROR(VLOOKUP(Tabla3[[#This Row],[Cliente factura]],Tabla4[[NIT]:[TOTAL CREDITO]],3,FALSE),0))</f>
        <v>0</v>
      </c>
      <c r="R462" s="9">
        <f>+IFERROR(VLOOKUP(Tabla3[[#This Row],[Cliente factura]],Tabla4[[NIT]:[TOTAL CREDITO]],6,FALSE),0)</f>
        <v>0</v>
      </c>
      <c r="S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2" s="10" t="str">
        <f>VLOOKUP(Tabla3[[#This Row],[Razón social cliente factura]]&amp;Tabla3[[#This Row],[Desc. ciudad]],'Estandar de Rutas'!$C$1:$E$553,2,FALSE)</f>
        <v>3.1</v>
      </c>
      <c r="U462" s="130">
        <f>IFERROR(VLOOKUP(Tabla3[[#This Row],[Referencia]]&amp;Tabla3[[#This Row],[Desc detalle ext 1]],Tabla1[[Referencia-Color]:[Disponibilidad]],3,FALSE),0)</f>
        <v>0</v>
      </c>
      <c r="V462" s="13"/>
      <c r="W462" s="17">
        <f>+Tabla3[[#This Row],[Cant. Programada]]*Tabla3[[#This Row],[Precio unit]]</f>
        <v>0</v>
      </c>
      <c r="X462" s="8"/>
      <c r="Y462" s="8"/>
      <c r="Z462" s="8" t="str">
        <f>+Tabla3[[#This Row],[Referencia]]&amp;Tabla3[[#This Row],[Desc detalle ext 1]]</f>
        <v>CB 160F STD                                       NEGRO PER</v>
      </c>
      <c r="AA462" s="128" t="e">
        <f>+VLOOKUP(Tabla3[[#This Row],[CODIGO2]],ESTANDAR!$B$3:$C$9,2,FALSE)</f>
        <v>#N/A</v>
      </c>
      <c r="AB462" s="128" t="str">
        <f>+MID(Tabla3[[#This Row],['# Viaje]],10,1)</f>
        <v/>
      </c>
    </row>
    <row r="463" spans="1:28" ht="15" hidden="1" customHeight="1">
      <c r="A463" s="173" t="s">
        <v>1535</v>
      </c>
      <c r="B463" s="174">
        <v>42948</v>
      </c>
      <c r="C463" s="173" t="s">
        <v>1477</v>
      </c>
      <c r="D463" s="173" t="s">
        <v>1478</v>
      </c>
      <c r="E463" s="173" t="s">
        <v>1479</v>
      </c>
      <c r="F463" s="173">
        <v>1</v>
      </c>
      <c r="G463" s="173" t="s">
        <v>48</v>
      </c>
      <c r="H463" s="173">
        <v>1</v>
      </c>
      <c r="I463" s="173" t="s">
        <v>1536</v>
      </c>
      <c r="J463" s="173" t="s">
        <v>1451</v>
      </c>
      <c r="K463" s="173" t="s">
        <v>16</v>
      </c>
      <c r="L463" s="173"/>
      <c r="M463" s="173" t="s">
        <v>49</v>
      </c>
      <c r="N463" s="173">
        <v>900330225</v>
      </c>
      <c r="O463" s="175">
        <v>3696639</v>
      </c>
      <c r="P463" s="7"/>
      <c r="Q463" s="16">
        <f>+IF(IFERROR(VLOOKUP(Tabla3[[#This Row],[Cliente factura]],Tabla4[[NIT]:[TOTAL CREDITO]],3,FALSE),0)="",0,IFERROR(VLOOKUP(Tabla3[[#This Row],[Cliente factura]],Tabla4[[NIT]:[TOTAL CREDITO]],3,FALSE),0))</f>
        <v>0</v>
      </c>
      <c r="R463" s="9">
        <f>+IFERROR(VLOOKUP(Tabla3[[#This Row],[Cliente factura]],Tabla4[[NIT]:[TOTAL CREDITO]],6,FALSE),0)</f>
        <v>0</v>
      </c>
      <c r="S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3" s="10" t="str">
        <f>VLOOKUP(Tabla3[[#This Row],[Razón social cliente factura]]&amp;Tabla3[[#This Row],[Desc. ciudad]],'Estandar de Rutas'!$C$1:$E$553,2,FALSE)</f>
        <v>3.1</v>
      </c>
      <c r="U463" s="130">
        <f>IFERROR(VLOOKUP(Tabla3[[#This Row],[Referencia]]&amp;Tabla3[[#This Row],[Desc detalle ext 1]],Tabla1[[Referencia-Color]:[Disponibilidad]],3,FALSE),0)</f>
        <v>3</v>
      </c>
      <c r="V463" s="13"/>
      <c r="W463" s="17">
        <f>+Tabla3[[#This Row],[Cant. Programada]]*Tabla3[[#This Row],[Precio unit]]</f>
        <v>0</v>
      </c>
      <c r="X463" s="8"/>
      <c r="Y463" s="8"/>
      <c r="Z463" s="8" t="str">
        <f>+Tabla3[[#This Row],[Referencia]]&amp;Tabla3[[#This Row],[Desc detalle ext 1]]</f>
        <v xml:space="preserve">CB 110 DLX                                        NEGRO    </v>
      </c>
      <c r="AA463" s="128" t="e">
        <f>+VLOOKUP(Tabla3[[#This Row],[CODIGO2]],ESTANDAR!$B$3:$C$9,2,FALSE)</f>
        <v>#N/A</v>
      </c>
      <c r="AB463" s="128" t="str">
        <f>+MID(Tabla3[[#This Row],['# Viaje]],10,1)</f>
        <v/>
      </c>
    </row>
    <row r="464" spans="1:28" ht="15" hidden="1" customHeight="1">
      <c r="A464" s="173" t="s">
        <v>1537</v>
      </c>
      <c r="B464" s="174">
        <v>42948</v>
      </c>
      <c r="C464" s="173" t="s">
        <v>1477</v>
      </c>
      <c r="D464" s="173" t="s">
        <v>1478</v>
      </c>
      <c r="E464" s="173" t="s">
        <v>1479</v>
      </c>
      <c r="F464" s="173">
        <v>1</v>
      </c>
      <c r="G464" s="173" t="s">
        <v>48</v>
      </c>
      <c r="H464" s="173">
        <v>1</v>
      </c>
      <c r="I464" s="173" t="s">
        <v>1538</v>
      </c>
      <c r="J464" s="173" t="s">
        <v>14</v>
      </c>
      <c r="K464" s="173" t="s">
        <v>1417</v>
      </c>
      <c r="L464" s="173"/>
      <c r="M464" s="173" t="s">
        <v>80</v>
      </c>
      <c r="N464" s="173">
        <v>900330225</v>
      </c>
      <c r="O464" s="175">
        <v>3360504</v>
      </c>
      <c r="P464" s="7"/>
      <c r="Q464" s="16">
        <f>+IF(IFERROR(VLOOKUP(Tabla3[[#This Row],[Cliente factura]],Tabla4[[NIT]:[TOTAL CREDITO]],3,FALSE),0)="",0,IFERROR(VLOOKUP(Tabla3[[#This Row],[Cliente factura]],Tabla4[[NIT]:[TOTAL CREDITO]],3,FALSE),0))</f>
        <v>0</v>
      </c>
      <c r="R464" s="9">
        <f>+IFERROR(VLOOKUP(Tabla3[[#This Row],[Cliente factura]],Tabla4[[NIT]:[TOTAL CREDITO]],6,FALSE),0)</f>
        <v>0</v>
      </c>
      <c r="S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4" s="10" t="str">
        <f>VLOOKUP(Tabla3[[#This Row],[Razón social cliente factura]]&amp;Tabla3[[#This Row],[Desc. ciudad]],'Estandar de Rutas'!$C$1:$E$553,2,FALSE)</f>
        <v>5.2</v>
      </c>
      <c r="U464" s="130">
        <f>IFERROR(VLOOKUP(Tabla3[[#This Row],[Referencia]]&amp;Tabla3[[#This Row],[Desc detalle ext 1]],Tabla1[[Referencia-Color]:[Disponibilidad]],3,FALSE),0)</f>
        <v>24</v>
      </c>
      <c r="V464" s="13"/>
      <c r="W464" s="17">
        <f>+Tabla3[[#This Row],[Cant. Programada]]*Tabla3[[#This Row],[Precio unit]]</f>
        <v>0</v>
      </c>
      <c r="X464" s="8"/>
      <c r="Y464" s="8"/>
      <c r="Z464" s="8" t="str">
        <f>+Tabla3[[#This Row],[Referencia]]&amp;Tabla3[[#This Row],[Desc detalle ext 1]]</f>
        <v xml:space="preserve">*CB-110                                           GRIS MET </v>
      </c>
      <c r="AA464" s="128" t="e">
        <f>+VLOOKUP(Tabla3[[#This Row],[CODIGO2]],ESTANDAR!$B$3:$C$9,2,FALSE)</f>
        <v>#N/A</v>
      </c>
      <c r="AB464" s="128" t="str">
        <f>+MID(Tabla3[[#This Row],['# Viaje]],10,1)</f>
        <v/>
      </c>
    </row>
    <row r="465" spans="1:28" ht="15" hidden="1" customHeight="1">
      <c r="A465" s="173" t="s">
        <v>1537</v>
      </c>
      <c r="B465" s="174">
        <v>42948</v>
      </c>
      <c r="C465" s="173" t="s">
        <v>1477</v>
      </c>
      <c r="D465" s="173" t="s">
        <v>1478</v>
      </c>
      <c r="E465" s="173" t="s">
        <v>1479</v>
      </c>
      <c r="F465" s="173">
        <v>2</v>
      </c>
      <c r="G465" s="173" t="s">
        <v>48</v>
      </c>
      <c r="H465" s="173">
        <v>2</v>
      </c>
      <c r="I465" s="173" t="s">
        <v>1538</v>
      </c>
      <c r="J465" s="173" t="s">
        <v>14</v>
      </c>
      <c r="K465" s="173" t="s">
        <v>17</v>
      </c>
      <c r="L465" s="173"/>
      <c r="M465" s="173" t="s">
        <v>80</v>
      </c>
      <c r="N465" s="173">
        <v>900330225</v>
      </c>
      <c r="O465" s="175">
        <v>3360504</v>
      </c>
      <c r="P465" s="7"/>
      <c r="Q465" s="16">
        <f>+IF(IFERROR(VLOOKUP(Tabla3[[#This Row],[Cliente factura]],Tabla4[[NIT]:[TOTAL CREDITO]],3,FALSE),0)="",0,IFERROR(VLOOKUP(Tabla3[[#This Row],[Cliente factura]],Tabla4[[NIT]:[TOTAL CREDITO]],3,FALSE),0))</f>
        <v>0</v>
      </c>
      <c r="R465" s="9">
        <f>+IFERROR(VLOOKUP(Tabla3[[#This Row],[Cliente factura]],Tabla4[[NIT]:[TOTAL CREDITO]],6,FALSE),0)</f>
        <v>0</v>
      </c>
      <c r="S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5" s="10" t="str">
        <f>VLOOKUP(Tabla3[[#This Row],[Razón social cliente factura]]&amp;Tabla3[[#This Row],[Desc. ciudad]],'Estandar de Rutas'!$C$1:$E$553,2,FALSE)</f>
        <v>5.2</v>
      </c>
      <c r="U465" s="130">
        <f>IFERROR(VLOOKUP(Tabla3[[#This Row],[Referencia]]&amp;Tabla3[[#This Row],[Desc detalle ext 1]],Tabla1[[Referencia-Color]:[Disponibilidad]],3,FALSE),0)</f>
        <v>38</v>
      </c>
      <c r="V465" s="13"/>
      <c r="W465" s="17">
        <f>+Tabla3[[#This Row],[Cant. Programada]]*Tabla3[[#This Row],[Precio unit]]</f>
        <v>0</v>
      </c>
      <c r="X465" s="8"/>
      <c r="Y465" s="8"/>
      <c r="Z465" s="8" t="str">
        <f>+Tabla3[[#This Row],[Referencia]]&amp;Tabla3[[#This Row],[Desc detalle ext 1]]</f>
        <v>*CB-110                                           ROJO SPOR</v>
      </c>
      <c r="AA465" s="128" t="e">
        <f>+VLOOKUP(Tabla3[[#This Row],[CODIGO2]],ESTANDAR!$B$3:$C$9,2,FALSE)</f>
        <v>#N/A</v>
      </c>
      <c r="AB465" s="128" t="str">
        <f>+MID(Tabla3[[#This Row],['# Viaje]],10,1)</f>
        <v/>
      </c>
    </row>
    <row r="466" spans="1:28" ht="15" hidden="1" customHeight="1">
      <c r="A466" s="173" t="s">
        <v>1537</v>
      </c>
      <c r="B466" s="174">
        <v>42948</v>
      </c>
      <c r="C466" s="173" t="s">
        <v>1477</v>
      </c>
      <c r="D466" s="173" t="s">
        <v>1478</v>
      </c>
      <c r="E466" s="173" t="s">
        <v>1479</v>
      </c>
      <c r="F466" s="173">
        <v>4</v>
      </c>
      <c r="G466" s="173" t="s">
        <v>48</v>
      </c>
      <c r="H466" s="173">
        <v>4</v>
      </c>
      <c r="I466" s="173" t="s">
        <v>1538</v>
      </c>
      <c r="J466" s="173" t="s">
        <v>14</v>
      </c>
      <c r="K466" s="173" t="s">
        <v>16</v>
      </c>
      <c r="L466" s="173"/>
      <c r="M466" s="173" t="s">
        <v>80</v>
      </c>
      <c r="N466" s="173">
        <v>900330225</v>
      </c>
      <c r="O466" s="175">
        <v>3360504</v>
      </c>
      <c r="P466" s="7"/>
      <c r="Q466" s="16">
        <f>+IF(IFERROR(VLOOKUP(Tabla3[[#This Row],[Cliente factura]],Tabla4[[NIT]:[TOTAL CREDITO]],3,FALSE),0)="",0,IFERROR(VLOOKUP(Tabla3[[#This Row],[Cliente factura]],Tabla4[[NIT]:[TOTAL CREDITO]],3,FALSE),0))</f>
        <v>0</v>
      </c>
      <c r="R466" s="9">
        <f>+IFERROR(VLOOKUP(Tabla3[[#This Row],[Cliente factura]],Tabla4[[NIT]:[TOTAL CREDITO]],6,FALSE),0)</f>
        <v>0</v>
      </c>
      <c r="S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6" s="10" t="str">
        <f>VLOOKUP(Tabla3[[#This Row],[Razón social cliente factura]]&amp;Tabla3[[#This Row],[Desc. ciudad]],'Estandar de Rutas'!$C$1:$E$553,2,FALSE)</f>
        <v>5.2</v>
      </c>
      <c r="U466" s="130">
        <f>IFERROR(VLOOKUP(Tabla3[[#This Row],[Referencia]]&amp;Tabla3[[#This Row],[Desc detalle ext 1]],Tabla1[[Referencia-Color]:[Disponibilidad]],3,FALSE),0)</f>
        <v>83</v>
      </c>
      <c r="V466" s="13"/>
      <c r="W466" s="17">
        <f>+Tabla3[[#This Row],[Cant. Programada]]*Tabla3[[#This Row],[Precio unit]]</f>
        <v>0</v>
      </c>
      <c r="X466" s="129"/>
      <c r="Y466" s="8"/>
      <c r="Z466" s="8" t="str">
        <f>+Tabla3[[#This Row],[Referencia]]&amp;Tabla3[[#This Row],[Desc detalle ext 1]]</f>
        <v xml:space="preserve">*CB-110                                           NEGRO    </v>
      </c>
      <c r="AA466" s="128" t="e">
        <f>+VLOOKUP(Tabla3[[#This Row],[CODIGO2]],ESTANDAR!$B$3:$C$9,2,FALSE)</f>
        <v>#N/A</v>
      </c>
      <c r="AB466" s="128" t="str">
        <f>+MID(Tabla3[[#This Row],['# Viaje]],10,1)</f>
        <v/>
      </c>
    </row>
    <row r="467" spans="1:28" ht="15" hidden="1" customHeight="1">
      <c r="A467" s="173" t="s">
        <v>1537</v>
      </c>
      <c r="B467" s="174">
        <v>42948</v>
      </c>
      <c r="C467" s="173" t="s">
        <v>1477</v>
      </c>
      <c r="D467" s="173" t="s">
        <v>1478</v>
      </c>
      <c r="E467" s="173" t="s">
        <v>1479</v>
      </c>
      <c r="F467" s="173">
        <v>1</v>
      </c>
      <c r="G467" s="173" t="s">
        <v>48</v>
      </c>
      <c r="H467" s="173">
        <v>1</v>
      </c>
      <c r="I467" s="173" t="s">
        <v>1538</v>
      </c>
      <c r="J467" s="173" t="s">
        <v>14</v>
      </c>
      <c r="K467" s="173" t="s">
        <v>15</v>
      </c>
      <c r="L467" s="173"/>
      <c r="M467" s="173" t="s">
        <v>80</v>
      </c>
      <c r="N467" s="173">
        <v>900330225</v>
      </c>
      <c r="O467" s="175">
        <v>3360504</v>
      </c>
      <c r="P467" s="7"/>
      <c r="Q467" s="16">
        <f>+IF(IFERROR(VLOOKUP(Tabla3[[#This Row],[Cliente factura]],Tabla4[[NIT]:[TOTAL CREDITO]],3,FALSE),0)="",0,IFERROR(VLOOKUP(Tabla3[[#This Row],[Cliente factura]],Tabla4[[NIT]:[TOTAL CREDITO]],3,FALSE),0))</f>
        <v>0</v>
      </c>
      <c r="R467" s="9">
        <f>+IFERROR(VLOOKUP(Tabla3[[#This Row],[Cliente factura]],Tabla4[[NIT]:[TOTAL CREDITO]],6,FALSE),0)</f>
        <v>0</v>
      </c>
      <c r="S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7" s="10" t="str">
        <f>VLOOKUP(Tabla3[[#This Row],[Razón social cliente factura]]&amp;Tabla3[[#This Row],[Desc. ciudad]],'Estandar de Rutas'!$C$1:$E$553,2,FALSE)</f>
        <v>5.2</v>
      </c>
      <c r="U467" s="130">
        <f>IFERROR(VLOOKUP(Tabla3[[#This Row],[Referencia]]&amp;Tabla3[[#This Row],[Desc detalle ext 1]],Tabla1[[Referencia-Color]:[Disponibilidad]],3,FALSE),0)</f>
        <v>99</v>
      </c>
      <c r="V467" s="13"/>
      <c r="W467" s="17">
        <f>+Tabla3[[#This Row],[Cant. Programada]]*Tabla3[[#This Row],[Precio unit]]</f>
        <v>0</v>
      </c>
      <c r="X467" s="8"/>
      <c r="Y467" s="8"/>
      <c r="Z467" s="8" t="str">
        <f>+Tabla3[[#This Row],[Referencia]]&amp;Tabla3[[#This Row],[Desc detalle ext 1]]</f>
        <v>*CB-110                                           AZUL FIJI</v>
      </c>
      <c r="AA467" s="128" t="e">
        <f>+VLOOKUP(Tabla3[[#This Row],[CODIGO2]],ESTANDAR!$B$3:$C$9,2,FALSE)</f>
        <v>#N/A</v>
      </c>
      <c r="AB467" s="128" t="str">
        <f>+MID(Tabla3[[#This Row],['# Viaje]],10,1)</f>
        <v/>
      </c>
    </row>
    <row r="468" spans="1:28" ht="15" hidden="1" customHeight="1">
      <c r="A468" s="173" t="s">
        <v>1537</v>
      </c>
      <c r="B468" s="174">
        <v>42948</v>
      </c>
      <c r="C468" s="173" t="s">
        <v>1477</v>
      </c>
      <c r="D468" s="173" t="s">
        <v>1478</v>
      </c>
      <c r="E468" s="173" t="s">
        <v>1479</v>
      </c>
      <c r="F468" s="173">
        <v>1</v>
      </c>
      <c r="G468" s="173" t="s">
        <v>48</v>
      </c>
      <c r="H468" s="173">
        <v>1</v>
      </c>
      <c r="I468" s="173" t="s">
        <v>1538</v>
      </c>
      <c r="J468" s="173" t="s">
        <v>27</v>
      </c>
      <c r="K468" s="173" t="s">
        <v>26</v>
      </c>
      <c r="L468" s="173"/>
      <c r="M468" s="173" t="s">
        <v>80</v>
      </c>
      <c r="N468" s="173">
        <v>900330225</v>
      </c>
      <c r="O468" s="175">
        <v>5789916</v>
      </c>
      <c r="P468" s="7"/>
      <c r="Q468" s="16">
        <f>+IF(IFERROR(VLOOKUP(Tabla3[[#This Row],[Cliente factura]],Tabla4[[NIT]:[TOTAL CREDITO]],3,FALSE),0)="",0,IFERROR(VLOOKUP(Tabla3[[#This Row],[Cliente factura]],Tabla4[[NIT]:[TOTAL CREDITO]],3,FALSE),0))</f>
        <v>0</v>
      </c>
      <c r="R468" s="9">
        <f>+IFERROR(VLOOKUP(Tabla3[[#This Row],[Cliente factura]],Tabla4[[NIT]:[TOTAL CREDITO]],6,FALSE),0)</f>
        <v>0</v>
      </c>
      <c r="S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8" s="10" t="str">
        <f>VLOOKUP(Tabla3[[#This Row],[Razón social cliente factura]]&amp;Tabla3[[#This Row],[Desc. ciudad]],'Estandar de Rutas'!$C$1:$E$553,2,FALSE)</f>
        <v>5.2</v>
      </c>
      <c r="U468" s="130">
        <f>IFERROR(VLOOKUP(Tabla3[[#This Row],[Referencia]]&amp;Tabla3[[#This Row],[Desc detalle ext 1]],Tabla1[[Referencia-Color]:[Disponibilidad]],3,FALSE),0)</f>
        <v>59</v>
      </c>
      <c r="V468" s="13"/>
      <c r="W468" s="17">
        <f>+Tabla3[[#This Row],[Cant. Programada]]*Tabla3[[#This Row],[Precio unit]]</f>
        <v>0</v>
      </c>
      <c r="X468" s="129"/>
      <c r="Y468" s="129"/>
      <c r="Z468" s="8" t="str">
        <f>+Tabla3[[#This Row],[Referencia]]&amp;Tabla3[[#This Row],[Desc detalle ext 1]]</f>
        <v>*XR 150L                                          NEGRO BLA</v>
      </c>
      <c r="AA468" s="128" t="e">
        <f>+VLOOKUP(Tabla3[[#This Row],[CODIGO2]],ESTANDAR!$B$3:$C$9,2,FALSE)</f>
        <v>#N/A</v>
      </c>
      <c r="AB468" s="128" t="str">
        <f>+MID(Tabla3[[#This Row],['# Viaje]],10,1)</f>
        <v/>
      </c>
    </row>
    <row r="469" spans="1:28" ht="15" hidden="1" customHeight="1">
      <c r="A469" s="173" t="s">
        <v>1537</v>
      </c>
      <c r="B469" s="174">
        <v>42948</v>
      </c>
      <c r="C469" s="173" t="s">
        <v>1477</v>
      </c>
      <c r="D469" s="173" t="s">
        <v>1478</v>
      </c>
      <c r="E469" s="173" t="s">
        <v>1479</v>
      </c>
      <c r="F469" s="173">
        <v>1</v>
      </c>
      <c r="G469" s="173" t="s">
        <v>48</v>
      </c>
      <c r="H469" s="173">
        <v>1</v>
      </c>
      <c r="I469" s="173" t="s">
        <v>1538</v>
      </c>
      <c r="J469" s="173" t="s">
        <v>27</v>
      </c>
      <c r="K469" s="173" t="s">
        <v>32</v>
      </c>
      <c r="L469" s="173"/>
      <c r="M469" s="173" t="s">
        <v>80</v>
      </c>
      <c r="N469" s="173">
        <v>900330225</v>
      </c>
      <c r="O469" s="175">
        <v>5789916</v>
      </c>
      <c r="P469" s="7"/>
      <c r="Q469" s="16">
        <f>+IF(IFERROR(VLOOKUP(Tabla3[[#This Row],[Cliente factura]],Tabla4[[NIT]:[TOTAL CREDITO]],3,FALSE),0)="",0,IFERROR(VLOOKUP(Tabla3[[#This Row],[Cliente factura]],Tabla4[[NIT]:[TOTAL CREDITO]],3,FALSE),0))</f>
        <v>0</v>
      </c>
      <c r="R469" s="9">
        <f>+IFERROR(VLOOKUP(Tabla3[[#This Row],[Cliente factura]],Tabla4[[NIT]:[TOTAL CREDITO]],6,FALSE),0)</f>
        <v>0</v>
      </c>
      <c r="S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9" s="10" t="str">
        <f>VLOOKUP(Tabla3[[#This Row],[Razón social cliente factura]]&amp;Tabla3[[#This Row],[Desc. ciudad]],'Estandar de Rutas'!$C$1:$E$553,2,FALSE)</f>
        <v>5.2</v>
      </c>
      <c r="U469" s="130">
        <f>IFERROR(VLOOKUP(Tabla3[[#This Row],[Referencia]]&amp;Tabla3[[#This Row],[Desc detalle ext 1]],Tabla1[[Referencia-Color]:[Disponibilidad]],3,FALSE),0)</f>
        <v>7</v>
      </c>
      <c r="V469" s="13"/>
      <c r="W469" s="17">
        <f>+Tabla3[[#This Row],[Cant. Programada]]*Tabla3[[#This Row],[Precio unit]]</f>
        <v>0</v>
      </c>
      <c r="X469" s="8"/>
      <c r="Y469" s="8"/>
      <c r="Z469" s="8" t="str">
        <f>+Tabla3[[#This Row],[Referencia]]&amp;Tabla3[[#This Row],[Desc detalle ext 1]]</f>
        <v>*XR 150L                                          NEGRO ROJ</v>
      </c>
      <c r="AA469" s="128" t="e">
        <f>+VLOOKUP(Tabla3[[#This Row],[CODIGO2]],ESTANDAR!$B$3:$C$9,2,FALSE)</f>
        <v>#N/A</v>
      </c>
      <c r="AB469" s="128" t="str">
        <f>+MID(Tabla3[[#This Row],['# Viaje]],10,1)</f>
        <v/>
      </c>
    </row>
    <row r="470" spans="1:28" ht="15" hidden="1" customHeight="1">
      <c r="A470" s="173" t="s">
        <v>1537</v>
      </c>
      <c r="B470" s="174">
        <v>42948</v>
      </c>
      <c r="C470" s="173" t="s">
        <v>1477</v>
      </c>
      <c r="D470" s="173" t="s">
        <v>1478</v>
      </c>
      <c r="E470" s="173" t="s">
        <v>1479</v>
      </c>
      <c r="F470" s="173">
        <v>1</v>
      </c>
      <c r="G470" s="173" t="s">
        <v>48</v>
      </c>
      <c r="H470" s="173">
        <v>1</v>
      </c>
      <c r="I470" s="173" t="s">
        <v>1538</v>
      </c>
      <c r="J470" s="173" t="s">
        <v>10</v>
      </c>
      <c r="K470" s="173" t="s">
        <v>13</v>
      </c>
      <c r="L470" s="173"/>
      <c r="M470" s="173" t="s">
        <v>80</v>
      </c>
      <c r="N470" s="173">
        <v>900330225</v>
      </c>
      <c r="O470" s="175">
        <v>7554622</v>
      </c>
      <c r="P470" s="7"/>
      <c r="Q470" s="16">
        <f>+IF(IFERROR(VLOOKUP(Tabla3[[#This Row],[Cliente factura]],Tabla4[[NIT]:[TOTAL CREDITO]],3,FALSE),0)="",0,IFERROR(VLOOKUP(Tabla3[[#This Row],[Cliente factura]],Tabla4[[NIT]:[TOTAL CREDITO]],3,FALSE),0))</f>
        <v>0</v>
      </c>
      <c r="R470" s="9">
        <f>+IFERROR(VLOOKUP(Tabla3[[#This Row],[Cliente factura]],Tabla4[[NIT]:[TOTAL CREDITO]],6,FALSE),0)</f>
        <v>0</v>
      </c>
      <c r="S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0" s="10" t="str">
        <f>VLOOKUP(Tabla3[[#This Row],[Razón social cliente factura]]&amp;Tabla3[[#This Row],[Desc. ciudad]],'Estandar de Rutas'!$C$1:$E$553,2,FALSE)</f>
        <v>5.2</v>
      </c>
      <c r="U470" s="130">
        <f>IFERROR(VLOOKUP(Tabla3[[#This Row],[Referencia]]&amp;Tabla3[[#This Row],[Desc detalle ext 1]],Tabla1[[Referencia-Color]:[Disponibilidad]],3,FALSE),0)</f>
        <v>75</v>
      </c>
      <c r="V470" s="13"/>
      <c r="W470" s="17">
        <f>+Tabla3[[#This Row],[Cant. Programada]]*Tabla3[[#This Row],[Precio unit]]</f>
        <v>0</v>
      </c>
      <c r="X470" s="8"/>
      <c r="Y470" s="8"/>
      <c r="Z470" s="8" t="str">
        <f>+Tabla3[[#This Row],[Referencia]]&amp;Tabla3[[#This Row],[Desc detalle ext 1]]</f>
        <v>CB 190R                                           ROJO NEGR</v>
      </c>
      <c r="AA470" s="128" t="e">
        <f>+VLOOKUP(Tabla3[[#This Row],[CODIGO2]],ESTANDAR!$B$3:$C$9,2,FALSE)</f>
        <v>#N/A</v>
      </c>
      <c r="AB470" s="128" t="str">
        <f>+MID(Tabla3[[#This Row],['# Viaje]],10,1)</f>
        <v/>
      </c>
    </row>
    <row r="471" spans="1:28" ht="15" hidden="1" customHeight="1">
      <c r="A471" s="173" t="s">
        <v>1537</v>
      </c>
      <c r="B471" s="174">
        <v>42948</v>
      </c>
      <c r="C471" s="173" t="s">
        <v>1477</v>
      </c>
      <c r="D471" s="173" t="s">
        <v>1478</v>
      </c>
      <c r="E471" s="173" t="s">
        <v>1479</v>
      </c>
      <c r="F471" s="173">
        <v>1</v>
      </c>
      <c r="G471" s="173" t="s">
        <v>48</v>
      </c>
      <c r="H471" s="173">
        <v>1</v>
      </c>
      <c r="I471" s="173" t="s">
        <v>1538</v>
      </c>
      <c r="J471" s="173" t="s">
        <v>10</v>
      </c>
      <c r="K471" s="173" t="s">
        <v>11</v>
      </c>
      <c r="L471" s="173"/>
      <c r="M471" s="173" t="s">
        <v>80</v>
      </c>
      <c r="N471" s="173">
        <v>900330225</v>
      </c>
      <c r="O471" s="175">
        <v>7554622</v>
      </c>
      <c r="P471" s="7"/>
      <c r="Q471" s="16">
        <f>+IF(IFERROR(VLOOKUP(Tabla3[[#This Row],[Cliente factura]],Tabla4[[NIT]:[TOTAL CREDITO]],3,FALSE),0)="",0,IFERROR(VLOOKUP(Tabla3[[#This Row],[Cliente factura]],Tabla4[[NIT]:[TOTAL CREDITO]],3,FALSE),0))</f>
        <v>0</v>
      </c>
      <c r="R471" s="9">
        <f>+IFERROR(VLOOKUP(Tabla3[[#This Row],[Cliente factura]],Tabla4[[NIT]:[TOTAL CREDITO]],6,FALSE),0)</f>
        <v>0</v>
      </c>
      <c r="S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1" s="10" t="str">
        <f>VLOOKUP(Tabla3[[#This Row],[Razón social cliente factura]]&amp;Tabla3[[#This Row],[Desc. ciudad]],'Estandar de Rutas'!$C$1:$E$553,2,FALSE)</f>
        <v>5.2</v>
      </c>
      <c r="U471" s="130">
        <f>IFERROR(VLOOKUP(Tabla3[[#This Row],[Referencia]]&amp;Tabla3[[#This Row],[Desc detalle ext 1]],Tabla1[[Referencia-Color]:[Disponibilidad]],3,FALSE),0)</f>
        <v>0</v>
      </c>
      <c r="V471" s="13"/>
      <c r="W471" s="17">
        <f>+Tabla3[[#This Row],[Cant. Programada]]*Tabla3[[#This Row],[Precio unit]]</f>
        <v>0</v>
      </c>
      <c r="X471" s="129"/>
      <c r="Y471" s="129"/>
      <c r="Z471" s="8" t="str">
        <f>+Tabla3[[#This Row],[Referencia]]&amp;Tabla3[[#This Row],[Desc detalle ext 1]]</f>
        <v>CB 190R                                           NEGRO ONI</v>
      </c>
      <c r="AA471" s="128" t="e">
        <f>+VLOOKUP(Tabla3[[#This Row],[CODIGO2]],ESTANDAR!$B$3:$C$9,2,FALSE)</f>
        <v>#N/A</v>
      </c>
      <c r="AB471" s="128" t="str">
        <f>+MID(Tabla3[[#This Row],['# Viaje]],10,1)</f>
        <v/>
      </c>
    </row>
    <row r="472" spans="1:28" ht="15" hidden="1" customHeight="1">
      <c r="A472" s="173" t="s">
        <v>1537</v>
      </c>
      <c r="B472" s="174">
        <v>42948</v>
      </c>
      <c r="C472" s="173" t="s">
        <v>1477</v>
      </c>
      <c r="D472" s="173" t="s">
        <v>1478</v>
      </c>
      <c r="E472" s="173" t="s">
        <v>1479</v>
      </c>
      <c r="F472" s="173">
        <v>1</v>
      </c>
      <c r="G472" s="173" t="s">
        <v>48</v>
      </c>
      <c r="H472" s="173">
        <v>1</v>
      </c>
      <c r="I472" s="173" t="s">
        <v>1538</v>
      </c>
      <c r="J472" s="173" t="s">
        <v>25</v>
      </c>
      <c r="K472" s="173" t="s">
        <v>26</v>
      </c>
      <c r="L472" s="173"/>
      <c r="M472" s="173" t="s">
        <v>80</v>
      </c>
      <c r="N472" s="173">
        <v>900330225</v>
      </c>
      <c r="O472" s="175">
        <v>3521008</v>
      </c>
      <c r="P472" s="7"/>
      <c r="Q472" s="16">
        <f>+IF(IFERROR(VLOOKUP(Tabla3[[#This Row],[Cliente factura]],Tabla4[[NIT]:[TOTAL CREDITO]],3,FALSE),0)="",0,IFERROR(VLOOKUP(Tabla3[[#This Row],[Cliente factura]],Tabla4[[NIT]:[TOTAL CREDITO]],3,FALSE),0))</f>
        <v>0</v>
      </c>
      <c r="R472" s="9">
        <f>+IFERROR(VLOOKUP(Tabla3[[#This Row],[Cliente factura]],Tabla4[[NIT]:[TOTAL CREDITO]],6,FALSE),0)</f>
        <v>0</v>
      </c>
      <c r="S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2" s="10" t="str">
        <f>VLOOKUP(Tabla3[[#This Row],[Razón social cliente factura]]&amp;Tabla3[[#This Row],[Desc. ciudad]],'Estandar de Rutas'!$C$1:$E$553,2,FALSE)</f>
        <v>5.2</v>
      </c>
      <c r="U472" s="130">
        <f>IFERROR(VLOOKUP(Tabla3[[#This Row],[Referencia]]&amp;Tabla3[[#This Row],[Desc detalle ext 1]],Tabla1[[Referencia-Color]:[Disponibilidad]],3,FALSE),0)</f>
        <v>15</v>
      </c>
      <c r="V472" s="13"/>
      <c r="W472" s="17">
        <f>+Tabla3[[#This Row],[Cant. Programada]]*Tabla3[[#This Row],[Precio unit]]</f>
        <v>0</v>
      </c>
      <c r="X472" s="129"/>
      <c r="Y472" s="129"/>
      <c r="Z472" s="8" t="str">
        <f>+Tabla3[[#This Row],[Referencia]]&amp;Tabla3[[#This Row],[Desc detalle ext 1]]</f>
        <v>DIO 110                                           NEGRO BLA</v>
      </c>
      <c r="AA472" s="128" t="e">
        <f>+VLOOKUP(Tabla3[[#This Row],[CODIGO2]],ESTANDAR!$B$3:$C$9,2,FALSE)</f>
        <v>#N/A</v>
      </c>
      <c r="AB472" s="128" t="str">
        <f>+MID(Tabla3[[#This Row],['# Viaje]],10,1)</f>
        <v/>
      </c>
    </row>
    <row r="473" spans="1:28" ht="15" hidden="1" customHeight="1">
      <c r="A473" s="173" t="s">
        <v>1537</v>
      </c>
      <c r="B473" s="174">
        <v>42948</v>
      </c>
      <c r="C473" s="173" t="s">
        <v>1477</v>
      </c>
      <c r="D473" s="173" t="s">
        <v>1478</v>
      </c>
      <c r="E473" s="173" t="s">
        <v>1479</v>
      </c>
      <c r="F473" s="173">
        <v>1</v>
      </c>
      <c r="G473" s="173" t="s">
        <v>48</v>
      </c>
      <c r="H473" s="173">
        <v>1</v>
      </c>
      <c r="I473" s="173" t="s">
        <v>1538</v>
      </c>
      <c r="J473" s="173" t="s">
        <v>1425</v>
      </c>
      <c r="K473" s="173" t="s">
        <v>1426</v>
      </c>
      <c r="L473" s="173"/>
      <c r="M473" s="173" t="s">
        <v>80</v>
      </c>
      <c r="N473" s="173">
        <v>900330225</v>
      </c>
      <c r="O473" s="175">
        <v>7730252</v>
      </c>
      <c r="P473" s="7"/>
      <c r="Q473" s="16">
        <f>+IF(IFERROR(VLOOKUP(Tabla3[[#This Row],[Cliente factura]],Tabla4[[NIT]:[TOTAL CREDITO]],3,FALSE),0)="",0,IFERROR(VLOOKUP(Tabla3[[#This Row],[Cliente factura]],Tabla4[[NIT]:[TOTAL CREDITO]],3,FALSE),0))</f>
        <v>0</v>
      </c>
      <c r="R473" s="9">
        <f>+IFERROR(VLOOKUP(Tabla3[[#This Row],[Cliente factura]],Tabla4[[NIT]:[TOTAL CREDITO]],6,FALSE),0)</f>
        <v>0</v>
      </c>
      <c r="S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3" s="10" t="str">
        <f>VLOOKUP(Tabla3[[#This Row],[Razón social cliente factura]]&amp;Tabla3[[#This Row],[Desc. ciudad]],'Estandar de Rutas'!$C$1:$E$553,2,FALSE)</f>
        <v>5.2</v>
      </c>
      <c r="U473" s="130">
        <f>IFERROR(VLOOKUP(Tabla3[[#This Row],[Referencia]]&amp;Tabla3[[#This Row],[Desc detalle ext 1]],Tabla1[[Referencia-Color]:[Disponibilidad]],3,FALSE),0)</f>
        <v>104</v>
      </c>
      <c r="V473" s="13"/>
      <c r="W473" s="17">
        <f>+Tabla3[[#This Row],[Cant. Programada]]*Tabla3[[#This Row],[Precio unit]]</f>
        <v>0</v>
      </c>
      <c r="X473" s="129"/>
      <c r="Y473" s="129"/>
      <c r="Z473" s="8" t="str">
        <f>+Tabla3[[#This Row],[Referencia]]&amp;Tabla3[[#This Row],[Desc detalle ext 1]]</f>
        <v>CB 190 REPSOL                                     NARANJA B</v>
      </c>
      <c r="AA473" s="128" t="e">
        <f>+VLOOKUP(Tabla3[[#This Row],[CODIGO2]],ESTANDAR!$B$3:$C$9,2,FALSE)</f>
        <v>#N/A</v>
      </c>
      <c r="AB473" s="128" t="str">
        <f>+MID(Tabla3[[#This Row],['# Viaje]],10,1)</f>
        <v/>
      </c>
    </row>
    <row r="474" spans="1:28" ht="15" hidden="1" customHeight="1">
      <c r="A474" s="173" t="s">
        <v>1537</v>
      </c>
      <c r="B474" s="174">
        <v>42948</v>
      </c>
      <c r="C474" s="173" t="s">
        <v>1477</v>
      </c>
      <c r="D474" s="173" t="s">
        <v>1478</v>
      </c>
      <c r="E474" s="173" t="s">
        <v>1479</v>
      </c>
      <c r="F474" s="173">
        <v>2</v>
      </c>
      <c r="G474" s="173" t="s">
        <v>48</v>
      </c>
      <c r="H474" s="173">
        <v>2</v>
      </c>
      <c r="I474" s="173" t="s">
        <v>1538</v>
      </c>
      <c r="J474" s="173" t="s">
        <v>354</v>
      </c>
      <c r="K474" s="173" t="s">
        <v>17</v>
      </c>
      <c r="L474" s="173"/>
      <c r="M474" s="173" t="s">
        <v>80</v>
      </c>
      <c r="N474" s="173">
        <v>900330225</v>
      </c>
      <c r="O474" s="175">
        <v>6133613</v>
      </c>
      <c r="P474" s="7"/>
      <c r="Q474" s="16">
        <f>+IF(IFERROR(VLOOKUP(Tabla3[[#This Row],[Cliente factura]],Tabla4[[NIT]:[TOTAL CREDITO]],3,FALSE),0)="",0,IFERROR(VLOOKUP(Tabla3[[#This Row],[Cliente factura]],Tabla4[[NIT]:[TOTAL CREDITO]],3,FALSE),0))</f>
        <v>0</v>
      </c>
      <c r="R474" s="9">
        <f>+IFERROR(VLOOKUP(Tabla3[[#This Row],[Cliente factura]],Tabla4[[NIT]:[TOTAL CREDITO]],6,FALSE),0)</f>
        <v>0</v>
      </c>
      <c r="S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4" s="10" t="str">
        <f>VLOOKUP(Tabla3[[#This Row],[Razón social cliente factura]]&amp;Tabla3[[#This Row],[Desc. ciudad]],'Estandar de Rutas'!$C$1:$E$553,2,FALSE)</f>
        <v>5.2</v>
      </c>
      <c r="U474" s="130">
        <f>IFERROR(VLOOKUP(Tabla3[[#This Row],[Referencia]]&amp;Tabla3[[#This Row],[Desc detalle ext 1]],Tabla1[[Referencia-Color]:[Disponibilidad]],3,FALSE),0)</f>
        <v>48</v>
      </c>
      <c r="V474" s="13"/>
      <c r="W474" s="17">
        <f>+Tabla3[[#This Row],[Cant. Programada]]*Tabla3[[#This Row],[Precio unit]]</f>
        <v>0</v>
      </c>
      <c r="X474" s="129"/>
      <c r="Y474" s="129"/>
      <c r="Z474" s="8" t="str">
        <f>+Tabla3[[#This Row],[Referencia]]&amp;Tabla3[[#This Row],[Desc detalle ext 1]]</f>
        <v>CB 160F DLX                                       ROJO SPOR</v>
      </c>
      <c r="AA474" s="128" t="e">
        <f>+VLOOKUP(Tabla3[[#This Row],[CODIGO2]],ESTANDAR!$B$3:$C$9,2,FALSE)</f>
        <v>#N/A</v>
      </c>
      <c r="AB474" s="128" t="str">
        <f>+MID(Tabla3[[#This Row],['# Viaje]],10,1)</f>
        <v/>
      </c>
    </row>
    <row r="475" spans="1:28" ht="15" hidden="1" customHeight="1">
      <c r="A475" s="173" t="s">
        <v>1537</v>
      </c>
      <c r="B475" s="174">
        <v>42948</v>
      </c>
      <c r="C475" s="173" t="s">
        <v>1477</v>
      </c>
      <c r="D475" s="173" t="s">
        <v>1478</v>
      </c>
      <c r="E475" s="173" t="s">
        <v>1479</v>
      </c>
      <c r="F475" s="173">
        <v>1</v>
      </c>
      <c r="G475" s="173" t="s">
        <v>48</v>
      </c>
      <c r="H475" s="173">
        <v>1</v>
      </c>
      <c r="I475" s="173" t="s">
        <v>1538</v>
      </c>
      <c r="J475" s="173" t="s">
        <v>354</v>
      </c>
      <c r="K475" s="173" t="s">
        <v>355</v>
      </c>
      <c r="L475" s="173"/>
      <c r="M475" s="173" t="s">
        <v>80</v>
      </c>
      <c r="N475" s="173">
        <v>900330225</v>
      </c>
      <c r="O475" s="175">
        <v>6133613</v>
      </c>
      <c r="P475" s="7"/>
      <c r="Q475" s="16">
        <f>+IF(IFERROR(VLOOKUP(Tabla3[[#This Row],[Cliente factura]],Tabla4[[NIT]:[TOTAL CREDITO]],3,FALSE),0)="",0,IFERROR(VLOOKUP(Tabla3[[#This Row],[Cliente factura]],Tabla4[[NIT]:[TOTAL CREDITO]],3,FALSE),0))</f>
        <v>0</v>
      </c>
      <c r="R475" s="9">
        <f>+IFERROR(VLOOKUP(Tabla3[[#This Row],[Cliente factura]],Tabla4[[NIT]:[TOTAL CREDITO]],6,FALSE),0)</f>
        <v>0</v>
      </c>
      <c r="S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5" s="10" t="str">
        <f>VLOOKUP(Tabla3[[#This Row],[Razón social cliente factura]]&amp;Tabla3[[#This Row],[Desc. ciudad]],'Estandar de Rutas'!$C$1:$E$553,2,FALSE)</f>
        <v>5.2</v>
      </c>
      <c r="U475" s="130">
        <f>IFERROR(VLOOKUP(Tabla3[[#This Row],[Referencia]]&amp;Tabla3[[#This Row],[Desc detalle ext 1]],Tabla1[[Referencia-Color]:[Disponibilidad]],3,FALSE),0)</f>
        <v>0</v>
      </c>
      <c r="V475" s="13"/>
      <c r="W475" s="17">
        <f>+Tabla3[[#This Row],[Cant. Programada]]*Tabla3[[#This Row],[Precio unit]]</f>
        <v>0</v>
      </c>
      <c r="X475" s="129"/>
      <c r="Y475" s="129"/>
      <c r="Z475" s="8" t="str">
        <f>+Tabla3[[#This Row],[Referencia]]&amp;Tabla3[[#This Row],[Desc detalle ext 1]]</f>
        <v>CB 160F DLX                                       NEGRO PER</v>
      </c>
      <c r="AA475" s="128" t="e">
        <f>+VLOOKUP(Tabla3[[#This Row],[CODIGO2]],ESTANDAR!$B$3:$C$9,2,FALSE)</f>
        <v>#N/A</v>
      </c>
      <c r="AB475" s="128" t="str">
        <f>+MID(Tabla3[[#This Row],['# Viaje]],10,1)</f>
        <v/>
      </c>
    </row>
    <row r="476" spans="1:28" ht="15" hidden="1" customHeight="1">
      <c r="A476" s="173" t="s">
        <v>1537</v>
      </c>
      <c r="B476" s="174">
        <v>42948</v>
      </c>
      <c r="C476" s="173" t="s">
        <v>1477</v>
      </c>
      <c r="D476" s="173" t="s">
        <v>1478</v>
      </c>
      <c r="E476" s="173" t="s">
        <v>1479</v>
      </c>
      <c r="F476" s="173">
        <v>1</v>
      </c>
      <c r="G476" s="173" t="s">
        <v>48</v>
      </c>
      <c r="H476" s="173">
        <v>1</v>
      </c>
      <c r="I476" s="173" t="s">
        <v>1538</v>
      </c>
      <c r="J476" s="173" t="s">
        <v>1433</v>
      </c>
      <c r="K476" s="173" t="s">
        <v>1431</v>
      </c>
      <c r="L476" s="173"/>
      <c r="M476" s="173" t="s">
        <v>80</v>
      </c>
      <c r="N476" s="173">
        <v>900330225</v>
      </c>
      <c r="O476" s="175">
        <v>3521008</v>
      </c>
      <c r="P476" s="7"/>
      <c r="Q476" s="16">
        <f>+IF(IFERROR(VLOOKUP(Tabla3[[#This Row],[Cliente factura]],Tabla4[[NIT]:[TOTAL CREDITO]],3,FALSE),0)="",0,IFERROR(VLOOKUP(Tabla3[[#This Row],[Cliente factura]],Tabla4[[NIT]:[TOTAL CREDITO]],3,FALSE),0))</f>
        <v>0</v>
      </c>
      <c r="R476" s="9">
        <f>+IFERROR(VLOOKUP(Tabla3[[#This Row],[Cliente factura]],Tabla4[[NIT]:[TOTAL CREDITO]],6,FALSE),0)</f>
        <v>0</v>
      </c>
      <c r="S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6" s="10" t="str">
        <f>VLOOKUP(Tabla3[[#This Row],[Razón social cliente factura]]&amp;Tabla3[[#This Row],[Desc. ciudad]],'Estandar de Rutas'!$C$1:$E$553,2,FALSE)</f>
        <v>5.2</v>
      </c>
      <c r="U476" s="130">
        <f>IFERROR(VLOOKUP(Tabla3[[#This Row],[Referencia]]&amp;Tabla3[[#This Row],[Desc detalle ext 1]],Tabla1[[Referencia-Color]:[Disponibilidad]],3,FALSE),0)</f>
        <v>0</v>
      </c>
      <c r="V476" s="13"/>
      <c r="W476" s="17">
        <f>+Tabla3[[#This Row],[Cant. Programada]]*Tabla3[[#This Row],[Precio unit]]</f>
        <v>0</v>
      </c>
      <c r="X476" s="8"/>
      <c r="Y476" s="8"/>
      <c r="Z476" s="8" t="str">
        <f>+Tabla3[[#This Row],[Referencia]]&amp;Tabla3[[#This Row],[Desc detalle ext 1]]</f>
        <v xml:space="preserve">DIO  110                                          ROJO     </v>
      </c>
      <c r="AA476" s="128" t="e">
        <f>+VLOOKUP(Tabla3[[#This Row],[CODIGO2]],ESTANDAR!$B$3:$C$9,2,FALSE)</f>
        <v>#N/A</v>
      </c>
      <c r="AB476" s="128" t="str">
        <f>+MID(Tabla3[[#This Row],['# Viaje]],10,1)</f>
        <v/>
      </c>
    </row>
    <row r="477" spans="1:28" ht="15" hidden="1" customHeight="1">
      <c r="A477" s="173" t="s">
        <v>1537</v>
      </c>
      <c r="B477" s="174">
        <v>42948</v>
      </c>
      <c r="C477" s="173" t="s">
        <v>1477</v>
      </c>
      <c r="D477" s="173" t="s">
        <v>1478</v>
      </c>
      <c r="E477" s="173" t="s">
        <v>1479</v>
      </c>
      <c r="F477" s="173">
        <v>1</v>
      </c>
      <c r="G477" s="173" t="s">
        <v>48</v>
      </c>
      <c r="H477" s="173">
        <v>1</v>
      </c>
      <c r="I477" s="173" t="s">
        <v>1538</v>
      </c>
      <c r="J477" s="173" t="s">
        <v>1433</v>
      </c>
      <c r="K477" s="173" t="s">
        <v>1434</v>
      </c>
      <c r="L477" s="173"/>
      <c r="M477" s="173" t="s">
        <v>80</v>
      </c>
      <c r="N477" s="173">
        <v>900330225</v>
      </c>
      <c r="O477" s="175">
        <v>3521008</v>
      </c>
      <c r="P477" s="7"/>
      <c r="Q477" s="16">
        <f>+IF(IFERROR(VLOOKUP(Tabla3[[#This Row],[Cliente factura]],Tabla4[[NIT]:[TOTAL CREDITO]],3,FALSE),0)="",0,IFERROR(VLOOKUP(Tabla3[[#This Row],[Cliente factura]],Tabla4[[NIT]:[TOTAL CREDITO]],3,FALSE),0))</f>
        <v>0</v>
      </c>
      <c r="R477" s="9">
        <f>+IFERROR(VLOOKUP(Tabla3[[#This Row],[Cliente factura]],Tabla4[[NIT]:[TOTAL CREDITO]],6,FALSE),0)</f>
        <v>0</v>
      </c>
      <c r="S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7" s="10" t="str">
        <f>VLOOKUP(Tabla3[[#This Row],[Razón social cliente factura]]&amp;Tabla3[[#This Row],[Desc. ciudad]],'Estandar de Rutas'!$C$1:$E$553,2,FALSE)</f>
        <v>5.2</v>
      </c>
      <c r="U477" s="130">
        <f>IFERROR(VLOOKUP(Tabla3[[#This Row],[Referencia]]&amp;Tabla3[[#This Row],[Desc detalle ext 1]],Tabla1[[Referencia-Color]:[Disponibilidad]],3,FALSE),0)</f>
        <v>23</v>
      </c>
      <c r="V477" s="13"/>
      <c r="W477" s="17">
        <f>+Tabla3[[#This Row],[Cant. Programada]]*Tabla3[[#This Row],[Precio unit]]</f>
        <v>0</v>
      </c>
      <c r="X477" s="8"/>
      <c r="Y477" s="8"/>
      <c r="Z477" s="8" t="str">
        <f>+Tabla3[[#This Row],[Referencia]]&amp;Tabla3[[#This Row],[Desc detalle ext 1]]</f>
        <v>DIO  110                                          BLANCO NE</v>
      </c>
      <c r="AA477" s="128" t="e">
        <f>+VLOOKUP(Tabla3[[#This Row],[CODIGO2]],ESTANDAR!$B$3:$C$9,2,FALSE)</f>
        <v>#N/A</v>
      </c>
      <c r="AB477" s="128" t="str">
        <f>+MID(Tabla3[[#This Row],['# Viaje]],10,1)</f>
        <v/>
      </c>
    </row>
    <row r="478" spans="1:28" ht="15" hidden="1" customHeight="1">
      <c r="A478" s="173" t="s">
        <v>1537</v>
      </c>
      <c r="B478" s="174">
        <v>42948</v>
      </c>
      <c r="C478" s="173" t="s">
        <v>1477</v>
      </c>
      <c r="D478" s="173" t="s">
        <v>1478</v>
      </c>
      <c r="E478" s="173" t="s">
        <v>1479</v>
      </c>
      <c r="F478" s="173">
        <v>1</v>
      </c>
      <c r="G478" s="173" t="s">
        <v>48</v>
      </c>
      <c r="H478" s="173">
        <v>1</v>
      </c>
      <c r="I478" s="173" t="s">
        <v>1538</v>
      </c>
      <c r="J478" s="173" t="s">
        <v>1433</v>
      </c>
      <c r="K478" s="173" t="s">
        <v>1452</v>
      </c>
      <c r="L478" s="173"/>
      <c r="M478" s="173" t="s">
        <v>80</v>
      </c>
      <c r="N478" s="173">
        <v>900330225</v>
      </c>
      <c r="O478" s="175">
        <v>3521008</v>
      </c>
      <c r="P478" s="7"/>
      <c r="Q478" s="16">
        <f>+IF(IFERROR(VLOOKUP(Tabla3[[#This Row],[Cliente factura]],Tabla4[[NIT]:[TOTAL CREDITO]],3,FALSE),0)="",0,IFERROR(VLOOKUP(Tabla3[[#This Row],[Cliente factura]],Tabla4[[NIT]:[TOTAL CREDITO]],3,FALSE),0))</f>
        <v>0</v>
      </c>
      <c r="R478" s="9">
        <f>+IFERROR(VLOOKUP(Tabla3[[#This Row],[Cliente factura]],Tabla4[[NIT]:[TOTAL CREDITO]],6,FALSE),0)</f>
        <v>0</v>
      </c>
      <c r="S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8" s="10" t="str">
        <f>VLOOKUP(Tabla3[[#This Row],[Razón social cliente factura]]&amp;Tabla3[[#This Row],[Desc. ciudad]],'Estandar de Rutas'!$C$1:$E$553,2,FALSE)</f>
        <v>5.2</v>
      </c>
      <c r="U478" s="130">
        <f>IFERROR(VLOOKUP(Tabla3[[#This Row],[Referencia]]&amp;Tabla3[[#This Row],[Desc detalle ext 1]],Tabla1[[Referencia-Color]:[Disponibilidad]],3,FALSE),0)</f>
        <v>0</v>
      </c>
      <c r="V478" s="13"/>
      <c r="W478" s="17">
        <f>+Tabla3[[#This Row],[Cant. Programada]]*Tabla3[[#This Row],[Precio unit]]</f>
        <v>0</v>
      </c>
      <c r="X478" s="8"/>
      <c r="Y478" s="8"/>
      <c r="Z478" s="8" t="str">
        <f>+Tabla3[[#This Row],[Referencia]]&amp;Tabla3[[#This Row],[Desc detalle ext 1]]</f>
        <v xml:space="preserve">DIO  110                                          AZUL     </v>
      </c>
      <c r="AA478" s="128" t="e">
        <f>+VLOOKUP(Tabla3[[#This Row],[CODIGO2]],ESTANDAR!$B$3:$C$9,2,FALSE)</f>
        <v>#N/A</v>
      </c>
      <c r="AB478" s="128" t="str">
        <f>+MID(Tabla3[[#This Row],['# Viaje]],10,1)</f>
        <v/>
      </c>
    </row>
    <row r="479" spans="1:28" ht="15" hidden="1" customHeight="1">
      <c r="A479" s="173" t="s">
        <v>1537</v>
      </c>
      <c r="B479" s="174">
        <v>42948</v>
      </c>
      <c r="C479" s="173" t="s">
        <v>1477</v>
      </c>
      <c r="D479" s="173" t="s">
        <v>1478</v>
      </c>
      <c r="E479" s="173" t="s">
        <v>1479</v>
      </c>
      <c r="F479" s="173">
        <v>1</v>
      </c>
      <c r="G479" s="173" t="s">
        <v>48</v>
      </c>
      <c r="H479" s="173">
        <v>1</v>
      </c>
      <c r="I479" s="173" t="s">
        <v>1538</v>
      </c>
      <c r="J479" s="173" t="s">
        <v>1453</v>
      </c>
      <c r="K479" s="173" t="s">
        <v>11</v>
      </c>
      <c r="L479" s="173"/>
      <c r="M479" s="173" t="s">
        <v>80</v>
      </c>
      <c r="N479" s="173">
        <v>900330225</v>
      </c>
      <c r="O479" s="175">
        <v>7730252</v>
      </c>
      <c r="P479" s="7"/>
      <c r="Q479" s="16">
        <f>+IF(IFERROR(VLOOKUP(Tabla3[[#This Row],[Cliente factura]],Tabla4[[NIT]:[TOTAL CREDITO]],3,FALSE),0)="",0,IFERROR(VLOOKUP(Tabla3[[#This Row],[Cliente factura]],Tabla4[[NIT]:[TOTAL CREDITO]],3,FALSE),0))</f>
        <v>0</v>
      </c>
      <c r="R479" s="9">
        <f>+IFERROR(VLOOKUP(Tabla3[[#This Row],[Cliente factura]],Tabla4[[NIT]:[TOTAL CREDITO]],6,FALSE),0)</f>
        <v>0</v>
      </c>
      <c r="S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9" s="10" t="str">
        <f>VLOOKUP(Tabla3[[#This Row],[Razón social cliente factura]]&amp;Tabla3[[#This Row],[Desc. ciudad]],'Estandar de Rutas'!$C$1:$E$553,2,FALSE)</f>
        <v>5.2</v>
      </c>
      <c r="U479" s="130">
        <f>IFERROR(VLOOKUP(Tabla3[[#This Row],[Referencia]]&amp;Tabla3[[#This Row],[Desc detalle ext 1]],Tabla1[[Referencia-Color]:[Disponibilidad]],3,FALSE),0)</f>
        <v>0</v>
      </c>
      <c r="V479" s="13"/>
      <c r="W479" s="17">
        <f>+Tabla3[[#This Row],[Cant. Programada]]*Tabla3[[#This Row],[Precio unit]]</f>
        <v>0</v>
      </c>
      <c r="X479" s="8"/>
      <c r="Y479" s="8"/>
      <c r="Z479" s="8" t="str">
        <f>+Tabla3[[#This Row],[Referencia]]&amp;Tabla3[[#This Row],[Desc detalle ext 1]]</f>
        <v>CB 190R INSTINTO R                                NEGRO ONI</v>
      </c>
      <c r="AA479" s="128" t="e">
        <f>+VLOOKUP(Tabla3[[#This Row],[CODIGO2]],ESTANDAR!$B$3:$C$9,2,FALSE)</f>
        <v>#N/A</v>
      </c>
      <c r="AB479" s="128" t="str">
        <f>+MID(Tabla3[[#This Row],['# Viaje]],10,1)</f>
        <v/>
      </c>
    </row>
    <row r="480" spans="1:28" ht="15" hidden="1" customHeight="1">
      <c r="A480" s="173" t="s">
        <v>1537</v>
      </c>
      <c r="B480" s="174">
        <v>42948</v>
      </c>
      <c r="C480" s="173" t="s">
        <v>1477</v>
      </c>
      <c r="D480" s="173" t="s">
        <v>1478</v>
      </c>
      <c r="E480" s="173" t="s">
        <v>1479</v>
      </c>
      <c r="F480" s="173">
        <v>1</v>
      </c>
      <c r="G480" s="173" t="s">
        <v>48</v>
      </c>
      <c r="H480" s="173">
        <v>1</v>
      </c>
      <c r="I480" s="173" t="s">
        <v>1538</v>
      </c>
      <c r="J480" s="173" t="s">
        <v>1428</v>
      </c>
      <c r="K480" s="173" t="s">
        <v>32</v>
      </c>
      <c r="L480" s="173"/>
      <c r="M480" s="173" t="s">
        <v>80</v>
      </c>
      <c r="N480" s="173">
        <v>900330225</v>
      </c>
      <c r="O480" s="175">
        <v>3067227</v>
      </c>
      <c r="P480" s="7"/>
      <c r="Q480" s="16">
        <f>+IF(IFERROR(VLOOKUP(Tabla3[[#This Row],[Cliente factura]],Tabla4[[NIT]:[TOTAL CREDITO]],3,FALSE),0)="",0,IFERROR(VLOOKUP(Tabla3[[#This Row],[Cliente factura]],Tabla4[[NIT]:[TOTAL CREDITO]],3,FALSE),0))</f>
        <v>0</v>
      </c>
      <c r="R480" s="9">
        <f>+IFERROR(VLOOKUP(Tabla3[[#This Row],[Cliente factura]],Tabla4[[NIT]:[TOTAL CREDITO]],6,FALSE),0)</f>
        <v>0</v>
      </c>
      <c r="S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0" s="10" t="str">
        <f>VLOOKUP(Tabla3[[#This Row],[Razón social cliente factura]]&amp;Tabla3[[#This Row],[Desc. ciudad]],'Estandar de Rutas'!$C$1:$E$553,2,FALSE)</f>
        <v>5.2</v>
      </c>
      <c r="U480" s="130">
        <f>IFERROR(VLOOKUP(Tabla3[[#This Row],[Referencia]]&amp;Tabla3[[#This Row],[Desc detalle ext 1]],Tabla1[[Referencia-Color]:[Disponibilidad]],3,FALSE),0)</f>
        <v>0</v>
      </c>
      <c r="V480" s="13"/>
      <c r="W480" s="17">
        <f>+Tabla3[[#This Row],[Cant. Programada]]*Tabla3[[#This Row],[Precio unit]]</f>
        <v>0</v>
      </c>
      <c r="X480" s="129"/>
      <c r="Y480" s="129"/>
      <c r="Z480" s="8" t="str">
        <f>+Tabla3[[#This Row],[Referencia]]&amp;Tabla3[[#This Row],[Desc detalle ext 1]]</f>
        <v>DREAM  NEO                                        NEGRO ROJ</v>
      </c>
      <c r="AA480" s="128" t="e">
        <f>+VLOOKUP(Tabla3[[#This Row],[CODIGO2]],ESTANDAR!$B$3:$C$9,2,FALSE)</f>
        <v>#N/A</v>
      </c>
      <c r="AB480" s="128" t="str">
        <f>+MID(Tabla3[[#This Row],['# Viaje]],10,1)</f>
        <v/>
      </c>
    </row>
    <row r="481" spans="1:28" ht="15" hidden="1" customHeight="1">
      <c r="A481" s="173" t="s">
        <v>1537</v>
      </c>
      <c r="B481" s="174">
        <v>42948</v>
      </c>
      <c r="C481" s="173" t="s">
        <v>1477</v>
      </c>
      <c r="D481" s="173" t="s">
        <v>1478</v>
      </c>
      <c r="E481" s="173" t="s">
        <v>1479</v>
      </c>
      <c r="F481" s="173">
        <v>1</v>
      </c>
      <c r="G481" s="173" t="s">
        <v>48</v>
      </c>
      <c r="H481" s="173">
        <v>1</v>
      </c>
      <c r="I481" s="173" t="s">
        <v>1538</v>
      </c>
      <c r="J481" s="173" t="s">
        <v>1428</v>
      </c>
      <c r="K481" s="173" t="s">
        <v>1429</v>
      </c>
      <c r="L481" s="173"/>
      <c r="M481" s="173" t="s">
        <v>80</v>
      </c>
      <c r="N481" s="173">
        <v>900330225</v>
      </c>
      <c r="O481" s="175">
        <v>3067227</v>
      </c>
      <c r="P481" s="7"/>
      <c r="Q481" s="16">
        <f>+IF(IFERROR(VLOOKUP(Tabla3[[#This Row],[Cliente factura]],Tabla4[[NIT]:[TOTAL CREDITO]],3,FALSE),0)="",0,IFERROR(VLOOKUP(Tabla3[[#This Row],[Cliente factura]],Tabla4[[NIT]:[TOTAL CREDITO]],3,FALSE),0))</f>
        <v>0</v>
      </c>
      <c r="R481" s="9">
        <f>+IFERROR(VLOOKUP(Tabla3[[#This Row],[Cliente factura]],Tabla4[[NIT]:[TOTAL CREDITO]],6,FALSE),0)</f>
        <v>0</v>
      </c>
      <c r="S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1" s="10" t="str">
        <f>VLOOKUP(Tabla3[[#This Row],[Razón social cliente factura]]&amp;Tabla3[[#This Row],[Desc. ciudad]],'Estandar de Rutas'!$C$1:$E$553,2,FALSE)</f>
        <v>5.2</v>
      </c>
      <c r="U481" s="130">
        <f>IFERROR(VLOOKUP(Tabla3[[#This Row],[Referencia]]&amp;Tabla3[[#This Row],[Desc detalle ext 1]],Tabla1[[Referencia-Color]:[Disponibilidad]],3,FALSE),0)</f>
        <v>0</v>
      </c>
      <c r="V481" s="13"/>
      <c r="W481" s="17">
        <f>+Tabla3[[#This Row],[Cant. Programada]]*Tabla3[[#This Row],[Precio unit]]</f>
        <v>0</v>
      </c>
      <c r="X481" s="129"/>
      <c r="Y481" s="129"/>
      <c r="Z481" s="8" t="str">
        <f>+Tabla3[[#This Row],[Referencia]]&amp;Tabla3[[#This Row],[Desc detalle ext 1]]</f>
        <v>DREAM  NEO                                        NEGRO AZU</v>
      </c>
      <c r="AA481" s="128" t="e">
        <f>+VLOOKUP(Tabla3[[#This Row],[CODIGO2]],ESTANDAR!$B$3:$C$9,2,FALSE)</f>
        <v>#N/A</v>
      </c>
      <c r="AB481" s="128" t="str">
        <f>+MID(Tabla3[[#This Row],['# Viaje]],10,1)</f>
        <v/>
      </c>
    </row>
    <row r="482" spans="1:28" ht="15" hidden="1" customHeight="1">
      <c r="A482" s="173" t="s">
        <v>1537</v>
      </c>
      <c r="B482" s="174">
        <v>42948</v>
      </c>
      <c r="C482" s="173" t="s">
        <v>1477</v>
      </c>
      <c r="D482" s="173" t="s">
        <v>1478</v>
      </c>
      <c r="E482" s="173" t="s">
        <v>1479</v>
      </c>
      <c r="F482" s="173">
        <v>1</v>
      </c>
      <c r="G482" s="173" t="s">
        <v>48</v>
      </c>
      <c r="H482" s="173">
        <v>1</v>
      </c>
      <c r="I482" s="173" t="s">
        <v>1538</v>
      </c>
      <c r="J482" s="173" t="s">
        <v>1430</v>
      </c>
      <c r="K482" s="173" t="s">
        <v>1432</v>
      </c>
      <c r="L482" s="173"/>
      <c r="M482" s="173" t="s">
        <v>80</v>
      </c>
      <c r="N482" s="173">
        <v>900330225</v>
      </c>
      <c r="O482" s="175">
        <v>3941176</v>
      </c>
      <c r="P482" s="7"/>
      <c r="Q482" s="16">
        <f>+IF(IFERROR(VLOOKUP(Tabla3[[#This Row],[Cliente factura]],Tabla4[[NIT]:[TOTAL CREDITO]],3,FALSE),0)="",0,IFERROR(VLOOKUP(Tabla3[[#This Row],[Cliente factura]],Tabla4[[NIT]:[TOTAL CREDITO]],3,FALSE),0))</f>
        <v>0</v>
      </c>
      <c r="R482" s="9">
        <f>+IFERROR(VLOOKUP(Tabla3[[#This Row],[Cliente factura]],Tabla4[[NIT]:[TOTAL CREDITO]],6,FALSE),0)</f>
        <v>0</v>
      </c>
      <c r="S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2" s="10" t="str">
        <f>VLOOKUP(Tabla3[[#This Row],[Razón social cliente factura]]&amp;Tabla3[[#This Row],[Desc. ciudad]],'Estandar de Rutas'!$C$1:$E$553,2,FALSE)</f>
        <v>5.2</v>
      </c>
      <c r="U482" s="130">
        <f>IFERROR(VLOOKUP(Tabla3[[#This Row],[Referencia]]&amp;Tabla3[[#This Row],[Desc detalle ext 1]],Tabla1[[Referencia-Color]:[Disponibilidad]],3,FALSE),0)</f>
        <v>23</v>
      </c>
      <c r="V482" s="13"/>
      <c r="W482" s="17">
        <f>+Tabla3[[#This Row],[Cant. Programada]]*Tabla3[[#This Row],[Precio unit]]</f>
        <v>0</v>
      </c>
      <c r="X482" s="129"/>
      <c r="Y482" s="129"/>
      <c r="Z482" s="8" t="str">
        <f>+Tabla3[[#This Row],[Referencia]]&amp;Tabla3[[#This Row],[Desc detalle ext 1]]</f>
        <v xml:space="preserve">WAVE 110S                                         BLANCO   </v>
      </c>
      <c r="AA482" s="128" t="e">
        <f>+VLOOKUP(Tabla3[[#This Row],[CODIGO2]],ESTANDAR!$B$3:$C$9,2,FALSE)</f>
        <v>#N/A</v>
      </c>
      <c r="AB482" s="128" t="str">
        <f>+MID(Tabla3[[#This Row],['# Viaje]],10,1)</f>
        <v/>
      </c>
    </row>
    <row r="483" spans="1:28" ht="15" hidden="1" customHeight="1">
      <c r="A483" s="173" t="s">
        <v>1537</v>
      </c>
      <c r="B483" s="174">
        <v>42948</v>
      </c>
      <c r="C483" s="173" t="s">
        <v>1477</v>
      </c>
      <c r="D483" s="173" t="s">
        <v>1478</v>
      </c>
      <c r="E483" s="173" t="s">
        <v>1479</v>
      </c>
      <c r="F483" s="173">
        <v>1</v>
      </c>
      <c r="G483" s="173" t="s">
        <v>48</v>
      </c>
      <c r="H483" s="173">
        <v>1</v>
      </c>
      <c r="I483" s="173" t="s">
        <v>1538</v>
      </c>
      <c r="J483" s="173" t="s">
        <v>1430</v>
      </c>
      <c r="K483" s="173" t="s">
        <v>16</v>
      </c>
      <c r="L483" s="173"/>
      <c r="M483" s="173" t="s">
        <v>80</v>
      </c>
      <c r="N483" s="173">
        <v>900330225</v>
      </c>
      <c r="O483" s="175">
        <v>3941176</v>
      </c>
      <c r="P483" s="7"/>
      <c r="Q483" s="16">
        <f>+IF(IFERROR(VLOOKUP(Tabla3[[#This Row],[Cliente factura]],Tabla4[[NIT]:[TOTAL CREDITO]],3,FALSE),0)="",0,IFERROR(VLOOKUP(Tabla3[[#This Row],[Cliente factura]],Tabla4[[NIT]:[TOTAL CREDITO]],3,FALSE),0))</f>
        <v>0</v>
      </c>
      <c r="R483" s="9">
        <f>+IFERROR(VLOOKUP(Tabla3[[#This Row],[Cliente factura]],Tabla4[[NIT]:[TOTAL CREDITO]],6,FALSE),0)</f>
        <v>0</v>
      </c>
      <c r="S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3" s="10" t="str">
        <f>VLOOKUP(Tabla3[[#This Row],[Razón social cliente factura]]&amp;Tabla3[[#This Row],[Desc. ciudad]],'Estandar de Rutas'!$C$1:$E$553,2,FALSE)</f>
        <v>5.2</v>
      </c>
      <c r="U483" s="130">
        <f>IFERROR(VLOOKUP(Tabla3[[#This Row],[Referencia]]&amp;Tabla3[[#This Row],[Desc detalle ext 1]],Tabla1[[Referencia-Color]:[Disponibilidad]],3,FALSE),0)</f>
        <v>0</v>
      </c>
      <c r="V483" s="13"/>
      <c r="W483" s="17">
        <f>+Tabla3[[#This Row],[Cant. Programada]]*Tabla3[[#This Row],[Precio unit]]</f>
        <v>0</v>
      </c>
      <c r="X483" s="8"/>
      <c r="Y483" s="8"/>
      <c r="Z483" s="8" t="str">
        <f>+Tabla3[[#This Row],[Referencia]]&amp;Tabla3[[#This Row],[Desc detalle ext 1]]</f>
        <v xml:space="preserve">WAVE 110S                                         NEGRO    </v>
      </c>
      <c r="AA483" s="128" t="e">
        <f>+VLOOKUP(Tabla3[[#This Row],[CODIGO2]],ESTANDAR!$B$3:$C$9,2,FALSE)</f>
        <v>#N/A</v>
      </c>
      <c r="AB483" s="128" t="str">
        <f>+MID(Tabla3[[#This Row],['# Viaje]],10,1)</f>
        <v/>
      </c>
    </row>
    <row r="484" spans="1:28" ht="15" hidden="1" customHeight="1">
      <c r="A484" s="173" t="s">
        <v>1537</v>
      </c>
      <c r="B484" s="174">
        <v>42948</v>
      </c>
      <c r="C484" s="173" t="s">
        <v>1477</v>
      </c>
      <c r="D484" s="173" t="s">
        <v>1478</v>
      </c>
      <c r="E484" s="173" t="s">
        <v>1479</v>
      </c>
      <c r="F484" s="173">
        <v>1</v>
      </c>
      <c r="G484" s="173" t="s">
        <v>48</v>
      </c>
      <c r="H484" s="173">
        <v>1</v>
      </c>
      <c r="I484" s="173" t="s">
        <v>1538</v>
      </c>
      <c r="J484" s="173" t="s">
        <v>1234</v>
      </c>
      <c r="K484" s="173" t="s">
        <v>355</v>
      </c>
      <c r="L484" s="173"/>
      <c r="M484" s="173" t="s">
        <v>80</v>
      </c>
      <c r="N484" s="173">
        <v>900330225</v>
      </c>
      <c r="O484" s="175">
        <v>5453782</v>
      </c>
      <c r="P484" s="7"/>
      <c r="Q484" s="16">
        <f>+IF(IFERROR(VLOOKUP(Tabla3[[#This Row],[Cliente factura]],Tabla4[[NIT]:[TOTAL CREDITO]],3,FALSE),0)="",0,IFERROR(VLOOKUP(Tabla3[[#This Row],[Cliente factura]],Tabla4[[NIT]:[TOTAL CREDITO]],3,FALSE),0))</f>
        <v>0</v>
      </c>
      <c r="R484" s="9">
        <f>+IFERROR(VLOOKUP(Tabla3[[#This Row],[Cliente factura]],Tabla4[[NIT]:[TOTAL CREDITO]],6,FALSE),0)</f>
        <v>0</v>
      </c>
      <c r="S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4" s="10" t="str">
        <f>VLOOKUP(Tabla3[[#This Row],[Razón social cliente factura]]&amp;Tabla3[[#This Row],[Desc. ciudad]],'Estandar de Rutas'!$C$1:$E$553,2,FALSE)</f>
        <v>5.2</v>
      </c>
      <c r="U484" s="130">
        <f>IFERROR(VLOOKUP(Tabla3[[#This Row],[Referencia]]&amp;Tabla3[[#This Row],[Desc detalle ext 1]],Tabla1[[Referencia-Color]:[Disponibilidad]],3,FALSE),0)</f>
        <v>0</v>
      </c>
      <c r="V484" s="13"/>
      <c r="W484" s="17">
        <f>+Tabla3[[#This Row],[Cant. Programada]]*Tabla3[[#This Row],[Precio unit]]</f>
        <v>0</v>
      </c>
      <c r="X484" s="8"/>
      <c r="Y484" s="8"/>
      <c r="Z484" s="8" t="str">
        <f>+Tabla3[[#This Row],[Referencia]]&amp;Tabla3[[#This Row],[Desc detalle ext 1]]</f>
        <v>CB 160F STD                                       NEGRO PER</v>
      </c>
      <c r="AA484" s="128" t="e">
        <f>+VLOOKUP(Tabla3[[#This Row],[CODIGO2]],ESTANDAR!$B$3:$C$9,2,FALSE)</f>
        <v>#N/A</v>
      </c>
      <c r="AB484" s="128" t="str">
        <f>+MID(Tabla3[[#This Row],['# Viaje]],10,1)</f>
        <v/>
      </c>
    </row>
    <row r="485" spans="1:28" ht="15" hidden="1" customHeight="1">
      <c r="A485" s="173" t="s">
        <v>1537</v>
      </c>
      <c r="B485" s="174">
        <v>42948</v>
      </c>
      <c r="C485" s="173" t="s">
        <v>1477</v>
      </c>
      <c r="D485" s="173" t="s">
        <v>1478</v>
      </c>
      <c r="E485" s="173" t="s">
        <v>1479</v>
      </c>
      <c r="F485" s="173">
        <v>1</v>
      </c>
      <c r="G485" s="173" t="s">
        <v>48</v>
      </c>
      <c r="H485" s="173">
        <v>1</v>
      </c>
      <c r="I485" s="173" t="s">
        <v>1538</v>
      </c>
      <c r="J485" s="173" t="s">
        <v>1451</v>
      </c>
      <c r="K485" s="173" t="s">
        <v>1452</v>
      </c>
      <c r="L485" s="173"/>
      <c r="M485" s="173" t="s">
        <v>80</v>
      </c>
      <c r="N485" s="173">
        <v>900330225</v>
      </c>
      <c r="O485" s="175">
        <v>3696639</v>
      </c>
      <c r="P485" s="7"/>
      <c r="Q485" s="16">
        <f>+IF(IFERROR(VLOOKUP(Tabla3[[#This Row],[Cliente factura]],Tabla4[[NIT]:[TOTAL CREDITO]],3,FALSE),0)="",0,IFERROR(VLOOKUP(Tabla3[[#This Row],[Cliente factura]],Tabla4[[NIT]:[TOTAL CREDITO]],3,FALSE),0))</f>
        <v>0</v>
      </c>
      <c r="R485" s="9">
        <f>+IFERROR(VLOOKUP(Tabla3[[#This Row],[Cliente factura]],Tabla4[[NIT]:[TOTAL CREDITO]],6,FALSE),0)</f>
        <v>0</v>
      </c>
      <c r="S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5" s="10" t="str">
        <f>VLOOKUP(Tabla3[[#This Row],[Razón social cliente factura]]&amp;Tabla3[[#This Row],[Desc. ciudad]],'Estandar de Rutas'!$C$1:$E$553,2,FALSE)</f>
        <v>5.2</v>
      </c>
      <c r="U485" s="130">
        <f>IFERROR(VLOOKUP(Tabla3[[#This Row],[Referencia]]&amp;Tabla3[[#This Row],[Desc detalle ext 1]],Tabla1[[Referencia-Color]:[Disponibilidad]],3,FALSE),0)</f>
        <v>21</v>
      </c>
      <c r="V485" s="13"/>
      <c r="W485" s="17">
        <f>+Tabla3[[#This Row],[Cant. Programada]]*Tabla3[[#This Row],[Precio unit]]</f>
        <v>0</v>
      </c>
      <c r="X485" s="8"/>
      <c r="Y485" s="8"/>
      <c r="Z485" s="8" t="str">
        <f>+Tabla3[[#This Row],[Referencia]]&amp;Tabla3[[#This Row],[Desc detalle ext 1]]</f>
        <v xml:space="preserve">CB 110 DLX                                        AZUL     </v>
      </c>
      <c r="AA485" s="128" t="e">
        <f>+VLOOKUP(Tabla3[[#This Row],[CODIGO2]],ESTANDAR!$B$3:$C$9,2,FALSE)</f>
        <v>#N/A</v>
      </c>
      <c r="AB485" s="128" t="str">
        <f>+MID(Tabla3[[#This Row],['# Viaje]],10,1)</f>
        <v/>
      </c>
    </row>
    <row r="486" spans="1:28" ht="15" hidden="1" customHeight="1">
      <c r="A486" s="173" t="s">
        <v>1537</v>
      </c>
      <c r="B486" s="174">
        <v>42948</v>
      </c>
      <c r="C486" s="173" t="s">
        <v>1477</v>
      </c>
      <c r="D486" s="173" t="s">
        <v>1478</v>
      </c>
      <c r="E486" s="173" t="s">
        <v>1479</v>
      </c>
      <c r="F486" s="173">
        <v>1</v>
      </c>
      <c r="G486" s="173" t="s">
        <v>48</v>
      </c>
      <c r="H486" s="173">
        <v>1</v>
      </c>
      <c r="I486" s="173" t="s">
        <v>1538</v>
      </c>
      <c r="J486" s="173" t="s">
        <v>1451</v>
      </c>
      <c r="K486" s="173" t="s">
        <v>1449</v>
      </c>
      <c r="L486" s="173"/>
      <c r="M486" s="173" t="s">
        <v>80</v>
      </c>
      <c r="N486" s="173">
        <v>900330225</v>
      </c>
      <c r="O486" s="175">
        <v>3696639</v>
      </c>
      <c r="P486" s="7"/>
      <c r="Q486" s="16">
        <f>+IF(IFERROR(VLOOKUP(Tabla3[[#This Row],[Cliente factura]],Tabla4[[NIT]:[TOTAL CREDITO]],3,FALSE),0)="",0,IFERROR(VLOOKUP(Tabla3[[#This Row],[Cliente factura]],Tabla4[[NIT]:[TOTAL CREDITO]],3,FALSE),0))</f>
        <v>0</v>
      </c>
      <c r="R486" s="9">
        <f>+IFERROR(VLOOKUP(Tabla3[[#This Row],[Cliente factura]],Tabla4[[NIT]:[TOTAL CREDITO]],6,FALSE),0)</f>
        <v>0</v>
      </c>
      <c r="S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6" s="10" t="str">
        <f>VLOOKUP(Tabla3[[#This Row],[Razón social cliente factura]]&amp;Tabla3[[#This Row],[Desc. ciudad]],'Estandar de Rutas'!$C$1:$E$553,2,FALSE)</f>
        <v>5.2</v>
      </c>
      <c r="U486" s="130">
        <f>IFERROR(VLOOKUP(Tabla3[[#This Row],[Referencia]]&amp;Tabla3[[#This Row],[Desc detalle ext 1]],Tabla1[[Referencia-Color]:[Disponibilidad]],3,FALSE),0)</f>
        <v>24</v>
      </c>
      <c r="V486" s="13"/>
      <c r="W486" s="17">
        <f>+Tabla3[[#This Row],[Cant. Programada]]*Tabla3[[#This Row],[Precio unit]]</f>
        <v>0</v>
      </c>
      <c r="X486" s="8"/>
      <c r="Y486" s="8"/>
      <c r="Z486" s="8" t="str">
        <f>+Tabla3[[#This Row],[Referencia]]&amp;Tabla3[[#This Row],[Desc detalle ext 1]]</f>
        <v xml:space="preserve">CB 110 DLX                                        GRIS     </v>
      </c>
      <c r="AA486" s="128" t="e">
        <f>+VLOOKUP(Tabla3[[#This Row],[CODIGO2]],ESTANDAR!$B$3:$C$9,2,FALSE)</f>
        <v>#N/A</v>
      </c>
      <c r="AB486" s="128" t="str">
        <f>+MID(Tabla3[[#This Row],['# Viaje]],10,1)</f>
        <v/>
      </c>
    </row>
    <row r="487" spans="1:28" ht="15" hidden="1" customHeight="1">
      <c r="A487" s="173" t="s">
        <v>1537</v>
      </c>
      <c r="B487" s="174">
        <v>42948</v>
      </c>
      <c r="C487" s="173" t="s">
        <v>1477</v>
      </c>
      <c r="D487" s="173" t="s">
        <v>1478</v>
      </c>
      <c r="E487" s="173" t="s">
        <v>1479</v>
      </c>
      <c r="F487" s="173">
        <v>1</v>
      </c>
      <c r="G487" s="173" t="s">
        <v>48</v>
      </c>
      <c r="H487" s="173">
        <v>1</v>
      </c>
      <c r="I487" s="173" t="s">
        <v>1538</v>
      </c>
      <c r="J487" s="173" t="s">
        <v>1451</v>
      </c>
      <c r="K487" s="173" t="s">
        <v>1431</v>
      </c>
      <c r="L487" s="173"/>
      <c r="M487" s="173" t="s">
        <v>80</v>
      </c>
      <c r="N487" s="173">
        <v>900330225</v>
      </c>
      <c r="O487" s="175">
        <v>3696639</v>
      </c>
      <c r="P487" s="7"/>
      <c r="Q487" s="16">
        <f>+IF(IFERROR(VLOOKUP(Tabla3[[#This Row],[Cliente factura]],Tabla4[[NIT]:[TOTAL CREDITO]],3,FALSE),0)="",0,IFERROR(VLOOKUP(Tabla3[[#This Row],[Cliente factura]],Tabla4[[NIT]:[TOTAL CREDITO]],3,FALSE),0))</f>
        <v>0</v>
      </c>
      <c r="R487" s="9">
        <f>+IFERROR(VLOOKUP(Tabla3[[#This Row],[Cliente factura]],Tabla4[[NIT]:[TOTAL CREDITO]],6,FALSE),0)</f>
        <v>0</v>
      </c>
      <c r="S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7" s="10" t="str">
        <f>VLOOKUP(Tabla3[[#This Row],[Razón social cliente factura]]&amp;Tabla3[[#This Row],[Desc. ciudad]],'Estandar de Rutas'!$C$1:$E$553,2,FALSE)</f>
        <v>5.2</v>
      </c>
      <c r="U487" s="130">
        <f>IFERROR(VLOOKUP(Tabla3[[#This Row],[Referencia]]&amp;Tabla3[[#This Row],[Desc detalle ext 1]],Tabla1[[Referencia-Color]:[Disponibilidad]],3,FALSE),0)</f>
        <v>21</v>
      </c>
      <c r="V487" s="13"/>
      <c r="W487" s="17">
        <f>+Tabla3[[#This Row],[Cant. Programada]]*Tabla3[[#This Row],[Precio unit]]</f>
        <v>0</v>
      </c>
      <c r="X487" s="129"/>
      <c r="Y487" s="129"/>
      <c r="Z487" s="8" t="str">
        <f>+Tabla3[[#This Row],[Referencia]]&amp;Tabla3[[#This Row],[Desc detalle ext 1]]</f>
        <v xml:space="preserve">CB 110 DLX                                        ROJO     </v>
      </c>
      <c r="AA487" s="128" t="e">
        <f>+VLOOKUP(Tabla3[[#This Row],[CODIGO2]],ESTANDAR!$B$3:$C$9,2,FALSE)</f>
        <v>#N/A</v>
      </c>
      <c r="AB487" s="128" t="str">
        <f>+MID(Tabla3[[#This Row],['# Viaje]],10,1)</f>
        <v/>
      </c>
    </row>
    <row r="488" spans="1:28" ht="15" hidden="1" customHeight="1">
      <c r="A488" s="173" t="s">
        <v>1537</v>
      </c>
      <c r="B488" s="174">
        <v>42948</v>
      </c>
      <c r="C488" s="173" t="s">
        <v>1477</v>
      </c>
      <c r="D488" s="173" t="s">
        <v>1478</v>
      </c>
      <c r="E488" s="173" t="s">
        <v>1479</v>
      </c>
      <c r="F488" s="173">
        <v>4</v>
      </c>
      <c r="G488" s="173" t="s">
        <v>48</v>
      </c>
      <c r="H488" s="173">
        <v>4</v>
      </c>
      <c r="I488" s="173" t="s">
        <v>1538</v>
      </c>
      <c r="J488" s="173" t="s">
        <v>1451</v>
      </c>
      <c r="K488" s="173" t="s">
        <v>16</v>
      </c>
      <c r="L488" s="173"/>
      <c r="M488" s="173" t="s">
        <v>80</v>
      </c>
      <c r="N488" s="173">
        <v>900330225</v>
      </c>
      <c r="O488" s="175">
        <v>3696639</v>
      </c>
      <c r="P488" s="7"/>
      <c r="Q488" s="16">
        <f>+IF(IFERROR(VLOOKUP(Tabla3[[#This Row],[Cliente factura]],Tabla4[[NIT]:[TOTAL CREDITO]],3,FALSE),0)="",0,IFERROR(VLOOKUP(Tabla3[[#This Row],[Cliente factura]],Tabla4[[NIT]:[TOTAL CREDITO]],3,FALSE),0))</f>
        <v>0</v>
      </c>
      <c r="R488" s="9">
        <f>+IFERROR(VLOOKUP(Tabla3[[#This Row],[Cliente factura]],Tabla4[[NIT]:[TOTAL CREDITO]],6,FALSE),0)</f>
        <v>0</v>
      </c>
      <c r="S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8" s="10" t="str">
        <f>VLOOKUP(Tabla3[[#This Row],[Razón social cliente factura]]&amp;Tabla3[[#This Row],[Desc. ciudad]],'Estandar de Rutas'!$C$1:$E$553,2,FALSE)</f>
        <v>5.2</v>
      </c>
      <c r="U488" s="130">
        <f>IFERROR(VLOOKUP(Tabla3[[#This Row],[Referencia]]&amp;Tabla3[[#This Row],[Desc detalle ext 1]],Tabla1[[Referencia-Color]:[Disponibilidad]],3,FALSE),0)</f>
        <v>3</v>
      </c>
      <c r="V488" s="13"/>
      <c r="W488" s="17">
        <f>+Tabla3[[#This Row],[Cant. Programada]]*Tabla3[[#This Row],[Precio unit]]</f>
        <v>0</v>
      </c>
      <c r="X488" s="8"/>
      <c r="Y488" s="8"/>
      <c r="Z488" s="8" t="str">
        <f>+Tabla3[[#This Row],[Referencia]]&amp;Tabla3[[#This Row],[Desc detalle ext 1]]</f>
        <v xml:space="preserve">CB 110 DLX                                        NEGRO    </v>
      </c>
      <c r="AA488" s="128" t="e">
        <f>+VLOOKUP(Tabla3[[#This Row],[CODIGO2]],ESTANDAR!$B$3:$C$9,2,FALSE)</f>
        <v>#N/A</v>
      </c>
      <c r="AB488" s="128" t="str">
        <f>+MID(Tabla3[[#This Row],['# Viaje]],10,1)</f>
        <v/>
      </c>
    </row>
    <row r="489" spans="1:28" ht="15" hidden="1" customHeight="1">
      <c r="A489" s="173" t="s">
        <v>1539</v>
      </c>
      <c r="B489" s="174">
        <v>42948</v>
      </c>
      <c r="C489" s="173" t="s">
        <v>1477</v>
      </c>
      <c r="D489" s="173" t="s">
        <v>1237</v>
      </c>
      <c r="E489" s="173" t="s">
        <v>1479</v>
      </c>
      <c r="F489" s="173">
        <v>2</v>
      </c>
      <c r="G489" s="173" t="s">
        <v>211</v>
      </c>
      <c r="H489" s="173">
        <v>2</v>
      </c>
      <c r="I489" s="173" t="s">
        <v>211</v>
      </c>
      <c r="J489" s="173" t="s">
        <v>14</v>
      </c>
      <c r="K489" s="173" t="s">
        <v>1417</v>
      </c>
      <c r="L489" s="173"/>
      <c r="M489" s="173" t="s">
        <v>210</v>
      </c>
      <c r="N489" s="173">
        <v>1072648809</v>
      </c>
      <c r="O489" s="175">
        <v>3360504</v>
      </c>
      <c r="P489" s="7"/>
      <c r="Q48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89" s="9">
        <f>+IFERROR(VLOOKUP(Tabla3[[#This Row],[Cliente factura]],Tabla4[[NIT]:[TOTAL CREDITO]],6,FALSE),0)</f>
        <v>0</v>
      </c>
      <c r="S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9" s="10" t="str">
        <f>VLOOKUP(Tabla3[[#This Row],[Razón social cliente factura]]&amp;Tabla3[[#This Row],[Desc. ciudad]],'Estandar de Rutas'!$C$1:$E$553,2,FALSE)</f>
        <v>5.2.B</v>
      </c>
      <c r="U489" s="130">
        <f>IFERROR(VLOOKUP(Tabla3[[#This Row],[Referencia]]&amp;Tabla3[[#This Row],[Desc detalle ext 1]],Tabla1[[Referencia-Color]:[Disponibilidad]],3,FALSE),0)</f>
        <v>24</v>
      </c>
      <c r="V489" s="13"/>
      <c r="W489" s="17">
        <f>+Tabla3[[#This Row],[Cant. Programada]]*Tabla3[[#This Row],[Precio unit]]</f>
        <v>0</v>
      </c>
      <c r="X489" s="129"/>
      <c r="Y489" s="129"/>
      <c r="Z489" s="8" t="str">
        <f>+Tabla3[[#This Row],[Referencia]]&amp;Tabla3[[#This Row],[Desc detalle ext 1]]</f>
        <v xml:space="preserve">*CB-110                                           GRIS MET </v>
      </c>
      <c r="AA489" s="128" t="e">
        <f>+VLOOKUP(Tabla3[[#This Row],[CODIGO2]],ESTANDAR!$B$3:$C$9,2,FALSE)</f>
        <v>#N/A</v>
      </c>
      <c r="AB489" s="128" t="str">
        <f>+MID(Tabla3[[#This Row],['# Viaje]],10,1)</f>
        <v/>
      </c>
    </row>
    <row r="490" spans="1:28" ht="15" hidden="1" customHeight="1">
      <c r="A490" s="173" t="s">
        <v>1539</v>
      </c>
      <c r="B490" s="174">
        <v>42948</v>
      </c>
      <c r="C490" s="173" t="s">
        <v>1477</v>
      </c>
      <c r="D490" s="173" t="s">
        <v>1237</v>
      </c>
      <c r="E490" s="173" t="s">
        <v>1479</v>
      </c>
      <c r="F490" s="173">
        <v>3</v>
      </c>
      <c r="G490" s="173" t="s">
        <v>211</v>
      </c>
      <c r="H490" s="173">
        <v>3</v>
      </c>
      <c r="I490" s="173" t="s">
        <v>211</v>
      </c>
      <c r="J490" s="173" t="s">
        <v>14</v>
      </c>
      <c r="K490" s="173" t="s">
        <v>17</v>
      </c>
      <c r="L490" s="173"/>
      <c r="M490" s="173" t="s">
        <v>210</v>
      </c>
      <c r="N490" s="173">
        <v>1072648809</v>
      </c>
      <c r="O490" s="175">
        <v>3360504</v>
      </c>
      <c r="P490" s="7"/>
      <c r="Q49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0" s="9">
        <f>+IFERROR(VLOOKUP(Tabla3[[#This Row],[Cliente factura]],Tabla4[[NIT]:[TOTAL CREDITO]],6,FALSE),0)</f>
        <v>0</v>
      </c>
      <c r="S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0" s="10" t="str">
        <f>VLOOKUP(Tabla3[[#This Row],[Razón social cliente factura]]&amp;Tabla3[[#This Row],[Desc. ciudad]],'Estandar de Rutas'!$C$1:$E$553,2,FALSE)</f>
        <v>5.2.B</v>
      </c>
      <c r="U490" s="130">
        <f>IFERROR(VLOOKUP(Tabla3[[#This Row],[Referencia]]&amp;Tabla3[[#This Row],[Desc detalle ext 1]],Tabla1[[Referencia-Color]:[Disponibilidad]],3,FALSE),0)</f>
        <v>38</v>
      </c>
      <c r="V490" s="13"/>
      <c r="W490" s="17">
        <f>+Tabla3[[#This Row],[Cant. Programada]]*Tabla3[[#This Row],[Precio unit]]</f>
        <v>0</v>
      </c>
      <c r="X490" s="8"/>
      <c r="Y490" s="8"/>
      <c r="Z490" s="8" t="str">
        <f>+Tabla3[[#This Row],[Referencia]]&amp;Tabla3[[#This Row],[Desc detalle ext 1]]</f>
        <v>*CB-110                                           ROJO SPOR</v>
      </c>
      <c r="AA490" s="128" t="e">
        <f>+VLOOKUP(Tabla3[[#This Row],[CODIGO2]],ESTANDAR!$B$3:$C$9,2,FALSE)</f>
        <v>#N/A</v>
      </c>
      <c r="AB490" s="128" t="str">
        <f>+MID(Tabla3[[#This Row],['# Viaje]],10,1)</f>
        <v/>
      </c>
    </row>
    <row r="491" spans="1:28" ht="15" hidden="1" customHeight="1">
      <c r="A491" s="173" t="s">
        <v>1539</v>
      </c>
      <c r="B491" s="174">
        <v>42948</v>
      </c>
      <c r="C491" s="173" t="s">
        <v>1477</v>
      </c>
      <c r="D491" s="173" t="s">
        <v>1237</v>
      </c>
      <c r="E491" s="173" t="s">
        <v>1479</v>
      </c>
      <c r="F491" s="173">
        <v>4</v>
      </c>
      <c r="G491" s="173" t="s">
        <v>211</v>
      </c>
      <c r="H491" s="173">
        <v>4</v>
      </c>
      <c r="I491" s="173" t="s">
        <v>211</v>
      </c>
      <c r="J491" s="173" t="s">
        <v>14</v>
      </c>
      <c r="K491" s="173" t="s">
        <v>16</v>
      </c>
      <c r="L491" s="173"/>
      <c r="M491" s="173" t="s">
        <v>210</v>
      </c>
      <c r="N491" s="173">
        <v>1072648809</v>
      </c>
      <c r="O491" s="175">
        <v>3360504</v>
      </c>
      <c r="P491" s="7"/>
      <c r="Q4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1" s="9">
        <f>+IFERROR(VLOOKUP(Tabla3[[#This Row],[Cliente factura]],Tabla4[[NIT]:[TOTAL CREDITO]],6,FALSE),0)</f>
        <v>0</v>
      </c>
      <c r="S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1" s="10" t="str">
        <f>VLOOKUP(Tabla3[[#This Row],[Razón social cliente factura]]&amp;Tabla3[[#This Row],[Desc. ciudad]],'Estandar de Rutas'!$C$1:$E$553,2,FALSE)</f>
        <v>5.2.B</v>
      </c>
      <c r="U491" s="130">
        <f>IFERROR(VLOOKUP(Tabla3[[#This Row],[Referencia]]&amp;Tabla3[[#This Row],[Desc detalle ext 1]],Tabla1[[Referencia-Color]:[Disponibilidad]],3,FALSE),0)</f>
        <v>83</v>
      </c>
      <c r="V491" s="13"/>
      <c r="W491" s="17">
        <f>+Tabla3[[#This Row],[Cant. Programada]]*Tabla3[[#This Row],[Precio unit]]</f>
        <v>0</v>
      </c>
      <c r="X491" s="8"/>
      <c r="Y491" s="8"/>
      <c r="Z491" s="8" t="str">
        <f>+Tabla3[[#This Row],[Referencia]]&amp;Tabla3[[#This Row],[Desc detalle ext 1]]</f>
        <v xml:space="preserve">*CB-110                                           NEGRO    </v>
      </c>
      <c r="AA491" s="128" t="e">
        <f>+VLOOKUP(Tabla3[[#This Row],[CODIGO2]],ESTANDAR!$B$3:$C$9,2,FALSE)</f>
        <v>#N/A</v>
      </c>
      <c r="AB491" s="128" t="str">
        <f>+MID(Tabla3[[#This Row],['# Viaje]],10,1)</f>
        <v/>
      </c>
    </row>
    <row r="492" spans="1:28" ht="15" hidden="1" customHeight="1">
      <c r="A492" s="173" t="s">
        <v>1539</v>
      </c>
      <c r="B492" s="174">
        <v>42948</v>
      </c>
      <c r="C492" s="173" t="s">
        <v>1477</v>
      </c>
      <c r="D492" s="173" t="s">
        <v>1237</v>
      </c>
      <c r="E492" s="173" t="s">
        <v>1479</v>
      </c>
      <c r="F492" s="173">
        <v>2</v>
      </c>
      <c r="G492" s="173" t="s">
        <v>211</v>
      </c>
      <c r="H492" s="173">
        <v>2</v>
      </c>
      <c r="I492" s="173" t="s">
        <v>211</v>
      </c>
      <c r="J492" s="173" t="s">
        <v>14</v>
      </c>
      <c r="K492" s="173" t="s">
        <v>15</v>
      </c>
      <c r="L492" s="173"/>
      <c r="M492" s="173" t="s">
        <v>210</v>
      </c>
      <c r="N492" s="173">
        <v>1072648809</v>
      </c>
      <c r="O492" s="175">
        <v>3360504</v>
      </c>
      <c r="P492" s="7"/>
      <c r="Q4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2" s="9">
        <f>+IFERROR(VLOOKUP(Tabla3[[#This Row],[Cliente factura]],Tabla4[[NIT]:[TOTAL CREDITO]],6,FALSE),0)</f>
        <v>0</v>
      </c>
      <c r="S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2" s="10" t="str">
        <f>VLOOKUP(Tabla3[[#This Row],[Razón social cliente factura]]&amp;Tabla3[[#This Row],[Desc. ciudad]],'Estandar de Rutas'!$C$1:$E$553,2,FALSE)</f>
        <v>5.2.B</v>
      </c>
      <c r="U492" s="130">
        <f>IFERROR(VLOOKUP(Tabla3[[#This Row],[Referencia]]&amp;Tabla3[[#This Row],[Desc detalle ext 1]],Tabla1[[Referencia-Color]:[Disponibilidad]],3,FALSE),0)</f>
        <v>99</v>
      </c>
      <c r="V492" s="13"/>
      <c r="W492" s="17">
        <f>+Tabla3[[#This Row],[Cant. Programada]]*Tabla3[[#This Row],[Precio unit]]</f>
        <v>0</v>
      </c>
      <c r="X492" s="8"/>
      <c r="Y492" s="8"/>
      <c r="Z492" s="8" t="str">
        <f>+Tabla3[[#This Row],[Referencia]]&amp;Tabla3[[#This Row],[Desc detalle ext 1]]</f>
        <v>*CB-110                                           AZUL FIJI</v>
      </c>
      <c r="AA492" s="128" t="e">
        <f>+VLOOKUP(Tabla3[[#This Row],[CODIGO2]],ESTANDAR!$B$3:$C$9,2,FALSE)</f>
        <v>#N/A</v>
      </c>
      <c r="AB492" s="128" t="str">
        <f>+MID(Tabla3[[#This Row],['# Viaje]],10,1)</f>
        <v/>
      </c>
    </row>
    <row r="493" spans="1:28" ht="15" hidden="1" customHeight="1">
      <c r="A493" s="173" t="s">
        <v>1539</v>
      </c>
      <c r="B493" s="174">
        <v>42948</v>
      </c>
      <c r="C493" s="173" t="s">
        <v>1477</v>
      </c>
      <c r="D493" s="173" t="s">
        <v>1237</v>
      </c>
      <c r="E493" s="173" t="s">
        <v>1479</v>
      </c>
      <c r="F493" s="173">
        <v>2</v>
      </c>
      <c r="G493" s="173" t="s">
        <v>211</v>
      </c>
      <c r="H493" s="173">
        <v>2</v>
      </c>
      <c r="I493" s="173" t="s">
        <v>211</v>
      </c>
      <c r="J493" s="173" t="s">
        <v>27</v>
      </c>
      <c r="K493" s="173" t="s">
        <v>32</v>
      </c>
      <c r="L493" s="173"/>
      <c r="M493" s="173" t="s">
        <v>210</v>
      </c>
      <c r="N493" s="173">
        <v>1072648809</v>
      </c>
      <c r="O493" s="175">
        <v>5789916</v>
      </c>
      <c r="P493" s="7"/>
      <c r="Q4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3" s="9">
        <f>+IFERROR(VLOOKUP(Tabla3[[#This Row],[Cliente factura]],Tabla4[[NIT]:[TOTAL CREDITO]],6,FALSE),0)</f>
        <v>0</v>
      </c>
      <c r="S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3" s="10" t="str">
        <f>VLOOKUP(Tabla3[[#This Row],[Razón social cliente factura]]&amp;Tabla3[[#This Row],[Desc. ciudad]],'Estandar de Rutas'!$C$1:$E$553,2,FALSE)</f>
        <v>5.2.B</v>
      </c>
      <c r="U493" s="130">
        <f>IFERROR(VLOOKUP(Tabla3[[#This Row],[Referencia]]&amp;Tabla3[[#This Row],[Desc detalle ext 1]],Tabla1[[Referencia-Color]:[Disponibilidad]],3,FALSE),0)</f>
        <v>7</v>
      </c>
      <c r="V493" s="13"/>
      <c r="W493" s="17">
        <f>+Tabla3[[#This Row],[Cant. Programada]]*Tabla3[[#This Row],[Precio unit]]</f>
        <v>0</v>
      </c>
      <c r="X493" s="8"/>
      <c r="Y493" s="8"/>
      <c r="Z493" s="8" t="str">
        <f>+Tabla3[[#This Row],[Referencia]]&amp;Tabla3[[#This Row],[Desc detalle ext 1]]</f>
        <v>*XR 150L                                          NEGRO ROJ</v>
      </c>
      <c r="AA493" s="128" t="e">
        <f>+VLOOKUP(Tabla3[[#This Row],[CODIGO2]],ESTANDAR!$B$3:$C$9,2,FALSE)</f>
        <v>#N/A</v>
      </c>
      <c r="AB493" s="128" t="str">
        <f>+MID(Tabla3[[#This Row],['# Viaje]],10,1)</f>
        <v/>
      </c>
    </row>
    <row r="494" spans="1:28" ht="15" hidden="1" customHeight="1">
      <c r="A494" s="173" t="s">
        <v>1539</v>
      </c>
      <c r="B494" s="174">
        <v>42948</v>
      </c>
      <c r="C494" s="173" t="s">
        <v>1477</v>
      </c>
      <c r="D494" s="173" t="s">
        <v>1237</v>
      </c>
      <c r="E494" s="173" t="s">
        <v>1479</v>
      </c>
      <c r="F494" s="173">
        <v>1</v>
      </c>
      <c r="G494" s="173" t="s">
        <v>211</v>
      </c>
      <c r="H494" s="173">
        <v>1</v>
      </c>
      <c r="I494" s="173" t="s">
        <v>211</v>
      </c>
      <c r="J494" s="173" t="s">
        <v>27</v>
      </c>
      <c r="K494" s="173" t="s">
        <v>16</v>
      </c>
      <c r="L494" s="173"/>
      <c r="M494" s="173" t="s">
        <v>210</v>
      </c>
      <c r="N494" s="173">
        <v>1072648809</v>
      </c>
      <c r="O494" s="175">
        <v>5789916</v>
      </c>
      <c r="P494" s="7"/>
      <c r="Q4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4" s="9">
        <f>+IFERROR(VLOOKUP(Tabla3[[#This Row],[Cliente factura]],Tabla4[[NIT]:[TOTAL CREDITO]],6,FALSE),0)</f>
        <v>0</v>
      </c>
      <c r="S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4" s="10" t="str">
        <f>VLOOKUP(Tabla3[[#This Row],[Razón social cliente factura]]&amp;Tabla3[[#This Row],[Desc. ciudad]],'Estandar de Rutas'!$C$1:$E$553,2,FALSE)</f>
        <v>5.2.B</v>
      </c>
      <c r="U494" s="130">
        <f>IFERROR(VLOOKUP(Tabla3[[#This Row],[Referencia]]&amp;Tabla3[[#This Row],[Desc detalle ext 1]],Tabla1[[Referencia-Color]:[Disponibilidad]],3,FALSE),0)</f>
        <v>3</v>
      </c>
      <c r="V494" s="13"/>
      <c r="W494" s="17">
        <f>+Tabla3[[#This Row],[Cant. Programada]]*Tabla3[[#This Row],[Precio unit]]</f>
        <v>0</v>
      </c>
      <c r="X494" s="8"/>
      <c r="Y494" s="8"/>
      <c r="Z494" s="8" t="str">
        <f>+Tabla3[[#This Row],[Referencia]]&amp;Tabla3[[#This Row],[Desc detalle ext 1]]</f>
        <v xml:space="preserve">*XR 150L                                          NEGRO    </v>
      </c>
      <c r="AA494" s="128" t="e">
        <f>+VLOOKUP(Tabla3[[#This Row],[CODIGO2]],ESTANDAR!$B$3:$C$9,2,FALSE)</f>
        <v>#N/A</v>
      </c>
      <c r="AB494" s="128" t="str">
        <f>+MID(Tabla3[[#This Row],['# Viaje]],10,1)</f>
        <v/>
      </c>
    </row>
    <row r="495" spans="1:28" ht="15" hidden="1" customHeight="1">
      <c r="A495" s="173" t="s">
        <v>1539</v>
      </c>
      <c r="B495" s="174">
        <v>42948</v>
      </c>
      <c r="C495" s="173" t="s">
        <v>1477</v>
      </c>
      <c r="D495" s="173" t="s">
        <v>1237</v>
      </c>
      <c r="E495" s="173" t="s">
        <v>1479</v>
      </c>
      <c r="F495" s="173">
        <v>1</v>
      </c>
      <c r="G495" s="173" t="s">
        <v>211</v>
      </c>
      <c r="H495" s="173">
        <v>1</v>
      </c>
      <c r="I495" s="173" t="s">
        <v>211</v>
      </c>
      <c r="J495" s="173" t="s">
        <v>1428</v>
      </c>
      <c r="K495" s="173" t="s">
        <v>1461</v>
      </c>
      <c r="L495" s="173"/>
      <c r="M495" s="173" t="s">
        <v>210</v>
      </c>
      <c r="N495" s="173">
        <v>1072648809</v>
      </c>
      <c r="O495" s="175">
        <v>3067227</v>
      </c>
      <c r="P495" s="7"/>
      <c r="Q4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5" s="9">
        <f>+IFERROR(VLOOKUP(Tabla3[[#This Row],[Cliente factura]],Tabla4[[NIT]:[TOTAL CREDITO]],6,FALSE),0)</f>
        <v>0</v>
      </c>
      <c r="S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5" s="10" t="str">
        <f>VLOOKUP(Tabla3[[#This Row],[Razón social cliente factura]]&amp;Tabla3[[#This Row],[Desc. ciudad]],'Estandar de Rutas'!$C$1:$E$553,2,FALSE)</f>
        <v>5.2.B</v>
      </c>
      <c r="U495" s="130">
        <f>IFERROR(VLOOKUP(Tabla3[[#This Row],[Referencia]]&amp;Tabla3[[#This Row],[Desc detalle ext 1]],Tabla1[[Referencia-Color]:[Disponibilidad]],3,FALSE),0)</f>
        <v>0</v>
      </c>
      <c r="V495" s="13"/>
      <c r="W495" s="17">
        <f>+Tabla3[[#This Row],[Cant. Programada]]*Tabla3[[#This Row],[Precio unit]]</f>
        <v>0</v>
      </c>
      <c r="X495" s="8"/>
      <c r="Y495" s="8"/>
      <c r="Z495" s="8" t="str">
        <f>+Tabla3[[#This Row],[Referencia]]&amp;Tabla3[[#This Row],[Desc detalle ext 1]]</f>
        <v>DREAM  NEO                                        ROJO ALFA</v>
      </c>
      <c r="AA495" s="128" t="e">
        <f>+VLOOKUP(Tabla3[[#This Row],[CODIGO2]],ESTANDAR!$B$3:$C$9,2,FALSE)</f>
        <v>#N/A</v>
      </c>
      <c r="AB495" s="128" t="str">
        <f>+MID(Tabla3[[#This Row],['# Viaje]],10,1)</f>
        <v/>
      </c>
    </row>
    <row r="496" spans="1:28" ht="15" hidden="1" customHeight="1">
      <c r="A496" s="173" t="s">
        <v>1539</v>
      </c>
      <c r="B496" s="174">
        <v>42948</v>
      </c>
      <c r="C496" s="173" t="s">
        <v>1477</v>
      </c>
      <c r="D496" s="173" t="s">
        <v>1237</v>
      </c>
      <c r="E496" s="173" t="s">
        <v>1479</v>
      </c>
      <c r="F496" s="173">
        <v>1</v>
      </c>
      <c r="G496" s="173" t="s">
        <v>211</v>
      </c>
      <c r="H496" s="173">
        <v>1</v>
      </c>
      <c r="I496" s="173" t="s">
        <v>211</v>
      </c>
      <c r="J496" s="173" t="s">
        <v>1430</v>
      </c>
      <c r="K496" s="173" t="s">
        <v>1431</v>
      </c>
      <c r="L496" s="173"/>
      <c r="M496" s="173" t="s">
        <v>210</v>
      </c>
      <c r="N496" s="173">
        <v>1072648809</v>
      </c>
      <c r="O496" s="175">
        <v>3941176</v>
      </c>
      <c r="P496" s="7"/>
      <c r="Q4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6" s="9">
        <f>+IFERROR(VLOOKUP(Tabla3[[#This Row],[Cliente factura]],Tabla4[[NIT]:[TOTAL CREDITO]],6,FALSE),0)</f>
        <v>0</v>
      </c>
      <c r="S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6" s="10" t="str">
        <f>VLOOKUP(Tabla3[[#This Row],[Razón social cliente factura]]&amp;Tabla3[[#This Row],[Desc. ciudad]],'Estandar de Rutas'!$C$1:$E$553,2,FALSE)</f>
        <v>5.2.B</v>
      </c>
      <c r="U496" s="130">
        <f>IFERROR(VLOOKUP(Tabla3[[#This Row],[Referencia]]&amp;Tabla3[[#This Row],[Desc detalle ext 1]],Tabla1[[Referencia-Color]:[Disponibilidad]],3,FALSE),0)</f>
        <v>0</v>
      </c>
      <c r="V496" s="13"/>
      <c r="W496" s="17">
        <f>+Tabla3[[#This Row],[Cant. Programada]]*Tabla3[[#This Row],[Precio unit]]</f>
        <v>0</v>
      </c>
      <c r="X496" s="8"/>
      <c r="Y496" s="8"/>
      <c r="Z496" s="8" t="str">
        <f>+Tabla3[[#This Row],[Referencia]]&amp;Tabla3[[#This Row],[Desc detalle ext 1]]</f>
        <v xml:space="preserve">WAVE 110S                                         ROJO     </v>
      </c>
      <c r="AA496" s="128" t="e">
        <f>+VLOOKUP(Tabla3[[#This Row],[CODIGO2]],ESTANDAR!$B$3:$C$9,2,FALSE)</f>
        <v>#N/A</v>
      </c>
      <c r="AB496" s="128" t="str">
        <f>+MID(Tabla3[[#This Row],['# Viaje]],10,1)</f>
        <v/>
      </c>
    </row>
    <row r="497" spans="1:28" ht="15" hidden="1" customHeight="1">
      <c r="A497" s="173" t="s">
        <v>1539</v>
      </c>
      <c r="B497" s="174">
        <v>42948</v>
      </c>
      <c r="C497" s="173" t="s">
        <v>1477</v>
      </c>
      <c r="D497" s="173" t="s">
        <v>1237</v>
      </c>
      <c r="E497" s="173" t="s">
        <v>1479</v>
      </c>
      <c r="F497" s="173">
        <v>3</v>
      </c>
      <c r="G497" s="173" t="s">
        <v>211</v>
      </c>
      <c r="H497" s="173">
        <v>3</v>
      </c>
      <c r="I497" s="173" t="s">
        <v>211</v>
      </c>
      <c r="J497" s="173" t="s">
        <v>1430</v>
      </c>
      <c r="K497" s="173" t="s">
        <v>16</v>
      </c>
      <c r="L497" s="173"/>
      <c r="M497" s="173" t="s">
        <v>210</v>
      </c>
      <c r="N497" s="173">
        <v>1072648809</v>
      </c>
      <c r="O497" s="175">
        <v>3941176</v>
      </c>
      <c r="P497" s="7"/>
      <c r="Q4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7" s="9">
        <f>+IFERROR(VLOOKUP(Tabla3[[#This Row],[Cliente factura]],Tabla4[[NIT]:[TOTAL CREDITO]],6,FALSE),0)</f>
        <v>0</v>
      </c>
      <c r="S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7" s="10" t="str">
        <f>VLOOKUP(Tabla3[[#This Row],[Razón social cliente factura]]&amp;Tabla3[[#This Row],[Desc. ciudad]],'Estandar de Rutas'!$C$1:$E$553,2,FALSE)</f>
        <v>5.2.B</v>
      </c>
      <c r="U497" s="130">
        <f>IFERROR(VLOOKUP(Tabla3[[#This Row],[Referencia]]&amp;Tabla3[[#This Row],[Desc detalle ext 1]],Tabla1[[Referencia-Color]:[Disponibilidad]],3,FALSE),0)</f>
        <v>0</v>
      </c>
      <c r="V497" s="13"/>
      <c r="W497" s="17">
        <f>+Tabla3[[#This Row],[Cant. Programada]]*Tabla3[[#This Row],[Precio unit]]</f>
        <v>0</v>
      </c>
      <c r="X497" s="8"/>
      <c r="Y497" s="8"/>
      <c r="Z497" s="8" t="str">
        <f>+Tabla3[[#This Row],[Referencia]]&amp;Tabla3[[#This Row],[Desc detalle ext 1]]</f>
        <v xml:space="preserve">WAVE 110S                                         NEGRO    </v>
      </c>
      <c r="AA497" s="128" t="e">
        <f>+VLOOKUP(Tabla3[[#This Row],[CODIGO2]],ESTANDAR!$B$3:$C$9,2,FALSE)</f>
        <v>#N/A</v>
      </c>
      <c r="AB497" s="128" t="str">
        <f>+MID(Tabla3[[#This Row],['# Viaje]],10,1)</f>
        <v/>
      </c>
    </row>
    <row r="498" spans="1:28" ht="15" hidden="1" customHeight="1">
      <c r="A498" s="173" t="s">
        <v>1539</v>
      </c>
      <c r="B498" s="174">
        <v>42948</v>
      </c>
      <c r="C498" s="173" t="s">
        <v>1477</v>
      </c>
      <c r="D498" s="173" t="s">
        <v>1237</v>
      </c>
      <c r="E498" s="173" t="s">
        <v>1479</v>
      </c>
      <c r="F498" s="173">
        <v>2</v>
      </c>
      <c r="G498" s="173" t="s">
        <v>211</v>
      </c>
      <c r="H498" s="173">
        <v>2</v>
      </c>
      <c r="I498" s="173" t="s">
        <v>211</v>
      </c>
      <c r="J498" s="173" t="s">
        <v>1451</v>
      </c>
      <c r="K498" s="173" t="s">
        <v>1449</v>
      </c>
      <c r="L498" s="173"/>
      <c r="M498" s="173" t="s">
        <v>210</v>
      </c>
      <c r="N498" s="173">
        <v>1072648809</v>
      </c>
      <c r="O498" s="175">
        <v>3696639</v>
      </c>
      <c r="P498" s="7"/>
      <c r="Q4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8" s="9">
        <f>+IFERROR(VLOOKUP(Tabla3[[#This Row],[Cliente factura]],Tabla4[[NIT]:[TOTAL CREDITO]],6,FALSE),0)</f>
        <v>0</v>
      </c>
      <c r="S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8" s="10" t="str">
        <f>VLOOKUP(Tabla3[[#This Row],[Razón social cliente factura]]&amp;Tabla3[[#This Row],[Desc. ciudad]],'Estandar de Rutas'!$C$1:$E$553,2,FALSE)</f>
        <v>5.2.B</v>
      </c>
      <c r="U498" s="130">
        <f>IFERROR(VLOOKUP(Tabla3[[#This Row],[Referencia]]&amp;Tabla3[[#This Row],[Desc detalle ext 1]],Tabla1[[Referencia-Color]:[Disponibilidad]],3,FALSE),0)</f>
        <v>24</v>
      </c>
      <c r="V498" s="13"/>
      <c r="W498" s="17">
        <f>+Tabla3[[#This Row],[Cant. Programada]]*Tabla3[[#This Row],[Precio unit]]</f>
        <v>0</v>
      </c>
      <c r="X498" s="8"/>
      <c r="Y498" s="8"/>
      <c r="Z498" s="8" t="str">
        <f>+Tabla3[[#This Row],[Referencia]]&amp;Tabla3[[#This Row],[Desc detalle ext 1]]</f>
        <v xml:space="preserve">CB 110 DLX                                        GRIS     </v>
      </c>
      <c r="AA498" s="128" t="e">
        <f>+VLOOKUP(Tabla3[[#This Row],[CODIGO2]],ESTANDAR!$B$3:$C$9,2,FALSE)</f>
        <v>#N/A</v>
      </c>
      <c r="AB498" s="128" t="str">
        <f>+MID(Tabla3[[#This Row],['# Viaje]],10,1)</f>
        <v/>
      </c>
    </row>
    <row r="499" spans="1:28" ht="15" hidden="1" customHeight="1">
      <c r="A499" s="173" t="s">
        <v>1539</v>
      </c>
      <c r="B499" s="174">
        <v>42948</v>
      </c>
      <c r="C499" s="173" t="s">
        <v>1477</v>
      </c>
      <c r="D499" s="173" t="s">
        <v>1237</v>
      </c>
      <c r="E499" s="173" t="s">
        <v>1479</v>
      </c>
      <c r="F499" s="173">
        <v>4</v>
      </c>
      <c r="G499" s="173" t="s">
        <v>211</v>
      </c>
      <c r="H499" s="173">
        <v>4</v>
      </c>
      <c r="I499" s="173" t="s">
        <v>211</v>
      </c>
      <c r="J499" s="173" t="s">
        <v>1451</v>
      </c>
      <c r="K499" s="173" t="s">
        <v>16</v>
      </c>
      <c r="L499" s="173"/>
      <c r="M499" s="173" t="s">
        <v>210</v>
      </c>
      <c r="N499" s="173">
        <v>1072648809</v>
      </c>
      <c r="O499" s="175">
        <v>3696639</v>
      </c>
      <c r="P499" s="7"/>
      <c r="Q4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9" s="9">
        <f>+IFERROR(VLOOKUP(Tabla3[[#This Row],[Cliente factura]],Tabla4[[NIT]:[TOTAL CREDITO]],6,FALSE),0)</f>
        <v>0</v>
      </c>
      <c r="S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9" s="10" t="str">
        <f>VLOOKUP(Tabla3[[#This Row],[Razón social cliente factura]]&amp;Tabla3[[#This Row],[Desc. ciudad]],'Estandar de Rutas'!$C$1:$E$553,2,FALSE)</f>
        <v>5.2.B</v>
      </c>
      <c r="U499" s="130">
        <f>IFERROR(VLOOKUP(Tabla3[[#This Row],[Referencia]]&amp;Tabla3[[#This Row],[Desc detalle ext 1]],Tabla1[[Referencia-Color]:[Disponibilidad]],3,FALSE),0)</f>
        <v>3</v>
      </c>
      <c r="V499" s="13"/>
      <c r="W499" s="17">
        <f>+Tabla3[[#This Row],[Cant. Programada]]*Tabla3[[#This Row],[Precio unit]]</f>
        <v>0</v>
      </c>
      <c r="X499" s="8"/>
      <c r="Y499" s="8"/>
      <c r="Z499" s="8" t="str">
        <f>+Tabla3[[#This Row],[Referencia]]&amp;Tabla3[[#This Row],[Desc detalle ext 1]]</f>
        <v xml:space="preserve">CB 110 DLX                                        NEGRO    </v>
      </c>
      <c r="AA499" s="128" t="e">
        <f>+VLOOKUP(Tabla3[[#This Row],[CODIGO2]],ESTANDAR!$B$3:$C$9,2,FALSE)</f>
        <v>#N/A</v>
      </c>
      <c r="AB499" s="128" t="str">
        <f>+MID(Tabla3[[#This Row],['# Viaje]],10,1)</f>
        <v/>
      </c>
    </row>
    <row r="500" spans="1:28" ht="15" hidden="1" customHeight="1">
      <c r="A500" s="173" t="s">
        <v>1539</v>
      </c>
      <c r="B500" s="174">
        <v>42948</v>
      </c>
      <c r="C500" s="173" t="s">
        <v>1477</v>
      </c>
      <c r="D500" s="173" t="s">
        <v>1237</v>
      </c>
      <c r="E500" s="173" t="s">
        <v>1479</v>
      </c>
      <c r="F500" s="173">
        <v>4</v>
      </c>
      <c r="G500" s="173" t="s">
        <v>211</v>
      </c>
      <c r="H500" s="173">
        <v>4</v>
      </c>
      <c r="I500" s="173" t="s">
        <v>211</v>
      </c>
      <c r="J500" s="173" t="s">
        <v>1451</v>
      </c>
      <c r="K500" s="173" t="s">
        <v>1431</v>
      </c>
      <c r="L500" s="173"/>
      <c r="M500" s="173" t="s">
        <v>210</v>
      </c>
      <c r="N500" s="173">
        <v>1072648809</v>
      </c>
      <c r="O500" s="175">
        <v>3696639</v>
      </c>
      <c r="P500" s="7"/>
      <c r="Q5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0" s="9">
        <f>+IFERROR(VLOOKUP(Tabla3[[#This Row],[Cliente factura]],Tabla4[[NIT]:[TOTAL CREDITO]],6,FALSE),0)</f>
        <v>0</v>
      </c>
      <c r="S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0" s="10" t="str">
        <f>VLOOKUP(Tabla3[[#This Row],[Razón social cliente factura]]&amp;Tabla3[[#This Row],[Desc. ciudad]],'Estandar de Rutas'!$C$1:$E$553,2,FALSE)</f>
        <v>5.2.B</v>
      </c>
      <c r="U500" s="130">
        <f>IFERROR(VLOOKUP(Tabla3[[#This Row],[Referencia]]&amp;Tabla3[[#This Row],[Desc detalle ext 1]],Tabla1[[Referencia-Color]:[Disponibilidad]],3,FALSE),0)</f>
        <v>21</v>
      </c>
      <c r="V500" s="13"/>
      <c r="W500" s="17">
        <f>+Tabla3[[#This Row],[Cant. Programada]]*Tabla3[[#This Row],[Precio unit]]</f>
        <v>0</v>
      </c>
      <c r="X500" s="129"/>
      <c r="Y500" s="129"/>
      <c r="Z500" s="8" t="str">
        <f>+Tabla3[[#This Row],[Referencia]]&amp;Tabla3[[#This Row],[Desc detalle ext 1]]</f>
        <v xml:space="preserve">CB 110 DLX                                        ROJO     </v>
      </c>
      <c r="AA500" s="128" t="e">
        <f>+VLOOKUP(Tabla3[[#This Row],[CODIGO2]],ESTANDAR!$B$3:$C$9,2,FALSE)</f>
        <v>#N/A</v>
      </c>
      <c r="AB500" s="128" t="str">
        <f>+MID(Tabla3[[#This Row],['# Viaje]],10,1)</f>
        <v/>
      </c>
    </row>
    <row r="501" spans="1:28" ht="15" hidden="1" customHeight="1">
      <c r="A501" s="173" t="s">
        <v>1539</v>
      </c>
      <c r="B501" s="174">
        <v>42948</v>
      </c>
      <c r="C501" s="173" t="s">
        <v>1477</v>
      </c>
      <c r="D501" s="173" t="s">
        <v>1237</v>
      </c>
      <c r="E501" s="173" t="s">
        <v>1479</v>
      </c>
      <c r="F501" s="173">
        <v>4</v>
      </c>
      <c r="G501" s="173" t="s">
        <v>211</v>
      </c>
      <c r="H501" s="173">
        <v>4</v>
      </c>
      <c r="I501" s="173" t="s">
        <v>211</v>
      </c>
      <c r="J501" s="173" t="s">
        <v>1451</v>
      </c>
      <c r="K501" s="173" t="s">
        <v>1452</v>
      </c>
      <c r="L501" s="173"/>
      <c r="M501" s="173" t="s">
        <v>210</v>
      </c>
      <c r="N501" s="173">
        <v>1072648809</v>
      </c>
      <c r="O501" s="175">
        <v>3696639</v>
      </c>
      <c r="P501" s="7"/>
      <c r="Q5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1" s="9">
        <f>+IFERROR(VLOOKUP(Tabla3[[#This Row],[Cliente factura]],Tabla4[[NIT]:[TOTAL CREDITO]],6,FALSE),0)</f>
        <v>0</v>
      </c>
      <c r="S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1" s="10" t="str">
        <f>VLOOKUP(Tabla3[[#This Row],[Razón social cliente factura]]&amp;Tabla3[[#This Row],[Desc. ciudad]],'Estandar de Rutas'!$C$1:$E$553,2,FALSE)</f>
        <v>5.2.B</v>
      </c>
      <c r="U501" s="130">
        <f>IFERROR(VLOOKUP(Tabla3[[#This Row],[Referencia]]&amp;Tabla3[[#This Row],[Desc detalle ext 1]],Tabla1[[Referencia-Color]:[Disponibilidad]],3,FALSE),0)</f>
        <v>21</v>
      </c>
      <c r="V501" s="13"/>
      <c r="W501" s="17">
        <f>+Tabla3[[#This Row],[Cant. Programada]]*Tabla3[[#This Row],[Precio unit]]</f>
        <v>0</v>
      </c>
      <c r="X501" s="129"/>
      <c r="Y501" s="129"/>
      <c r="Z501" s="8" t="str">
        <f>+Tabla3[[#This Row],[Referencia]]&amp;Tabla3[[#This Row],[Desc detalle ext 1]]</f>
        <v xml:space="preserve">CB 110 DLX                                        AZUL     </v>
      </c>
      <c r="AA501" s="128" t="e">
        <f>+VLOOKUP(Tabla3[[#This Row],[CODIGO2]],ESTANDAR!$B$3:$C$9,2,FALSE)</f>
        <v>#N/A</v>
      </c>
      <c r="AB501" s="128" t="str">
        <f>+MID(Tabla3[[#This Row],['# Viaje]],10,1)</f>
        <v/>
      </c>
    </row>
    <row r="502" spans="1:28" ht="15" hidden="1" customHeight="1">
      <c r="A502" s="173" t="s">
        <v>1540</v>
      </c>
      <c r="B502" s="174">
        <v>42948</v>
      </c>
      <c r="C502" s="173" t="s">
        <v>1477</v>
      </c>
      <c r="D502" s="173" t="s">
        <v>1478</v>
      </c>
      <c r="E502" s="173" t="s">
        <v>1479</v>
      </c>
      <c r="F502" s="173">
        <v>2</v>
      </c>
      <c r="G502" s="173" t="s">
        <v>48</v>
      </c>
      <c r="H502" s="173">
        <v>2</v>
      </c>
      <c r="I502" s="173" t="s">
        <v>1541</v>
      </c>
      <c r="J502" s="173" t="s">
        <v>14</v>
      </c>
      <c r="K502" s="173" t="s">
        <v>16</v>
      </c>
      <c r="L502" s="173"/>
      <c r="M502" s="173" t="s">
        <v>56</v>
      </c>
      <c r="N502" s="173">
        <v>900330225</v>
      </c>
      <c r="O502" s="175">
        <v>3360504</v>
      </c>
      <c r="P502" s="7"/>
      <c r="Q502" s="16">
        <f>+IF(IFERROR(VLOOKUP(Tabla3[[#This Row],[Cliente factura]],Tabla4[[NIT]:[TOTAL CREDITO]],3,FALSE),0)="",0,IFERROR(VLOOKUP(Tabla3[[#This Row],[Cliente factura]],Tabla4[[NIT]:[TOTAL CREDITO]],3,FALSE),0))</f>
        <v>0</v>
      </c>
      <c r="R502" s="9">
        <f>+IFERROR(VLOOKUP(Tabla3[[#This Row],[Cliente factura]],Tabla4[[NIT]:[TOTAL CREDITO]],6,FALSE),0)</f>
        <v>0</v>
      </c>
      <c r="S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2" s="10" t="str">
        <f>VLOOKUP(Tabla3[[#This Row],[Razón social cliente factura]]&amp;Tabla3[[#This Row],[Desc. ciudad]],'Estandar de Rutas'!$C$1:$E$553,2,FALSE)</f>
        <v>4.1</v>
      </c>
      <c r="U502" s="130">
        <f>IFERROR(VLOOKUP(Tabla3[[#This Row],[Referencia]]&amp;Tabla3[[#This Row],[Desc detalle ext 1]],Tabla1[[Referencia-Color]:[Disponibilidad]],3,FALSE),0)</f>
        <v>83</v>
      </c>
      <c r="V502" s="13"/>
      <c r="W502" s="17">
        <f>+Tabla3[[#This Row],[Cant. Programada]]*Tabla3[[#This Row],[Precio unit]]</f>
        <v>0</v>
      </c>
      <c r="X502" s="129"/>
      <c r="Y502" s="129"/>
      <c r="Z502" s="8" t="str">
        <f>+Tabla3[[#This Row],[Referencia]]&amp;Tabla3[[#This Row],[Desc detalle ext 1]]</f>
        <v xml:space="preserve">*CB-110                                           NEGRO    </v>
      </c>
      <c r="AA502" s="128" t="e">
        <f>+VLOOKUP(Tabla3[[#This Row],[CODIGO2]],ESTANDAR!$B$3:$C$9,2,FALSE)</f>
        <v>#N/A</v>
      </c>
      <c r="AB502" s="128" t="str">
        <f>+MID(Tabla3[[#This Row],['# Viaje]],10,1)</f>
        <v/>
      </c>
    </row>
    <row r="503" spans="1:28" ht="15" hidden="1" customHeight="1">
      <c r="A503" s="173" t="s">
        <v>1540</v>
      </c>
      <c r="B503" s="174">
        <v>42948</v>
      </c>
      <c r="C503" s="173" t="s">
        <v>1477</v>
      </c>
      <c r="D503" s="173" t="s">
        <v>1478</v>
      </c>
      <c r="E503" s="173" t="s">
        <v>1479</v>
      </c>
      <c r="F503" s="173">
        <v>1</v>
      </c>
      <c r="G503" s="173" t="s">
        <v>48</v>
      </c>
      <c r="H503" s="173">
        <v>1</v>
      </c>
      <c r="I503" s="173" t="s">
        <v>1541</v>
      </c>
      <c r="J503" s="173" t="s">
        <v>27</v>
      </c>
      <c r="K503" s="173" t="s">
        <v>16</v>
      </c>
      <c r="L503" s="173"/>
      <c r="M503" s="173" t="s">
        <v>56</v>
      </c>
      <c r="N503" s="173">
        <v>900330225</v>
      </c>
      <c r="O503" s="175">
        <v>5789916</v>
      </c>
      <c r="P503" s="7"/>
      <c r="Q503" s="16">
        <f>+IF(IFERROR(VLOOKUP(Tabla3[[#This Row],[Cliente factura]],Tabla4[[NIT]:[TOTAL CREDITO]],3,FALSE),0)="",0,IFERROR(VLOOKUP(Tabla3[[#This Row],[Cliente factura]],Tabla4[[NIT]:[TOTAL CREDITO]],3,FALSE),0))</f>
        <v>0</v>
      </c>
      <c r="R503" s="9">
        <f>+IFERROR(VLOOKUP(Tabla3[[#This Row],[Cliente factura]],Tabla4[[NIT]:[TOTAL CREDITO]],6,FALSE),0)</f>
        <v>0</v>
      </c>
      <c r="S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3" s="10" t="str">
        <f>VLOOKUP(Tabla3[[#This Row],[Razón social cliente factura]]&amp;Tabla3[[#This Row],[Desc. ciudad]],'Estandar de Rutas'!$C$1:$E$553,2,FALSE)</f>
        <v>4.1</v>
      </c>
      <c r="U503" s="130">
        <f>IFERROR(VLOOKUP(Tabla3[[#This Row],[Referencia]]&amp;Tabla3[[#This Row],[Desc detalle ext 1]],Tabla1[[Referencia-Color]:[Disponibilidad]],3,FALSE),0)</f>
        <v>3</v>
      </c>
      <c r="V503" s="13"/>
      <c r="W503" s="17">
        <f>+Tabla3[[#This Row],[Cant. Programada]]*Tabla3[[#This Row],[Precio unit]]</f>
        <v>0</v>
      </c>
      <c r="X503" s="8"/>
      <c r="Y503" s="8"/>
      <c r="Z503" s="8" t="str">
        <f>+Tabla3[[#This Row],[Referencia]]&amp;Tabla3[[#This Row],[Desc detalle ext 1]]</f>
        <v xml:space="preserve">*XR 150L                                          NEGRO    </v>
      </c>
      <c r="AA503" s="128" t="e">
        <f>+VLOOKUP(Tabla3[[#This Row],[CODIGO2]],ESTANDAR!$B$3:$C$9,2,FALSE)</f>
        <v>#N/A</v>
      </c>
      <c r="AB503" s="128" t="str">
        <f>+MID(Tabla3[[#This Row],['# Viaje]],10,1)</f>
        <v/>
      </c>
    </row>
    <row r="504" spans="1:28" ht="15" hidden="1" customHeight="1">
      <c r="A504" s="173" t="s">
        <v>1540</v>
      </c>
      <c r="B504" s="174">
        <v>42948</v>
      </c>
      <c r="C504" s="173" t="s">
        <v>1477</v>
      </c>
      <c r="D504" s="173" t="s">
        <v>1478</v>
      </c>
      <c r="E504" s="173" t="s">
        <v>1479</v>
      </c>
      <c r="F504" s="173">
        <v>1</v>
      </c>
      <c r="G504" s="173" t="s">
        <v>48</v>
      </c>
      <c r="H504" s="173">
        <v>1</v>
      </c>
      <c r="I504" s="173" t="s">
        <v>1541</v>
      </c>
      <c r="J504" s="173" t="s">
        <v>1425</v>
      </c>
      <c r="K504" s="173" t="s">
        <v>1426</v>
      </c>
      <c r="L504" s="173"/>
      <c r="M504" s="173" t="s">
        <v>56</v>
      </c>
      <c r="N504" s="173">
        <v>900330225</v>
      </c>
      <c r="O504" s="175">
        <v>7730252</v>
      </c>
      <c r="P504" s="7"/>
      <c r="Q504" s="16">
        <f>+IF(IFERROR(VLOOKUP(Tabla3[[#This Row],[Cliente factura]],Tabla4[[NIT]:[TOTAL CREDITO]],3,FALSE),0)="",0,IFERROR(VLOOKUP(Tabla3[[#This Row],[Cliente factura]],Tabla4[[NIT]:[TOTAL CREDITO]],3,FALSE),0))</f>
        <v>0</v>
      </c>
      <c r="R504" s="9">
        <f>+IFERROR(VLOOKUP(Tabla3[[#This Row],[Cliente factura]],Tabla4[[NIT]:[TOTAL CREDITO]],6,FALSE),0)</f>
        <v>0</v>
      </c>
      <c r="S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4" s="10" t="str">
        <f>VLOOKUP(Tabla3[[#This Row],[Razón social cliente factura]]&amp;Tabla3[[#This Row],[Desc. ciudad]],'Estandar de Rutas'!$C$1:$E$553,2,FALSE)</f>
        <v>4.1</v>
      </c>
      <c r="U504" s="130">
        <f>IFERROR(VLOOKUP(Tabla3[[#This Row],[Referencia]]&amp;Tabla3[[#This Row],[Desc detalle ext 1]],Tabla1[[Referencia-Color]:[Disponibilidad]],3,FALSE),0)</f>
        <v>104</v>
      </c>
      <c r="V504" s="13"/>
      <c r="W504" s="17">
        <f>+Tabla3[[#This Row],[Cant. Programada]]*Tabla3[[#This Row],[Precio unit]]</f>
        <v>0</v>
      </c>
      <c r="X504" s="129"/>
      <c r="Y504" s="129"/>
      <c r="Z504" s="8" t="str">
        <f>+Tabla3[[#This Row],[Referencia]]&amp;Tabla3[[#This Row],[Desc detalle ext 1]]</f>
        <v>CB 190 REPSOL                                     NARANJA B</v>
      </c>
      <c r="AA504" s="128" t="e">
        <f>+VLOOKUP(Tabla3[[#This Row],[CODIGO2]],ESTANDAR!$B$3:$C$9,2,FALSE)</f>
        <v>#N/A</v>
      </c>
      <c r="AB504" s="128" t="str">
        <f>+MID(Tabla3[[#This Row],['# Viaje]],10,1)</f>
        <v/>
      </c>
    </row>
    <row r="505" spans="1:28" ht="15" hidden="1" customHeight="1">
      <c r="A505" s="173" t="s">
        <v>1540</v>
      </c>
      <c r="B505" s="174">
        <v>42948</v>
      </c>
      <c r="C505" s="173" t="s">
        <v>1477</v>
      </c>
      <c r="D505" s="173" t="s">
        <v>1478</v>
      </c>
      <c r="E505" s="173" t="s">
        <v>1479</v>
      </c>
      <c r="F505" s="173">
        <v>1</v>
      </c>
      <c r="G505" s="173" t="s">
        <v>48</v>
      </c>
      <c r="H505" s="173">
        <v>1</v>
      </c>
      <c r="I505" s="173" t="s">
        <v>1541</v>
      </c>
      <c r="J505" s="173" t="s">
        <v>354</v>
      </c>
      <c r="K505" s="173" t="s">
        <v>355</v>
      </c>
      <c r="L505" s="173"/>
      <c r="M505" s="173" t="s">
        <v>56</v>
      </c>
      <c r="N505" s="173">
        <v>900330225</v>
      </c>
      <c r="O505" s="175">
        <v>6133613</v>
      </c>
      <c r="P505" s="7"/>
      <c r="Q505" s="16">
        <f>+IF(IFERROR(VLOOKUP(Tabla3[[#This Row],[Cliente factura]],Tabla4[[NIT]:[TOTAL CREDITO]],3,FALSE),0)="",0,IFERROR(VLOOKUP(Tabla3[[#This Row],[Cliente factura]],Tabla4[[NIT]:[TOTAL CREDITO]],3,FALSE),0))</f>
        <v>0</v>
      </c>
      <c r="R505" s="9">
        <f>+IFERROR(VLOOKUP(Tabla3[[#This Row],[Cliente factura]],Tabla4[[NIT]:[TOTAL CREDITO]],6,FALSE),0)</f>
        <v>0</v>
      </c>
      <c r="S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5" s="10" t="str">
        <f>VLOOKUP(Tabla3[[#This Row],[Razón social cliente factura]]&amp;Tabla3[[#This Row],[Desc. ciudad]],'Estandar de Rutas'!$C$1:$E$553,2,FALSE)</f>
        <v>4.1</v>
      </c>
      <c r="U505" s="130">
        <f>IFERROR(VLOOKUP(Tabla3[[#This Row],[Referencia]]&amp;Tabla3[[#This Row],[Desc detalle ext 1]],Tabla1[[Referencia-Color]:[Disponibilidad]],3,FALSE),0)</f>
        <v>0</v>
      </c>
      <c r="V505" s="13"/>
      <c r="W505" s="17">
        <f>+Tabla3[[#This Row],[Cant. Programada]]*Tabla3[[#This Row],[Precio unit]]</f>
        <v>0</v>
      </c>
      <c r="X505" s="129"/>
      <c r="Y505" s="129"/>
      <c r="Z505" s="8" t="str">
        <f>+Tabla3[[#This Row],[Referencia]]&amp;Tabla3[[#This Row],[Desc detalle ext 1]]</f>
        <v>CB 160F DLX                                       NEGRO PER</v>
      </c>
      <c r="AA505" s="128" t="e">
        <f>+VLOOKUP(Tabla3[[#This Row],[CODIGO2]],ESTANDAR!$B$3:$C$9,2,FALSE)</f>
        <v>#N/A</v>
      </c>
      <c r="AB505" s="128" t="str">
        <f>+MID(Tabla3[[#This Row],['# Viaje]],10,1)</f>
        <v/>
      </c>
    </row>
    <row r="506" spans="1:28" ht="15" hidden="1" customHeight="1">
      <c r="A506" s="173" t="s">
        <v>1540</v>
      </c>
      <c r="B506" s="174">
        <v>42948</v>
      </c>
      <c r="C506" s="173" t="s">
        <v>1477</v>
      </c>
      <c r="D506" s="173" t="s">
        <v>1478</v>
      </c>
      <c r="E506" s="173" t="s">
        <v>1479</v>
      </c>
      <c r="F506" s="173">
        <v>1</v>
      </c>
      <c r="G506" s="173" t="s">
        <v>48</v>
      </c>
      <c r="H506" s="173">
        <v>1</v>
      </c>
      <c r="I506" s="173" t="s">
        <v>1541</v>
      </c>
      <c r="J506" s="173" t="s">
        <v>1428</v>
      </c>
      <c r="K506" s="173" t="s">
        <v>1429</v>
      </c>
      <c r="L506" s="173"/>
      <c r="M506" s="173" t="s">
        <v>56</v>
      </c>
      <c r="N506" s="173">
        <v>900330225</v>
      </c>
      <c r="O506" s="175">
        <v>3067227</v>
      </c>
      <c r="P506" s="7"/>
      <c r="Q506" s="16">
        <f>+IF(IFERROR(VLOOKUP(Tabla3[[#This Row],[Cliente factura]],Tabla4[[NIT]:[TOTAL CREDITO]],3,FALSE),0)="",0,IFERROR(VLOOKUP(Tabla3[[#This Row],[Cliente factura]],Tabla4[[NIT]:[TOTAL CREDITO]],3,FALSE),0))</f>
        <v>0</v>
      </c>
      <c r="R506" s="9">
        <f>+IFERROR(VLOOKUP(Tabla3[[#This Row],[Cliente factura]],Tabla4[[NIT]:[TOTAL CREDITO]],6,FALSE),0)</f>
        <v>0</v>
      </c>
      <c r="S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6" s="10" t="str">
        <f>VLOOKUP(Tabla3[[#This Row],[Razón social cliente factura]]&amp;Tabla3[[#This Row],[Desc. ciudad]],'Estandar de Rutas'!$C$1:$E$553,2,FALSE)</f>
        <v>4.1</v>
      </c>
      <c r="U506" s="130">
        <f>IFERROR(VLOOKUP(Tabla3[[#This Row],[Referencia]]&amp;Tabla3[[#This Row],[Desc detalle ext 1]],Tabla1[[Referencia-Color]:[Disponibilidad]],3,FALSE),0)</f>
        <v>0</v>
      </c>
      <c r="V506" s="13"/>
      <c r="W506" s="17">
        <f>+Tabla3[[#This Row],[Cant. Programada]]*Tabla3[[#This Row],[Precio unit]]</f>
        <v>0</v>
      </c>
      <c r="X506" s="129"/>
      <c r="Y506" s="129"/>
      <c r="Z506" s="8" t="str">
        <f>+Tabla3[[#This Row],[Referencia]]&amp;Tabla3[[#This Row],[Desc detalle ext 1]]</f>
        <v>DREAM  NEO                                        NEGRO AZU</v>
      </c>
      <c r="AA506" s="128" t="e">
        <f>+VLOOKUP(Tabla3[[#This Row],[CODIGO2]],ESTANDAR!$B$3:$C$9,2,FALSE)</f>
        <v>#N/A</v>
      </c>
      <c r="AB506" s="128" t="str">
        <f>+MID(Tabla3[[#This Row],['# Viaje]],10,1)</f>
        <v/>
      </c>
    </row>
    <row r="507" spans="1:28" ht="15" hidden="1" customHeight="1">
      <c r="A507" s="173" t="s">
        <v>1540</v>
      </c>
      <c r="B507" s="174">
        <v>42948</v>
      </c>
      <c r="C507" s="173" t="s">
        <v>1477</v>
      </c>
      <c r="D507" s="173" t="s">
        <v>1478</v>
      </c>
      <c r="E507" s="173" t="s">
        <v>1479</v>
      </c>
      <c r="F507" s="173">
        <v>1</v>
      </c>
      <c r="G507" s="173" t="s">
        <v>48</v>
      </c>
      <c r="H507" s="173">
        <v>1</v>
      </c>
      <c r="I507" s="173" t="s">
        <v>1541</v>
      </c>
      <c r="J507" s="173" t="s">
        <v>1430</v>
      </c>
      <c r="K507" s="173" t="s">
        <v>16</v>
      </c>
      <c r="L507" s="173"/>
      <c r="M507" s="173" t="s">
        <v>56</v>
      </c>
      <c r="N507" s="173">
        <v>900330225</v>
      </c>
      <c r="O507" s="175">
        <v>3941176</v>
      </c>
      <c r="P507" s="7"/>
      <c r="Q507" s="16">
        <f>+IF(IFERROR(VLOOKUP(Tabla3[[#This Row],[Cliente factura]],Tabla4[[NIT]:[TOTAL CREDITO]],3,FALSE),0)="",0,IFERROR(VLOOKUP(Tabla3[[#This Row],[Cliente factura]],Tabla4[[NIT]:[TOTAL CREDITO]],3,FALSE),0))</f>
        <v>0</v>
      </c>
      <c r="R507" s="9">
        <f>+IFERROR(VLOOKUP(Tabla3[[#This Row],[Cliente factura]],Tabla4[[NIT]:[TOTAL CREDITO]],6,FALSE),0)</f>
        <v>0</v>
      </c>
      <c r="S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7" s="10" t="str">
        <f>VLOOKUP(Tabla3[[#This Row],[Razón social cliente factura]]&amp;Tabla3[[#This Row],[Desc. ciudad]],'Estandar de Rutas'!$C$1:$E$553,2,FALSE)</f>
        <v>4.1</v>
      </c>
      <c r="U507" s="130">
        <f>IFERROR(VLOOKUP(Tabla3[[#This Row],[Referencia]]&amp;Tabla3[[#This Row],[Desc detalle ext 1]],Tabla1[[Referencia-Color]:[Disponibilidad]],3,FALSE),0)</f>
        <v>0</v>
      </c>
      <c r="V507" s="13"/>
      <c r="W507" s="17">
        <f>+Tabla3[[#This Row],[Cant. Programada]]*Tabla3[[#This Row],[Precio unit]]</f>
        <v>0</v>
      </c>
      <c r="X507" s="129"/>
      <c r="Y507" s="129"/>
      <c r="Z507" s="8" t="str">
        <f>+Tabla3[[#This Row],[Referencia]]&amp;Tabla3[[#This Row],[Desc detalle ext 1]]</f>
        <v xml:space="preserve">WAVE 110S                                         NEGRO    </v>
      </c>
      <c r="AA507" s="128" t="e">
        <f>+VLOOKUP(Tabla3[[#This Row],[CODIGO2]],ESTANDAR!$B$3:$C$9,2,FALSE)</f>
        <v>#N/A</v>
      </c>
      <c r="AB507" s="128" t="str">
        <f>+MID(Tabla3[[#This Row],['# Viaje]],10,1)</f>
        <v/>
      </c>
    </row>
    <row r="508" spans="1:28" ht="15" hidden="1" customHeight="1">
      <c r="A508" s="173" t="s">
        <v>1540</v>
      </c>
      <c r="B508" s="174">
        <v>42948</v>
      </c>
      <c r="C508" s="173" t="s">
        <v>1477</v>
      </c>
      <c r="D508" s="173" t="s">
        <v>1478</v>
      </c>
      <c r="E508" s="173" t="s">
        <v>1479</v>
      </c>
      <c r="F508" s="173">
        <v>1</v>
      </c>
      <c r="G508" s="173" t="s">
        <v>48</v>
      </c>
      <c r="H508" s="173">
        <v>1</v>
      </c>
      <c r="I508" s="173" t="s">
        <v>1541</v>
      </c>
      <c r="J508" s="173" t="s">
        <v>1234</v>
      </c>
      <c r="K508" s="173" t="s">
        <v>355</v>
      </c>
      <c r="L508" s="173"/>
      <c r="M508" s="173" t="s">
        <v>56</v>
      </c>
      <c r="N508" s="173">
        <v>900330225</v>
      </c>
      <c r="O508" s="175">
        <v>5453782</v>
      </c>
      <c r="P508" s="7"/>
      <c r="Q508" s="16">
        <f>+IF(IFERROR(VLOOKUP(Tabla3[[#This Row],[Cliente factura]],Tabla4[[NIT]:[TOTAL CREDITO]],3,FALSE),0)="",0,IFERROR(VLOOKUP(Tabla3[[#This Row],[Cliente factura]],Tabla4[[NIT]:[TOTAL CREDITO]],3,FALSE),0))</f>
        <v>0</v>
      </c>
      <c r="R508" s="9">
        <f>+IFERROR(VLOOKUP(Tabla3[[#This Row],[Cliente factura]],Tabla4[[NIT]:[TOTAL CREDITO]],6,FALSE),0)</f>
        <v>0</v>
      </c>
      <c r="S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8" s="10" t="str">
        <f>VLOOKUP(Tabla3[[#This Row],[Razón social cliente factura]]&amp;Tabla3[[#This Row],[Desc. ciudad]],'Estandar de Rutas'!$C$1:$E$553,2,FALSE)</f>
        <v>4.1</v>
      </c>
      <c r="U508" s="130">
        <f>IFERROR(VLOOKUP(Tabla3[[#This Row],[Referencia]]&amp;Tabla3[[#This Row],[Desc detalle ext 1]],Tabla1[[Referencia-Color]:[Disponibilidad]],3,FALSE),0)</f>
        <v>0</v>
      </c>
      <c r="V508" s="13"/>
      <c r="W508" s="17">
        <f>+Tabla3[[#This Row],[Cant. Programada]]*Tabla3[[#This Row],[Precio unit]]</f>
        <v>0</v>
      </c>
      <c r="X508" s="8"/>
      <c r="Y508" s="8"/>
      <c r="Z508" s="8" t="str">
        <f>+Tabla3[[#This Row],[Referencia]]&amp;Tabla3[[#This Row],[Desc detalle ext 1]]</f>
        <v>CB 160F STD                                       NEGRO PER</v>
      </c>
      <c r="AA508" s="128" t="e">
        <f>+VLOOKUP(Tabla3[[#This Row],[CODIGO2]],ESTANDAR!$B$3:$C$9,2,FALSE)</f>
        <v>#N/A</v>
      </c>
      <c r="AB508" s="128" t="str">
        <f>+MID(Tabla3[[#This Row],['# Viaje]],10,1)</f>
        <v/>
      </c>
    </row>
    <row r="509" spans="1:28" ht="15" hidden="1" customHeight="1">
      <c r="A509" s="173" t="s">
        <v>1540</v>
      </c>
      <c r="B509" s="174">
        <v>42948</v>
      </c>
      <c r="C509" s="173" t="s">
        <v>1477</v>
      </c>
      <c r="D509" s="173" t="s">
        <v>1478</v>
      </c>
      <c r="E509" s="173" t="s">
        <v>1479</v>
      </c>
      <c r="F509" s="173">
        <v>1</v>
      </c>
      <c r="G509" s="173" t="s">
        <v>48</v>
      </c>
      <c r="H509" s="173">
        <v>1</v>
      </c>
      <c r="I509" s="173" t="s">
        <v>1541</v>
      </c>
      <c r="J509" s="173" t="s">
        <v>1451</v>
      </c>
      <c r="K509" s="173" t="s">
        <v>16</v>
      </c>
      <c r="L509" s="173"/>
      <c r="M509" s="173" t="s">
        <v>56</v>
      </c>
      <c r="N509" s="173">
        <v>900330225</v>
      </c>
      <c r="O509" s="175">
        <v>3696639</v>
      </c>
      <c r="P509" s="7"/>
      <c r="Q509" s="16">
        <f>+IF(IFERROR(VLOOKUP(Tabla3[[#This Row],[Cliente factura]],Tabla4[[NIT]:[TOTAL CREDITO]],3,FALSE),0)="",0,IFERROR(VLOOKUP(Tabla3[[#This Row],[Cliente factura]],Tabla4[[NIT]:[TOTAL CREDITO]],3,FALSE),0))</f>
        <v>0</v>
      </c>
      <c r="R509" s="9">
        <f>+IFERROR(VLOOKUP(Tabla3[[#This Row],[Cliente factura]],Tabla4[[NIT]:[TOTAL CREDITO]],6,FALSE),0)</f>
        <v>0</v>
      </c>
      <c r="S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9" s="10" t="str">
        <f>VLOOKUP(Tabla3[[#This Row],[Razón social cliente factura]]&amp;Tabla3[[#This Row],[Desc. ciudad]],'Estandar de Rutas'!$C$1:$E$553,2,FALSE)</f>
        <v>4.1</v>
      </c>
      <c r="U509" s="130">
        <f>IFERROR(VLOOKUP(Tabla3[[#This Row],[Referencia]]&amp;Tabla3[[#This Row],[Desc detalle ext 1]],Tabla1[[Referencia-Color]:[Disponibilidad]],3,FALSE),0)</f>
        <v>3</v>
      </c>
      <c r="V509" s="13"/>
      <c r="W509" s="17">
        <f>+Tabla3[[#This Row],[Cant. Programada]]*Tabla3[[#This Row],[Precio unit]]</f>
        <v>0</v>
      </c>
      <c r="X509" s="129"/>
      <c r="Y509" s="8"/>
      <c r="Z509" s="8" t="str">
        <f>+Tabla3[[#This Row],[Referencia]]&amp;Tabla3[[#This Row],[Desc detalle ext 1]]</f>
        <v xml:space="preserve">CB 110 DLX                                        NEGRO    </v>
      </c>
      <c r="AA509" s="128" t="e">
        <f>+VLOOKUP(Tabla3[[#This Row],[CODIGO2]],ESTANDAR!$B$3:$C$9,2,FALSE)</f>
        <v>#N/A</v>
      </c>
      <c r="AB509" s="128" t="str">
        <f>+MID(Tabla3[[#This Row],['# Viaje]],10,1)</f>
        <v/>
      </c>
    </row>
    <row r="510" spans="1:28" ht="15" hidden="1" customHeight="1">
      <c r="A510" s="173" t="s">
        <v>1542</v>
      </c>
      <c r="B510" s="174">
        <v>42948</v>
      </c>
      <c r="C510" s="173" t="s">
        <v>1231</v>
      </c>
      <c r="D510" s="173" t="s">
        <v>1237</v>
      </c>
      <c r="E510" s="173" t="s">
        <v>1479</v>
      </c>
      <c r="F510" s="173">
        <v>1</v>
      </c>
      <c r="G510" s="173" t="s">
        <v>401</v>
      </c>
      <c r="H510" s="173">
        <v>1</v>
      </c>
      <c r="I510" s="173" t="s">
        <v>1543</v>
      </c>
      <c r="J510" s="173" t="s">
        <v>1421</v>
      </c>
      <c r="K510" s="173" t="s">
        <v>1422</v>
      </c>
      <c r="L510" s="173"/>
      <c r="M510" s="173" t="s">
        <v>213</v>
      </c>
      <c r="N510" s="173">
        <v>17668211</v>
      </c>
      <c r="O510" s="175">
        <v>11496063</v>
      </c>
      <c r="P510" s="7"/>
      <c r="Q510" s="16">
        <f>+IF(IFERROR(VLOOKUP(Tabla3[[#This Row],[Cliente factura]],Tabla4[[NIT]:[TOTAL CREDITO]],3,FALSE),0)="",0,IFERROR(VLOOKUP(Tabla3[[#This Row],[Cliente factura]],Tabla4[[NIT]:[TOTAL CREDITO]],3,FALSE),0))</f>
        <v>45693960</v>
      </c>
      <c r="R510" s="9">
        <f>+IFERROR(VLOOKUP(Tabla3[[#This Row],[Cliente factura]],Tabla4[[NIT]:[TOTAL CREDITO]],6,FALSE),0)</f>
        <v>0</v>
      </c>
      <c r="S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0" s="10" t="str">
        <f>VLOOKUP(Tabla3[[#This Row],[Razón social cliente factura]]&amp;Tabla3[[#This Row],[Desc. ciudad]],'Estandar de Rutas'!$C$1:$E$553,2,FALSE)</f>
        <v>5.2.B</v>
      </c>
      <c r="U510" s="130">
        <f>IFERROR(VLOOKUP(Tabla3[[#This Row],[Referencia]]&amp;Tabla3[[#This Row],[Desc detalle ext 1]],Tabla1[[Referencia-Color]:[Disponibilidad]],3,FALSE),0)</f>
        <v>13</v>
      </c>
      <c r="V510" s="13"/>
      <c r="W510" s="17">
        <f>+Tabla3[[#This Row],[Cant. Programada]]*Tabla3[[#This Row],[Precio unit]]</f>
        <v>0</v>
      </c>
      <c r="X510" s="129"/>
      <c r="Y510" s="8"/>
      <c r="Z510" s="8" t="str">
        <f>+Tabla3[[#This Row],[Referencia]]&amp;Tabla3[[#This Row],[Desc detalle ext 1]]</f>
        <v>*XR-250 TORNADO pt MD34                           ROJO BLAN</v>
      </c>
      <c r="AA510" s="128" t="e">
        <f>+VLOOKUP(Tabla3[[#This Row],[CODIGO2]],ESTANDAR!$B$3:$C$9,2,FALSE)</f>
        <v>#N/A</v>
      </c>
      <c r="AB510" s="128" t="str">
        <f>+MID(Tabla3[[#This Row],['# Viaje]],10,1)</f>
        <v/>
      </c>
    </row>
    <row r="511" spans="1:28" ht="15" hidden="1" customHeight="1">
      <c r="A511" s="173" t="s">
        <v>1542</v>
      </c>
      <c r="B511" s="174">
        <v>42948</v>
      </c>
      <c r="C511" s="173" t="s">
        <v>1231</v>
      </c>
      <c r="D511" s="173" t="s">
        <v>1237</v>
      </c>
      <c r="E511" s="173" t="s">
        <v>1479</v>
      </c>
      <c r="F511" s="173">
        <v>2</v>
      </c>
      <c r="G511" s="173" t="s">
        <v>401</v>
      </c>
      <c r="H511" s="173">
        <v>2</v>
      </c>
      <c r="I511" s="173" t="s">
        <v>1543</v>
      </c>
      <c r="J511" s="173" t="s">
        <v>27</v>
      </c>
      <c r="K511" s="173" t="s">
        <v>32</v>
      </c>
      <c r="L511" s="173"/>
      <c r="M511" s="173" t="s">
        <v>213</v>
      </c>
      <c r="N511" s="173">
        <v>17668211</v>
      </c>
      <c r="O511" s="175">
        <v>5789916</v>
      </c>
      <c r="P511" s="7"/>
      <c r="Q511" s="16">
        <f>+IF(IFERROR(VLOOKUP(Tabla3[[#This Row],[Cliente factura]],Tabla4[[NIT]:[TOTAL CREDITO]],3,FALSE),0)="",0,IFERROR(VLOOKUP(Tabla3[[#This Row],[Cliente factura]],Tabla4[[NIT]:[TOTAL CREDITO]],3,FALSE),0))</f>
        <v>45693960</v>
      </c>
      <c r="R511" s="9">
        <f>+IFERROR(VLOOKUP(Tabla3[[#This Row],[Cliente factura]],Tabla4[[NIT]:[TOTAL CREDITO]],6,FALSE),0)</f>
        <v>0</v>
      </c>
      <c r="S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1" s="10" t="str">
        <f>VLOOKUP(Tabla3[[#This Row],[Razón social cliente factura]]&amp;Tabla3[[#This Row],[Desc. ciudad]],'Estandar de Rutas'!$C$1:$E$553,2,FALSE)</f>
        <v>5.2.B</v>
      </c>
      <c r="U511" s="130">
        <f>IFERROR(VLOOKUP(Tabla3[[#This Row],[Referencia]]&amp;Tabla3[[#This Row],[Desc detalle ext 1]],Tabla1[[Referencia-Color]:[Disponibilidad]],3,FALSE),0)</f>
        <v>7</v>
      </c>
      <c r="V511" s="13"/>
      <c r="W511" s="17">
        <f>+Tabla3[[#This Row],[Cant. Programada]]*Tabla3[[#This Row],[Precio unit]]</f>
        <v>0</v>
      </c>
      <c r="X511" s="129"/>
      <c r="Y511" s="129"/>
      <c r="Z511" s="8" t="str">
        <f>+Tabla3[[#This Row],[Referencia]]&amp;Tabla3[[#This Row],[Desc detalle ext 1]]</f>
        <v>*XR 150L                                          NEGRO ROJ</v>
      </c>
      <c r="AA511" s="128" t="e">
        <f>+VLOOKUP(Tabla3[[#This Row],[CODIGO2]],ESTANDAR!$B$3:$C$9,2,FALSE)</f>
        <v>#N/A</v>
      </c>
      <c r="AB511" s="128" t="str">
        <f>+MID(Tabla3[[#This Row],['# Viaje]],10,1)</f>
        <v/>
      </c>
    </row>
    <row r="512" spans="1:28" ht="15" hidden="1" customHeight="1">
      <c r="A512" s="173" t="s">
        <v>1542</v>
      </c>
      <c r="B512" s="174">
        <v>42948</v>
      </c>
      <c r="C512" s="173" t="s">
        <v>1231</v>
      </c>
      <c r="D512" s="173" t="s">
        <v>1237</v>
      </c>
      <c r="E512" s="173" t="s">
        <v>1479</v>
      </c>
      <c r="F512" s="173">
        <v>1</v>
      </c>
      <c r="G512" s="173" t="s">
        <v>401</v>
      </c>
      <c r="H512" s="173">
        <v>1</v>
      </c>
      <c r="I512" s="173" t="s">
        <v>1543</v>
      </c>
      <c r="J512" s="173" t="s">
        <v>27</v>
      </c>
      <c r="K512" s="173" t="s">
        <v>26</v>
      </c>
      <c r="L512" s="173"/>
      <c r="M512" s="173" t="s">
        <v>213</v>
      </c>
      <c r="N512" s="173">
        <v>17668211</v>
      </c>
      <c r="O512" s="175">
        <v>5789916</v>
      </c>
      <c r="P512" s="7"/>
      <c r="Q512" s="16">
        <f>+IF(IFERROR(VLOOKUP(Tabla3[[#This Row],[Cliente factura]],Tabla4[[NIT]:[TOTAL CREDITO]],3,FALSE),0)="",0,IFERROR(VLOOKUP(Tabla3[[#This Row],[Cliente factura]],Tabla4[[NIT]:[TOTAL CREDITO]],3,FALSE),0))</f>
        <v>45693960</v>
      </c>
      <c r="R512" s="9">
        <f>+IFERROR(VLOOKUP(Tabla3[[#This Row],[Cliente factura]],Tabla4[[NIT]:[TOTAL CREDITO]],6,FALSE),0)</f>
        <v>0</v>
      </c>
      <c r="S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2" s="10" t="str">
        <f>VLOOKUP(Tabla3[[#This Row],[Razón social cliente factura]]&amp;Tabla3[[#This Row],[Desc. ciudad]],'Estandar de Rutas'!$C$1:$E$553,2,FALSE)</f>
        <v>5.2.B</v>
      </c>
      <c r="U512" s="130">
        <f>IFERROR(VLOOKUP(Tabla3[[#This Row],[Referencia]]&amp;Tabla3[[#This Row],[Desc detalle ext 1]],Tabla1[[Referencia-Color]:[Disponibilidad]],3,FALSE),0)</f>
        <v>59</v>
      </c>
      <c r="V512" s="13"/>
      <c r="W512" s="17">
        <f>+Tabla3[[#This Row],[Cant. Programada]]*Tabla3[[#This Row],[Precio unit]]</f>
        <v>0</v>
      </c>
      <c r="X512" s="129"/>
      <c r="Y512" s="129"/>
      <c r="Z512" s="8" t="str">
        <f>+Tabla3[[#This Row],[Referencia]]&amp;Tabla3[[#This Row],[Desc detalle ext 1]]</f>
        <v>*XR 150L                                          NEGRO BLA</v>
      </c>
      <c r="AA512" s="128" t="e">
        <f>+VLOOKUP(Tabla3[[#This Row],[CODIGO2]],ESTANDAR!$B$3:$C$9,2,FALSE)</f>
        <v>#N/A</v>
      </c>
      <c r="AB512" s="128" t="str">
        <f>+MID(Tabla3[[#This Row],['# Viaje]],10,1)</f>
        <v/>
      </c>
    </row>
    <row r="513" spans="1:28" ht="15" hidden="1" customHeight="1">
      <c r="A513" s="173" t="s">
        <v>1542</v>
      </c>
      <c r="B513" s="174">
        <v>42948</v>
      </c>
      <c r="C513" s="173" t="s">
        <v>1231</v>
      </c>
      <c r="D513" s="173" t="s">
        <v>1237</v>
      </c>
      <c r="E513" s="173" t="s">
        <v>1479</v>
      </c>
      <c r="F513" s="173">
        <v>4</v>
      </c>
      <c r="G513" s="173" t="s">
        <v>401</v>
      </c>
      <c r="H513" s="173">
        <v>4</v>
      </c>
      <c r="I513" s="173" t="s">
        <v>1543</v>
      </c>
      <c r="J513" s="173" t="s">
        <v>27</v>
      </c>
      <c r="K513" s="173" t="s">
        <v>16</v>
      </c>
      <c r="L513" s="173"/>
      <c r="M513" s="173" t="s">
        <v>213</v>
      </c>
      <c r="N513" s="173">
        <v>17668211</v>
      </c>
      <c r="O513" s="175">
        <v>5789916</v>
      </c>
      <c r="P513" s="7"/>
      <c r="Q513" s="16">
        <f>+IF(IFERROR(VLOOKUP(Tabla3[[#This Row],[Cliente factura]],Tabla4[[NIT]:[TOTAL CREDITO]],3,FALSE),0)="",0,IFERROR(VLOOKUP(Tabla3[[#This Row],[Cliente factura]],Tabla4[[NIT]:[TOTAL CREDITO]],3,FALSE),0))</f>
        <v>45693960</v>
      </c>
      <c r="R513" s="9">
        <f>+IFERROR(VLOOKUP(Tabla3[[#This Row],[Cliente factura]],Tabla4[[NIT]:[TOTAL CREDITO]],6,FALSE),0)</f>
        <v>0</v>
      </c>
      <c r="S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3" s="10" t="str">
        <f>VLOOKUP(Tabla3[[#This Row],[Razón social cliente factura]]&amp;Tabla3[[#This Row],[Desc. ciudad]],'Estandar de Rutas'!$C$1:$E$553,2,FALSE)</f>
        <v>5.2.B</v>
      </c>
      <c r="U513" s="130">
        <f>IFERROR(VLOOKUP(Tabla3[[#This Row],[Referencia]]&amp;Tabla3[[#This Row],[Desc detalle ext 1]],Tabla1[[Referencia-Color]:[Disponibilidad]],3,FALSE),0)</f>
        <v>3</v>
      </c>
      <c r="V513" s="13"/>
      <c r="W513" s="17">
        <f>+Tabla3[[#This Row],[Cant. Programada]]*Tabla3[[#This Row],[Precio unit]]</f>
        <v>0</v>
      </c>
      <c r="X513" s="130"/>
      <c r="Y513" s="8"/>
      <c r="Z513" s="8" t="str">
        <f>+Tabla3[[#This Row],[Referencia]]&amp;Tabla3[[#This Row],[Desc detalle ext 1]]</f>
        <v xml:space="preserve">*XR 150L                                          NEGRO    </v>
      </c>
      <c r="AA513" s="128" t="e">
        <f>+VLOOKUP(Tabla3[[#This Row],[CODIGO2]],ESTANDAR!$B$3:$C$9,2,FALSE)</f>
        <v>#N/A</v>
      </c>
      <c r="AB513" s="128" t="str">
        <f>+MID(Tabla3[[#This Row],['# Viaje]],10,1)</f>
        <v/>
      </c>
    </row>
    <row r="514" spans="1:28" ht="15" hidden="1" customHeight="1">
      <c r="A514" s="173" t="s">
        <v>1542</v>
      </c>
      <c r="B514" s="174">
        <v>42948</v>
      </c>
      <c r="C514" s="173" t="s">
        <v>1231</v>
      </c>
      <c r="D514" s="173" t="s">
        <v>1237</v>
      </c>
      <c r="E514" s="173" t="s">
        <v>1479</v>
      </c>
      <c r="F514" s="173">
        <v>1</v>
      </c>
      <c r="G514" s="173" t="s">
        <v>401</v>
      </c>
      <c r="H514" s="173">
        <v>1</v>
      </c>
      <c r="I514" s="173" t="s">
        <v>1543</v>
      </c>
      <c r="J514" s="173" t="s">
        <v>354</v>
      </c>
      <c r="K514" s="173" t="s">
        <v>355</v>
      </c>
      <c r="L514" s="173"/>
      <c r="M514" s="173" t="s">
        <v>213</v>
      </c>
      <c r="N514" s="173">
        <v>17668211</v>
      </c>
      <c r="O514" s="175">
        <v>6133613</v>
      </c>
      <c r="P514" s="7"/>
      <c r="Q514" s="16">
        <f>+IF(IFERROR(VLOOKUP(Tabla3[[#This Row],[Cliente factura]],Tabla4[[NIT]:[TOTAL CREDITO]],3,FALSE),0)="",0,IFERROR(VLOOKUP(Tabla3[[#This Row],[Cliente factura]],Tabla4[[NIT]:[TOTAL CREDITO]],3,FALSE),0))</f>
        <v>45693960</v>
      </c>
      <c r="R514" s="9">
        <f>+IFERROR(VLOOKUP(Tabla3[[#This Row],[Cliente factura]],Tabla4[[NIT]:[TOTAL CREDITO]],6,FALSE),0)</f>
        <v>0</v>
      </c>
      <c r="S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4" s="10" t="str">
        <f>VLOOKUP(Tabla3[[#This Row],[Razón social cliente factura]]&amp;Tabla3[[#This Row],[Desc. ciudad]],'Estandar de Rutas'!$C$1:$E$553,2,FALSE)</f>
        <v>5.2.B</v>
      </c>
      <c r="U514" s="130">
        <f>IFERROR(VLOOKUP(Tabla3[[#This Row],[Referencia]]&amp;Tabla3[[#This Row],[Desc detalle ext 1]],Tabla1[[Referencia-Color]:[Disponibilidad]],3,FALSE),0)</f>
        <v>0</v>
      </c>
      <c r="V514" s="13"/>
      <c r="W514" s="17">
        <f>+Tabla3[[#This Row],[Cant. Programada]]*Tabla3[[#This Row],[Precio unit]]</f>
        <v>0</v>
      </c>
      <c r="X514" s="130"/>
      <c r="Y514" s="129"/>
      <c r="Z514" s="8" t="str">
        <f>+Tabla3[[#This Row],[Referencia]]&amp;Tabla3[[#This Row],[Desc detalle ext 1]]</f>
        <v>CB 160F DLX                                       NEGRO PER</v>
      </c>
      <c r="AA514" s="128" t="e">
        <f>+VLOOKUP(Tabla3[[#This Row],[CODIGO2]],ESTANDAR!$B$3:$C$9,2,FALSE)</f>
        <v>#N/A</v>
      </c>
      <c r="AB514" s="128" t="str">
        <f>+MID(Tabla3[[#This Row],['# Viaje]],10,1)</f>
        <v/>
      </c>
    </row>
    <row r="515" spans="1:28" ht="15" hidden="1" customHeight="1">
      <c r="A515" s="173" t="s">
        <v>1542</v>
      </c>
      <c r="B515" s="174">
        <v>42948</v>
      </c>
      <c r="C515" s="173" t="s">
        <v>1231</v>
      </c>
      <c r="D515" s="173" t="s">
        <v>1237</v>
      </c>
      <c r="E515" s="173" t="s">
        <v>1479</v>
      </c>
      <c r="F515" s="173">
        <v>1</v>
      </c>
      <c r="G515" s="173" t="s">
        <v>401</v>
      </c>
      <c r="H515" s="173">
        <v>1</v>
      </c>
      <c r="I515" s="173" t="s">
        <v>1543</v>
      </c>
      <c r="J515" s="173" t="s">
        <v>354</v>
      </c>
      <c r="K515" s="173" t="s">
        <v>17</v>
      </c>
      <c r="L515" s="173"/>
      <c r="M515" s="173" t="s">
        <v>213</v>
      </c>
      <c r="N515" s="173">
        <v>17668211</v>
      </c>
      <c r="O515" s="175">
        <v>6133613</v>
      </c>
      <c r="P515" s="7"/>
      <c r="Q515" s="16">
        <f>+IF(IFERROR(VLOOKUP(Tabla3[[#This Row],[Cliente factura]],Tabla4[[NIT]:[TOTAL CREDITO]],3,FALSE),0)="",0,IFERROR(VLOOKUP(Tabla3[[#This Row],[Cliente factura]],Tabla4[[NIT]:[TOTAL CREDITO]],3,FALSE),0))</f>
        <v>45693960</v>
      </c>
      <c r="R515" s="9">
        <f>+IFERROR(VLOOKUP(Tabla3[[#This Row],[Cliente factura]],Tabla4[[NIT]:[TOTAL CREDITO]],6,FALSE),0)</f>
        <v>0</v>
      </c>
      <c r="S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5" s="10" t="str">
        <f>VLOOKUP(Tabla3[[#This Row],[Razón social cliente factura]]&amp;Tabla3[[#This Row],[Desc. ciudad]],'Estandar de Rutas'!$C$1:$E$553,2,FALSE)</f>
        <v>5.2.B</v>
      </c>
      <c r="U515" s="130">
        <f>IFERROR(VLOOKUP(Tabla3[[#This Row],[Referencia]]&amp;Tabla3[[#This Row],[Desc detalle ext 1]],Tabla1[[Referencia-Color]:[Disponibilidad]],3,FALSE),0)</f>
        <v>48</v>
      </c>
      <c r="V515" s="13"/>
      <c r="W515" s="17">
        <f>+Tabla3[[#This Row],[Cant. Programada]]*Tabla3[[#This Row],[Precio unit]]</f>
        <v>0</v>
      </c>
      <c r="X515" s="130"/>
      <c r="Y515" s="129"/>
      <c r="Z515" s="8" t="str">
        <f>+Tabla3[[#This Row],[Referencia]]&amp;Tabla3[[#This Row],[Desc detalle ext 1]]</f>
        <v>CB 160F DLX                                       ROJO SPOR</v>
      </c>
      <c r="AA515" s="128" t="e">
        <f>+VLOOKUP(Tabla3[[#This Row],[CODIGO2]],ESTANDAR!$B$3:$C$9,2,FALSE)</f>
        <v>#N/A</v>
      </c>
      <c r="AB515" s="128" t="str">
        <f>+MID(Tabla3[[#This Row],['# Viaje]],10,1)</f>
        <v/>
      </c>
    </row>
    <row r="516" spans="1:28" ht="15" hidden="1" customHeight="1">
      <c r="A516" s="173" t="s">
        <v>1542</v>
      </c>
      <c r="B516" s="174">
        <v>42948</v>
      </c>
      <c r="C516" s="173" t="s">
        <v>1231</v>
      </c>
      <c r="D516" s="173" t="s">
        <v>1237</v>
      </c>
      <c r="E516" s="173" t="s">
        <v>1479</v>
      </c>
      <c r="F516" s="173">
        <v>6</v>
      </c>
      <c r="G516" s="173" t="s">
        <v>401</v>
      </c>
      <c r="H516" s="173">
        <v>6</v>
      </c>
      <c r="I516" s="173" t="s">
        <v>1543</v>
      </c>
      <c r="J516" s="173" t="s">
        <v>1451</v>
      </c>
      <c r="K516" s="173" t="s">
        <v>1431</v>
      </c>
      <c r="L516" s="173"/>
      <c r="M516" s="173" t="s">
        <v>213</v>
      </c>
      <c r="N516" s="173">
        <v>17668211</v>
      </c>
      <c r="O516" s="175">
        <v>3696639</v>
      </c>
      <c r="P516" s="7"/>
      <c r="Q516" s="16">
        <f>+IF(IFERROR(VLOOKUP(Tabla3[[#This Row],[Cliente factura]],Tabla4[[NIT]:[TOTAL CREDITO]],3,FALSE),0)="",0,IFERROR(VLOOKUP(Tabla3[[#This Row],[Cliente factura]],Tabla4[[NIT]:[TOTAL CREDITO]],3,FALSE),0))</f>
        <v>45693960</v>
      </c>
      <c r="R516" s="9">
        <f>+IFERROR(VLOOKUP(Tabla3[[#This Row],[Cliente factura]],Tabla4[[NIT]:[TOTAL CREDITO]],6,FALSE),0)</f>
        <v>0</v>
      </c>
      <c r="S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6" s="10" t="str">
        <f>VLOOKUP(Tabla3[[#This Row],[Razón social cliente factura]]&amp;Tabla3[[#This Row],[Desc. ciudad]],'Estandar de Rutas'!$C$1:$E$553,2,FALSE)</f>
        <v>5.2.B</v>
      </c>
      <c r="U516" s="130">
        <f>IFERROR(VLOOKUP(Tabla3[[#This Row],[Referencia]]&amp;Tabla3[[#This Row],[Desc detalle ext 1]],Tabla1[[Referencia-Color]:[Disponibilidad]],3,FALSE),0)</f>
        <v>21</v>
      </c>
      <c r="V516" s="13"/>
      <c r="W516" s="17">
        <f>+Tabla3[[#This Row],[Cant. Programada]]*Tabla3[[#This Row],[Precio unit]]</f>
        <v>0</v>
      </c>
      <c r="X516" s="130"/>
      <c r="Y516" s="129"/>
      <c r="Z516" s="8" t="str">
        <f>+Tabla3[[#This Row],[Referencia]]&amp;Tabla3[[#This Row],[Desc detalle ext 1]]</f>
        <v xml:space="preserve">CB 110 DLX                                        ROJO     </v>
      </c>
      <c r="AA516" s="128" t="e">
        <f>+VLOOKUP(Tabla3[[#This Row],[CODIGO2]],ESTANDAR!$B$3:$C$9,2,FALSE)</f>
        <v>#N/A</v>
      </c>
      <c r="AB516" s="128" t="str">
        <f>+MID(Tabla3[[#This Row],['# Viaje]],10,1)</f>
        <v/>
      </c>
    </row>
    <row r="517" spans="1:28" ht="15" hidden="1" customHeight="1">
      <c r="A517" s="173" t="s">
        <v>1542</v>
      </c>
      <c r="B517" s="174">
        <v>42948</v>
      </c>
      <c r="C517" s="173" t="s">
        <v>1231</v>
      </c>
      <c r="D517" s="173" t="s">
        <v>1237</v>
      </c>
      <c r="E517" s="173" t="s">
        <v>1479</v>
      </c>
      <c r="F517" s="173">
        <v>4</v>
      </c>
      <c r="G517" s="173" t="s">
        <v>401</v>
      </c>
      <c r="H517" s="173">
        <v>4</v>
      </c>
      <c r="I517" s="173" t="s">
        <v>1543</v>
      </c>
      <c r="J517" s="173" t="s">
        <v>1451</v>
      </c>
      <c r="K517" s="173" t="s">
        <v>1449</v>
      </c>
      <c r="L517" s="173"/>
      <c r="M517" s="173" t="s">
        <v>213</v>
      </c>
      <c r="N517" s="173">
        <v>17668211</v>
      </c>
      <c r="O517" s="175">
        <v>3696639</v>
      </c>
      <c r="P517" s="7"/>
      <c r="Q517" s="16">
        <f>+IF(IFERROR(VLOOKUP(Tabla3[[#This Row],[Cliente factura]],Tabla4[[NIT]:[TOTAL CREDITO]],3,FALSE),0)="",0,IFERROR(VLOOKUP(Tabla3[[#This Row],[Cliente factura]],Tabla4[[NIT]:[TOTAL CREDITO]],3,FALSE),0))</f>
        <v>45693960</v>
      </c>
      <c r="R517" s="9">
        <f>+IFERROR(VLOOKUP(Tabla3[[#This Row],[Cliente factura]],Tabla4[[NIT]:[TOTAL CREDITO]],6,FALSE),0)</f>
        <v>0</v>
      </c>
      <c r="S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7" s="10" t="str">
        <f>VLOOKUP(Tabla3[[#This Row],[Razón social cliente factura]]&amp;Tabla3[[#This Row],[Desc. ciudad]],'Estandar de Rutas'!$C$1:$E$553,2,FALSE)</f>
        <v>5.2.B</v>
      </c>
      <c r="U517" s="130">
        <f>IFERROR(VLOOKUP(Tabla3[[#This Row],[Referencia]]&amp;Tabla3[[#This Row],[Desc detalle ext 1]],Tabla1[[Referencia-Color]:[Disponibilidad]],3,FALSE),0)</f>
        <v>24</v>
      </c>
      <c r="V517" s="13"/>
      <c r="W517" s="17">
        <f>+Tabla3[[#This Row],[Cant. Programada]]*Tabla3[[#This Row],[Precio unit]]</f>
        <v>0</v>
      </c>
      <c r="X517" s="8"/>
      <c r="Y517" s="8"/>
      <c r="Z517" s="8" t="str">
        <f>+Tabla3[[#This Row],[Referencia]]&amp;Tabla3[[#This Row],[Desc detalle ext 1]]</f>
        <v xml:space="preserve">CB 110 DLX                                        GRIS     </v>
      </c>
      <c r="AA517" s="128" t="e">
        <f>+VLOOKUP(Tabla3[[#This Row],[CODIGO2]],ESTANDAR!$B$3:$C$9,2,FALSE)</f>
        <v>#N/A</v>
      </c>
      <c r="AB517" s="128" t="str">
        <f>+MID(Tabla3[[#This Row],['# Viaje]],10,1)</f>
        <v/>
      </c>
    </row>
    <row r="518" spans="1:28" ht="15" hidden="1" customHeight="1">
      <c r="A518" s="173" t="s">
        <v>1542</v>
      </c>
      <c r="B518" s="174">
        <v>42948</v>
      </c>
      <c r="C518" s="173" t="s">
        <v>1231</v>
      </c>
      <c r="D518" s="173" t="s">
        <v>1237</v>
      </c>
      <c r="E518" s="173" t="s">
        <v>1479</v>
      </c>
      <c r="F518" s="173">
        <v>5</v>
      </c>
      <c r="G518" s="173" t="s">
        <v>401</v>
      </c>
      <c r="H518" s="173">
        <v>5</v>
      </c>
      <c r="I518" s="173" t="s">
        <v>1543</v>
      </c>
      <c r="J518" s="173" t="s">
        <v>1451</v>
      </c>
      <c r="K518" s="173" t="s">
        <v>1452</v>
      </c>
      <c r="L518" s="173"/>
      <c r="M518" s="173" t="s">
        <v>213</v>
      </c>
      <c r="N518" s="173">
        <v>17668211</v>
      </c>
      <c r="O518" s="175">
        <v>3696639</v>
      </c>
      <c r="P518" s="7"/>
      <c r="Q518" s="16">
        <f>+IF(IFERROR(VLOOKUP(Tabla3[[#This Row],[Cliente factura]],Tabla4[[NIT]:[TOTAL CREDITO]],3,FALSE),0)="",0,IFERROR(VLOOKUP(Tabla3[[#This Row],[Cliente factura]],Tabla4[[NIT]:[TOTAL CREDITO]],3,FALSE),0))</f>
        <v>45693960</v>
      </c>
      <c r="R518" s="9">
        <f>+IFERROR(VLOOKUP(Tabla3[[#This Row],[Cliente factura]],Tabla4[[NIT]:[TOTAL CREDITO]],6,FALSE),0)</f>
        <v>0</v>
      </c>
      <c r="S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8" s="10" t="str">
        <f>VLOOKUP(Tabla3[[#This Row],[Razón social cliente factura]]&amp;Tabla3[[#This Row],[Desc. ciudad]],'Estandar de Rutas'!$C$1:$E$553,2,FALSE)</f>
        <v>5.2.B</v>
      </c>
      <c r="U518" s="130">
        <f>IFERROR(VLOOKUP(Tabla3[[#This Row],[Referencia]]&amp;Tabla3[[#This Row],[Desc detalle ext 1]],Tabla1[[Referencia-Color]:[Disponibilidad]],3,FALSE),0)</f>
        <v>21</v>
      </c>
      <c r="V518" s="13"/>
      <c r="W518" s="17">
        <f>+Tabla3[[#This Row],[Cant. Programada]]*Tabla3[[#This Row],[Precio unit]]</f>
        <v>0</v>
      </c>
      <c r="X518" s="129"/>
      <c r="Y518" s="129"/>
      <c r="Z518" s="8" t="str">
        <f>+Tabla3[[#This Row],[Referencia]]&amp;Tabla3[[#This Row],[Desc detalle ext 1]]</f>
        <v xml:space="preserve">CB 110 DLX                                        AZUL     </v>
      </c>
      <c r="AA518" s="128" t="e">
        <f>+VLOOKUP(Tabla3[[#This Row],[CODIGO2]],ESTANDAR!$B$3:$C$9,2,FALSE)</f>
        <v>#N/A</v>
      </c>
      <c r="AB518" s="128" t="str">
        <f>+MID(Tabla3[[#This Row],['# Viaje]],10,1)</f>
        <v/>
      </c>
    </row>
    <row r="519" spans="1:28" ht="15" hidden="1" customHeight="1">
      <c r="A519" s="173" t="s">
        <v>1542</v>
      </c>
      <c r="B519" s="174">
        <v>42948</v>
      </c>
      <c r="C519" s="173" t="s">
        <v>1231</v>
      </c>
      <c r="D519" s="173" t="s">
        <v>1237</v>
      </c>
      <c r="E519" s="173" t="s">
        <v>1479</v>
      </c>
      <c r="F519" s="173">
        <v>20</v>
      </c>
      <c r="G519" s="173" t="s">
        <v>401</v>
      </c>
      <c r="H519" s="173">
        <v>20</v>
      </c>
      <c r="I519" s="173" t="s">
        <v>1543</v>
      </c>
      <c r="J519" s="173" t="s">
        <v>1451</v>
      </c>
      <c r="K519" s="173" t="s">
        <v>16</v>
      </c>
      <c r="L519" s="173"/>
      <c r="M519" s="173" t="s">
        <v>213</v>
      </c>
      <c r="N519" s="173">
        <v>17668211</v>
      </c>
      <c r="O519" s="175">
        <v>3696639</v>
      </c>
      <c r="P519" s="7"/>
      <c r="Q519" s="16">
        <f>+IF(IFERROR(VLOOKUP(Tabla3[[#This Row],[Cliente factura]],Tabla4[[NIT]:[TOTAL CREDITO]],3,FALSE),0)="",0,IFERROR(VLOOKUP(Tabla3[[#This Row],[Cliente factura]],Tabla4[[NIT]:[TOTAL CREDITO]],3,FALSE),0))</f>
        <v>45693960</v>
      </c>
      <c r="R519" s="9">
        <f>+IFERROR(VLOOKUP(Tabla3[[#This Row],[Cliente factura]],Tabla4[[NIT]:[TOTAL CREDITO]],6,FALSE),0)</f>
        <v>0</v>
      </c>
      <c r="S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9" s="10" t="str">
        <f>VLOOKUP(Tabla3[[#This Row],[Razón social cliente factura]]&amp;Tabla3[[#This Row],[Desc. ciudad]],'Estandar de Rutas'!$C$1:$E$553,2,FALSE)</f>
        <v>5.2.B</v>
      </c>
      <c r="U519" s="130">
        <f>IFERROR(VLOOKUP(Tabla3[[#This Row],[Referencia]]&amp;Tabla3[[#This Row],[Desc detalle ext 1]],Tabla1[[Referencia-Color]:[Disponibilidad]],3,FALSE),0)</f>
        <v>3</v>
      </c>
      <c r="V519" s="13"/>
      <c r="W519" s="17">
        <f>+Tabla3[[#This Row],[Cant. Programada]]*Tabla3[[#This Row],[Precio unit]]</f>
        <v>0</v>
      </c>
      <c r="X519" s="129"/>
      <c r="Y519" s="129"/>
      <c r="Z519" s="8" t="str">
        <f>+Tabla3[[#This Row],[Referencia]]&amp;Tabla3[[#This Row],[Desc detalle ext 1]]</f>
        <v xml:space="preserve">CB 110 DLX                                        NEGRO    </v>
      </c>
      <c r="AA519" s="128" t="e">
        <f>+VLOOKUP(Tabla3[[#This Row],[CODIGO2]],ESTANDAR!$B$3:$C$9,2,FALSE)</f>
        <v>#N/A</v>
      </c>
      <c r="AB519" s="128" t="str">
        <f>+MID(Tabla3[[#This Row],['# Viaje]],10,1)</f>
        <v/>
      </c>
    </row>
    <row r="520" spans="1:28" ht="15" hidden="1" customHeight="1">
      <c r="A520" s="173" t="s">
        <v>1544</v>
      </c>
      <c r="B520" s="174">
        <v>42948</v>
      </c>
      <c r="C520" s="173" t="s">
        <v>1477</v>
      </c>
      <c r="D520" s="173" t="s">
        <v>1478</v>
      </c>
      <c r="E520" s="173" t="s">
        <v>1479</v>
      </c>
      <c r="F520" s="173">
        <v>3</v>
      </c>
      <c r="G520" s="173" t="s">
        <v>266</v>
      </c>
      <c r="H520" s="173">
        <v>3</v>
      </c>
      <c r="I520" s="173" t="s">
        <v>1545</v>
      </c>
      <c r="J520" s="173" t="s">
        <v>14</v>
      </c>
      <c r="K520" s="173" t="s">
        <v>16</v>
      </c>
      <c r="L520" s="173"/>
      <c r="M520" s="173" t="s">
        <v>333</v>
      </c>
      <c r="N520" s="173">
        <v>900439362</v>
      </c>
      <c r="O520" s="175">
        <v>3360504</v>
      </c>
      <c r="P520" s="7"/>
      <c r="Q520" s="16">
        <f>+IF(IFERROR(VLOOKUP(Tabla3[[#This Row],[Cliente factura]],Tabla4[[NIT]:[TOTAL CREDITO]],3,FALSE),0)="",0,IFERROR(VLOOKUP(Tabla3[[#This Row],[Cliente factura]],Tabla4[[NIT]:[TOTAL CREDITO]],3,FALSE),0))</f>
        <v>28640233</v>
      </c>
      <c r="R520" s="9">
        <f>+IFERROR(VLOOKUP(Tabla3[[#This Row],[Cliente factura]],Tabla4[[NIT]:[TOTAL CREDITO]],6,FALSE),0)</f>
        <v>0</v>
      </c>
      <c r="S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0" s="10" t="str">
        <f>VLOOKUP(Tabla3[[#This Row],[Razón social cliente factura]]&amp;Tabla3[[#This Row],[Desc. ciudad]],'Estandar de Rutas'!$C$1:$E$553,2,FALSE)</f>
        <v>1.2.A</v>
      </c>
      <c r="U520" s="130">
        <f>IFERROR(VLOOKUP(Tabla3[[#This Row],[Referencia]]&amp;Tabla3[[#This Row],[Desc detalle ext 1]],Tabla1[[Referencia-Color]:[Disponibilidad]],3,FALSE),0)</f>
        <v>83</v>
      </c>
      <c r="V520" s="13"/>
      <c r="W520" s="17">
        <f>+Tabla3[[#This Row],[Cant. Programada]]*Tabla3[[#This Row],[Precio unit]]</f>
        <v>0</v>
      </c>
      <c r="X520" s="8"/>
      <c r="Y520" s="8"/>
      <c r="Z520" s="8" t="str">
        <f>+Tabla3[[#This Row],[Referencia]]&amp;Tabla3[[#This Row],[Desc detalle ext 1]]</f>
        <v xml:space="preserve">*CB-110                                           NEGRO    </v>
      </c>
      <c r="AA520" s="128" t="e">
        <f>+VLOOKUP(Tabla3[[#This Row],[CODIGO2]],ESTANDAR!$B$3:$C$9,2,FALSE)</f>
        <v>#N/A</v>
      </c>
      <c r="AB520" s="128" t="str">
        <f>+MID(Tabla3[[#This Row],['# Viaje]],10,1)</f>
        <v/>
      </c>
    </row>
    <row r="521" spans="1:28" ht="15" hidden="1" customHeight="1">
      <c r="A521" s="173" t="s">
        <v>1544</v>
      </c>
      <c r="B521" s="174">
        <v>42948</v>
      </c>
      <c r="C521" s="173" t="s">
        <v>1477</v>
      </c>
      <c r="D521" s="173" t="s">
        <v>1478</v>
      </c>
      <c r="E521" s="173" t="s">
        <v>1479</v>
      </c>
      <c r="F521" s="173">
        <v>1</v>
      </c>
      <c r="G521" s="173" t="s">
        <v>266</v>
      </c>
      <c r="H521" s="173">
        <v>1</v>
      </c>
      <c r="I521" s="173" t="s">
        <v>1545</v>
      </c>
      <c r="J521" s="173" t="s">
        <v>18</v>
      </c>
      <c r="K521" s="173" t="s">
        <v>1419</v>
      </c>
      <c r="L521" s="173"/>
      <c r="M521" s="173" t="s">
        <v>333</v>
      </c>
      <c r="N521" s="173">
        <v>900439362</v>
      </c>
      <c r="O521" s="175">
        <v>5168067</v>
      </c>
      <c r="P521" s="7"/>
      <c r="Q521" s="16">
        <f>+IF(IFERROR(VLOOKUP(Tabla3[[#This Row],[Cliente factura]],Tabla4[[NIT]:[TOTAL CREDITO]],3,FALSE),0)="",0,IFERROR(VLOOKUP(Tabla3[[#This Row],[Cliente factura]],Tabla4[[NIT]:[TOTAL CREDITO]],3,FALSE),0))</f>
        <v>28640233</v>
      </c>
      <c r="R521" s="9">
        <f>+IFERROR(VLOOKUP(Tabla3[[#This Row],[Cliente factura]],Tabla4[[NIT]:[TOTAL CREDITO]],6,FALSE),0)</f>
        <v>0</v>
      </c>
      <c r="S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1" s="10" t="str">
        <f>VLOOKUP(Tabla3[[#This Row],[Razón social cliente factura]]&amp;Tabla3[[#This Row],[Desc. ciudad]],'Estandar de Rutas'!$C$1:$E$553,2,FALSE)</f>
        <v>1.2.A</v>
      </c>
      <c r="U521" s="130">
        <f>IFERROR(VLOOKUP(Tabla3[[#This Row],[Referencia]]&amp;Tabla3[[#This Row],[Desc detalle ext 1]],Tabla1[[Referencia-Color]:[Disponibilidad]],3,FALSE),0)</f>
        <v>18</v>
      </c>
      <c r="V521" s="13"/>
      <c r="W521" s="17">
        <f>+Tabla3[[#This Row],[Cant. Programada]]*Tabla3[[#This Row],[Precio unit]]</f>
        <v>0</v>
      </c>
      <c r="X521" s="129"/>
      <c r="Y521" s="8"/>
      <c r="Z521" s="8" t="str">
        <f>+Tabla3[[#This Row],[Referencia]]&amp;Tabla3[[#This Row],[Desc detalle ext 1]]</f>
        <v>*INVICTA                                          AZUL NEON</v>
      </c>
      <c r="AA521" s="128" t="e">
        <f>+VLOOKUP(Tabla3[[#This Row],[CODIGO2]],ESTANDAR!$B$3:$C$9,2,FALSE)</f>
        <v>#N/A</v>
      </c>
      <c r="AB521" s="128" t="str">
        <f>+MID(Tabla3[[#This Row],['# Viaje]],10,1)</f>
        <v/>
      </c>
    </row>
    <row r="522" spans="1:28" ht="15" hidden="1" customHeight="1">
      <c r="A522" s="173" t="s">
        <v>1544</v>
      </c>
      <c r="B522" s="174">
        <v>42948</v>
      </c>
      <c r="C522" s="173" t="s">
        <v>1477</v>
      </c>
      <c r="D522" s="173" t="s">
        <v>1478</v>
      </c>
      <c r="E522" s="173" t="s">
        <v>1479</v>
      </c>
      <c r="F522" s="173">
        <v>1</v>
      </c>
      <c r="G522" s="173" t="s">
        <v>266</v>
      </c>
      <c r="H522" s="173">
        <v>1</v>
      </c>
      <c r="I522" s="173" t="s">
        <v>1545</v>
      </c>
      <c r="J522" s="173" t="s">
        <v>27</v>
      </c>
      <c r="K522" s="173" t="s">
        <v>16</v>
      </c>
      <c r="L522" s="173"/>
      <c r="M522" s="173" t="s">
        <v>333</v>
      </c>
      <c r="N522" s="173">
        <v>900439362</v>
      </c>
      <c r="O522" s="175">
        <v>5789916</v>
      </c>
      <c r="P522" s="7"/>
      <c r="Q522" s="16">
        <f>+IF(IFERROR(VLOOKUP(Tabla3[[#This Row],[Cliente factura]],Tabla4[[NIT]:[TOTAL CREDITO]],3,FALSE),0)="",0,IFERROR(VLOOKUP(Tabla3[[#This Row],[Cliente factura]],Tabla4[[NIT]:[TOTAL CREDITO]],3,FALSE),0))</f>
        <v>28640233</v>
      </c>
      <c r="R522" s="9">
        <f>+IFERROR(VLOOKUP(Tabla3[[#This Row],[Cliente factura]],Tabla4[[NIT]:[TOTAL CREDITO]],6,FALSE),0)</f>
        <v>0</v>
      </c>
      <c r="S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2" s="10" t="str">
        <f>VLOOKUP(Tabla3[[#This Row],[Razón social cliente factura]]&amp;Tabla3[[#This Row],[Desc. ciudad]],'Estandar de Rutas'!$C$1:$E$553,2,FALSE)</f>
        <v>1.2.A</v>
      </c>
      <c r="U522" s="130">
        <f>IFERROR(VLOOKUP(Tabla3[[#This Row],[Referencia]]&amp;Tabla3[[#This Row],[Desc detalle ext 1]],Tabla1[[Referencia-Color]:[Disponibilidad]],3,FALSE),0)</f>
        <v>3</v>
      </c>
      <c r="V522" s="13"/>
      <c r="W522" s="17">
        <f>+Tabla3[[#This Row],[Cant. Programada]]*Tabla3[[#This Row],[Precio unit]]</f>
        <v>0</v>
      </c>
      <c r="X522" s="129"/>
      <c r="Y522" s="129"/>
      <c r="Z522" s="8" t="str">
        <f>+Tabla3[[#This Row],[Referencia]]&amp;Tabla3[[#This Row],[Desc detalle ext 1]]</f>
        <v xml:space="preserve">*XR 150L                                          NEGRO    </v>
      </c>
      <c r="AA522" s="128" t="e">
        <f>+VLOOKUP(Tabla3[[#This Row],[CODIGO2]],ESTANDAR!$B$3:$C$9,2,FALSE)</f>
        <v>#N/A</v>
      </c>
      <c r="AB522" s="128" t="str">
        <f>+MID(Tabla3[[#This Row],['# Viaje]],10,1)</f>
        <v/>
      </c>
    </row>
    <row r="523" spans="1:28" ht="15" hidden="1" customHeight="1">
      <c r="A523" s="173" t="s">
        <v>1544</v>
      </c>
      <c r="B523" s="174">
        <v>42948</v>
      </c>
      <c r="C523" s="173" t="s">
        <v>1477</v>
      </c>
      <c r="D523" s="173" t="s">
        <v>1478</v>
      </c>
      <c r="E523" s="173" t="s">
        <v>1479</v>
      </c>
      <c r="F523" s="173">
        <v>1</v>
      </c>
      <c r="G523" s="173" t="s">
        <v>266</v>
      </c>
      <c r="H523" s="173">
        <v>1</v>
      </c>
      <c r="I523" s="173" t="s">
        <v>1545</v>
      </c>
      <c r="J523" s="173" t="s">
        <v>354</v>
      </c>
      <c r="K523" s="173" t="s">
        <v>44</v>
      </c>
      <c r="L523" s="173"/>
      <c r="M523" s="173" t="s">
        <v>333</v>
      </c>
      <c r="N523" s="173">
        <v>900439362</v>
      </c>
      <c r="O523" s="175">
        <v>6133613</v>
      </c>
      <c r="P523" s="7"/>
      <c r="Q523" s="16">
        <f>+IF(IFERROR(VLOOKUP(Tabla3[[#This Row],[Cliente factura]],Tabla4[[NIT]:[TOTAL CREDITO]],3,FALSE),0)="",0,IFERROR(VLOOKUP(Tabla3[[#This Row],[Cliente factura]],Tabla4[[NIT]:[TOTAL CREDITO]],3,FALSE),0))</f>
        <v>28640233</v>
      </c>
      <c r="R523" s="9">
        <f>+IFERROR(VLOOKUP(Tabla3[[#This Row],[Cliente factura]],Tabla4[[NIT]:[TOTAL CREDITO]],6,FALSE),0)</f>
        <v>0</v>
      </c>
      <c r="S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3" s="10" t="str">
        <f>VLOOKUP(Tabla3[[#This Row],[Razón social cliente factura]]&amp;Tabla3[[#This Row],[Desc. ciudad]],'Estandar de Rutas'!$C$1:$E$553,2,FALSE)</f>
        <v>1.2.A</v>
      </c>
      <c r="U523" s="130">
        <f>IFERROR(VLOOKUP(Tabla3[[#This Row],[Referencia]]&amp;Tabla3[[#This Row],[Desc detalle ext 1]],Tabla1[[Referencia-Color]:[Disponibilidad]],3,FALSE),0)</f>
        <v>6</v>
      </c>
      <c r="V523" s="13"/>
      <c r="W523" s="17">
        <f>+Tabla3[[#This Row],[Cant. Programada]]*Tabla3[[#This Row],[Precio unit]]</f>
        <v>0</v>
      </c>
      <c r="X523" s="129"/>
      <c r="Y523" s="129"/>
      <c r="Z523" s="8" t="str">
        <f>+Tabla3[[#This Row],[Referencia]]&amp;Tabla3[[#This Row],[Desc detalle ext 1]]</f>
        <v>CB 160F DLX                                       BLANCO PE</v>
      </c>
      <c r="AA523" s="128" t="e">
        <f>+VLOOKUP(Tabla3[[#This Row],[CODIGO2]],ESTANDAR!$B$3:$C$9,2,FALSE)</f>
        <v>#N/A</v>
      </c>
      <c r="AB523" s="128" t="str">
        <f>+MID(Tabla3[[#This Row],['# Viaje]],10,1)</f>
        <v/>
      </c>
    </row>
    <row r="524" spans="1:28" ht="15" hidden="1" customHeight="1">
      <c r="A524" s="173" t="s">
        <v>1544</v>
      </c>
      <c r="B524" s="174">
        <v>42948</v>
      </c>
      <c r="C524" s="173" t="s">
        <v>1477</v>
      </c>
      <c r="D524" s="173" t="s">
        <v>1478</v>
      </c>
      <c r="E524" s="173" t="s">
        <v>1479</v>
      </c>
      <c r="F524" s="173">
        <v>3</v>
      </c>
      <c r="G524" s="173" t="s">
        <v>266</v>
      </c>
      <c r="H524" s="173">
        <v>3</v>
      </c>
      <c r="I524" s="173" t="s">
        <v>1545</v>
      </c>
      <c r="J524" s="173" t="s">
        <v>1428</v>
      </c>
      <c r="K524" s="173" t="s">
        <v>1429</v>
      </c>
      <c r="L524" s="173"/>
      <c r="M524" s="173" t="s">
        <v>333</v>
      </c>
      <c r="N524" s="173">
        <v>900439362</v>
      </c>
      <c r="O524" s="175">
        <v>3067227</v>
      </c>
      <c r="P524" s="7"/>
      <c r="Q524" s="16">
        <f>+IF(IFERROR(VLOOKUP(Tabla3[[#This Row],[Cliente factura]],Tabla4[[NIT]:[TOTAL CREDITO]],3,FALSE),0)="",0,IFERROR(VLOOKUP(Tabla3[[#This Row],[Cliente factura]],Tabla4[[NIT]:[TOTAL CREDITO]],3,FALSE),0))</f>
        <v>28640233</v>
      </c>
      <c r="R524" s="9">
        <f>+IFERROR(VLOOKUP(Tabla3[[#This Row],[Cliente factura]],Tabla4[[NIT]:[TOTAL CREDITO]],6,FALSE),0)</f>
        <v>0</v>
      </c>
      <c r="S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4" s="10" t="str">
        <f>VLOOKUP(Tabla3[[#This Row],[Razón social cliente factura]]&amp;Tabla3[[#This Row],[Desc. ciudad]],'Estandar de Rutas'!$C$1:$E$553,2,FALSE)</f>
        <v>1.2.A</v>
      </c>
      <c r="U524" s="130">
        <f>IFERROR(VLOOKUP(Tabla3[[#This Row],[Referencia]]&amp;Tabla3[[#This Row],[Desc detalle ext 1]],Tabla1[[Referencia-Color]:[Disponibilidad]],3,FALSE),0)</f>
        <v>0</v>
      </c>
      <c r="V524" s="13"/>
      <c r="W524" s="17">
        <f>+Tabla3[[#This Row],[Cant. Programada]]*Tabla3[[#This Row],[Precio unit]]</f>
        <v>0</v>
      </c>
      <c r="X524" s="8"/>
      <c r="Y524" s="8"/>
      <c r="Z524" s="8" t="str">
        <f>+Tabla3[[#This Row],[Referencia]]&amp;Tabla3[[#This Row],[Desc detalle ext 1]]</f>
        <v>DREAM  NEO                                        NEGRO AZU</v>
      </c>
      <c r="AA524" s="128" t="e">
        <f>+VLOOKUP(Tabla3[[#This Row],[CODIGO2]],ESTANDAR!$B$3:$C$9,2,FALSE)</f>
        <v>#N/A</v>
      </c>
      <c r="AB524" s="128" t="str">
        <f>+MID(Tabla3[[#This Row],['# Viaje]],10,1)</f>
        <v/>
      </c>
    </row>
    <row r="525" spans="1:28" ht="15" hidden="1" customHeight="1">
      <c r="A525" s="173" t="s">
        <v>1544</v>
      </c>
      <c r="B525" s="174">
        <v>42948</v>
      </c>
      <c r="C525" s="173" t="s">
        <v>1477</v>
      </c>
      <c r="D525" s="173" t="s">
        <v>1478</v>
      </c>
      <c r="E525" s="173" t="s">
        <v>1479</v>
      </c>
      <c r="F525" s="173">
        <v>1</v>
      </c>
      <c r="G525" s="173" t="s">
        <v>266</v>
      </c>
      <c r="H525" s="173">
        <v>1</v>
      </c>
      <c r="I525" s="173" t="s">
        <v>1545</v>
      </c>
      <c r="J525" s="173" t="s">
        <v>1428</v>
      </c>
      <c r="K525" s="173" t="s">
        <v>1461</v>
      </c>
      <c r="L525" s="173"/>
      <c r="M525" s="173" t="s">
        <v>333</v>
      </c>
      <c r="N525" s="173">
        <v>900439362</v>
      </c>
      <c r="O525" s="175">
        <v>3067227</v>
      </c>
      <c r="P525" s="7"/>
      <c r="Q525" s="16">
        <f>+IF(IFERROR(VLOOKUP(Tabla3[[#This Row],[Cliente factura]],Tabla4[[NIT]:[TOTAL CREDITO]],3,FALSE),0)="",0,IFERROR(VLOOKUP(Tabla3[[#This Row],[Cliente factura]],Tabla4[[NIT]:[TOTAL CREDITO]],3,FALSE),0))</f>
        <v>28640233</v>
      </c>
      <c r="R525" s="9">
        <f>+IFERROR(VLOOKUP(Tabla3[[#This Row],[Cliente factura]],Tabla4[[NIT]:[TOTAL CREDITO]],6,FALSE),0)</f>
        <v>0</v>
      </c>
      <c r="S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5" s="10" t="str">
        <f>VLOOKUP(Tabla3[[#This Row],[Razón social cliente factura]]&amp;Tabla3[[#This Row],[Desc. ciudad]],'Estandar de Rutas'!$C$1:$E$553,2,FALSE)</f>
        <v>1.2.A</v>
      </c>
      <c r="U525" s="130">
        <f>IFERROR(VLOOKUP(Tabla3[[#This Row],[Referencia]]&amp;Tabla3[[#This Row],[Desc detalle ext 1]],Tabla1[[Referencia-Color]:[Disponibilidad]],3,FALSE),0)</f>
        <v>0</v>
      </c>
      <c r="V525" s="13"/>
      <c r="W525" s="17">
        <f>+Tabla3[[#This Row],[Cant. Programada]]*Tabla3[[#This Row],[Precio unit]]</f>
        <v>0</v>
      </c>
      <c r="X525" s="8"/>
      <c r="Y525" s="8"/>
      <c r="Z525" s="8" t="str">
        <f>+Tabla3[[#This Row],[Referencia]]&amp;Tabla3[[#This Row],[Desc detalle ext 1]]</f>
        <v>DREAM  NEO                                        ROJO ALFA</v>
      </c>
      <c r="AA525" s="128" t="e">
        <f>+VLOOKUP(Tabla3[[#This Row],[CODIGO2]],ESTANDAR!$B$3:$C$9,2,FALSE)</f>
        <v>#N/A</v>
      </c>
      <c r="AB525" s="128" t="str">
        <f>+MID(Tabla3[[#This Row],['# Viaje]],10,1)</f>
        <v/>
      </c>
    </row>
    <row r="526" spans="1:28" ht="15" hidden="1" customHeight="1">
      <c r="A526" s="173" t="s">
        <v>1544</v>
      </c>
      <c r="B526" s="174">
        <v>42948</v>
      </c>
      <c r="C526" s="173" t="s">
        <v>1477</v>
      </c>
      <c r="D526" s="173" t="s">
        <v>1478</v>
      </c>
      <c r="E526" s="173" t="s">
        <v>1479</v>
      </c>
      <c r="F526" s="173">
        <v>1</v>
      </c>
      <c r="G526" s="173" t="s">
        <v>266</v>
      </c>
      <c r="H526" s="173">
        <v>1</v>
      </c>
      <c r="I526" s="173" t="s">
        <v>1545</v>
      </c>
      <c r="J526" s="173" t="s">
        <v>1430</v>
      </c>
      <c r="K526" s="173" t="s">
        <v>16</v>
      </c>
      <c r="L526" s="173"/>
      <c r="M526" s="173" t="s">
        <v>333</v>
      </c>
      <c r="N526" s="173">
        <v>900439362</v>
      </c>
      <c r="O526" s="175">
        <v>3941176</v>
      </c>
      <c r="P526" s="7"/>
      <c r="Q526" s="16">
        <f>+IF(IFERROR(VLOOKUP(Tabla3[[#This Row],[Cliente factura]],Tabla4[[NIT]:[TOTAL CREDITO]],3,FALSE),0)="",0,IFERROR(VLOOKUP(Tabla3[[#This Row],[Cliente factura]],Tabla4[[NIT]:[TOTAL CREDITO]],3,FALSE),0))</f>
        <v>28640233</v>
      </c>
      <c r="R526" s="9">
        <f>+IFERROR(VLOOKUP(Tabla3[[#This Row],[Cliente factura]],Tabla4[[NIT]:[TOTAL CREDITO]],6,FALSE),0)</f>
        <v>0</v>
      </c>
      <c r="S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6" s="10" t="str">
        <f>VLOOKUP(Tabla3[[#This Row],[Razón social cliente factura]]&amp;Tabla3[[#This Row],[Desc. ciudad]],'Estandar de Rutas'!$C$1:$E$553,2,FALSE)</f>
        <v>1.2.A</v>
      </c>
      <c r="U526" s="130">
        <f>IFERROR(VLOOKUP(Tabla3[[#This Row],[Referencia]]&amp;Tabla3[[#This Row],[Desc detalle ext 1]],Tabla1[[Referencia-Color]:[Disponibilidad]],3,FALSE),0)</f>
        <v>0</v>
      </c>
      <c r="V526" s="13"/>
      <c r="W526" s="17">
        <f>+Tabla3[[#This Row],[Cant. Programada]]*Tabla3[[#This Row],[Precio unit]]</f>
        <v>0</v>
      </c>
      <c r="X526" s="8"/>
      <c r="Y526" s="8"/>
      <c r="Z526" s="8" t="str">
        <f>+Tabla3[[#This Row],[Referencia]]&amp;Tabla3[[#This Row],[Desc detalle ext 1]]</f>
        <v xml:space="preserve">WAVE 110S                                         NEGRO    </v>
      </c>
      <c r="AA526" s="128" t="e">
        <f>+VLOOKUP(Tabla3[[#This Row],[CODIGO2]],ESTANDAR!$B$3:$C$9,2,FALSE)</f>
        <v>#N/A</v>
      </c>
      <c r="AB526" s="128" t="str">
        <f>+MID(Tabla3[[#This Row],['# Viaje]],10,1)</f>
        <v/>
      </c>
    </row>
    <row r="527" spans="1:28" ht="15" hidden="1" customHeight="1">
      <c r="A527" s="173" t="s">
        <v>1544</v>
      </c>
      <c r="B527" s="174">
        <v>42948</v>
      </c>
      <c r="C527" s="173" t="s">
        <v>1477</v>
      </c>
      <c r="D527" s="173" t="s">
        <v>1478</v>
      </c>
      <c r="E527" s="173" t="s">
        <v>1479</v>
      </c>
      <c r="F527" s="173">
        <v>1</v>
      </c>
      <c r="G527" s="173" t="s">
        <v>266</v>
      </c>
      <c r="H527" s="173">
        <v>1</v>
      </c>
      <c r="I527" s="173" t="s">
        <v>1545</v>
      </c>
      <c r="J527" s="173" t="s">
        <v>1451</v>
      </c>
      <c r="K527" s="173" t="s">
        <v>16</v>
      </c>
      <c r="L527" s="173"/>
      <c r="M527" s="173" t="s">
        <v>333</v>
      </c>
      <c r="N527" s="173">
        <v>900439362</v>
      </c>
      <c r="O527" s="175">
        <v>3696639</v>
      </c>
      <c r="P527" s="7"/>
      <c r="Q527" s="16">
        <f>+IF(IFERROR(VLOOKUP(Tabla3[[#This Row],[Cliente factura]],Tabla4[[NIT]:[TOTAL CREDITO]],3,FALSE),0)="",0,IFERROR(VLOOKUP(Tabla3[[#This Row],[Cliente factura]],Tabla4[[NIT]:[TOTAL CREDITO]],3,FALSE),0))</f>
        <v>28640233</v>
      </c>
      <c r="R527" s="9">
        <f>+IFERROR(VLOOKUP(Tabla3[[#This Row],[Cliente factura]],Tabla4[[NIT]:[TOTAL CREDITO]],6,FALSE),0)</f>
        <v>0</v>
      </c>
      <c r="S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7" s="10" t="str">
        <f>VLOOKUP(Tabla3[[#This Row],[Razón social cliente factura]]&amp;Tabla3[[#This Row],[Desc. ciudad]],'Estandar de Rutas'!$C$1:$E$553,2,FALSE)</f>
        <v>1.2.A</v>
      </c>
      <c r="U527" s="130">
        <f>IFERROR(VLOOKUP(Tabla3[[#This Row],[Referencia]]&amp;Tabla3[[#This Row],[Desc detalle ext 1]],Tabla1[[Referencia-Color]:[Disponibilidad]],3,FALSE),0)</f>
        <v>3</v>
      </c>
      <c r="V527" s="13"/>
      <c r="W527" s="17">
        <f>+Tabla3[[#This Row],[Cant. Programada]]*Tabla3[[#This Row],[Precio unit]]</f>
        <v>0</v>
      </c>
      <c r="X527" s="8"/>
      <c r="Y527" s="8"/>
      <c r="Z527" s="8" t="str">
        <f>+Tabla3[[#This Row],[Referencia]]&amp;Tabla3[[#This Row],[Desc detalle ext 1]]</f>
        <v xml:space="preserve">CB 110 DLX                                        NEGRO    </v>
      </c>
      <c r="AA527" s="128" t="e">
        <f>+VLOOKUP(Tabla3[[#This Row],[CODIGO2]],ESTANDAR!$B$3:$C$9,2,FALSE)</f>
        <v>#N/A</v>
      </c>
      <c r="AB527" s="128" t="str">
        <f>+MID(Tabla3[[#This Row],['# Viaje]],10,1)</f>
        <v/>
      </c>
    </row>
    <row r="528" spans="1:28" ht="15" hidden="1" customHeight="1">
      <c r="A528" s="173" t="s">
        <v>1546</v>
      </c>
      <c r="B528" s="174">
        <v>42948</v>
      </c>
      <c r="C528" s="173" t="s">
        <v>1231</v>
      </c>
      <c r="D528" s="173" t="s">
        <v>1478</v>
      </c>
      <c r="E528" s="173" t="s">
        <v>1479</v>
      </c>
      <c r="F528" s="173">
        <v>1</v>
      </c>
      <c r="G528" s="173" t="s">
        <v>50</v>
      </c>
      <c r="H528" s="173">
        <v>1</v>
      </c>
      <c r="I528" s="173" t="s">
        <v>1547</v>
      </c>
      <c r="J528" s="173" t="s">
        <v>14</v>
      </c>
      <c r="K528" s="173" t="s">
        <v>15</v>
      </c>
      <c r="L528" s="173"/>
      <c r="M528" s="173" t="s">
        <v>54</v>
      </c>
      <c r="N528" s="173">
        <v>16891092</v>
      </c>
      <c r="O528" s="175">
        <v>3360504</v>
      </c>
      <c r="P528" s="7"/>
      <c r="Q528" s="16">
        <f>+IF(IFERROR(VLOOKUP(Tabla3[[#This Row],[Cliente factura]],Tabla4[[NIT]:[TOTAL CREDITO]],3,FALSE),0)="",0,IFERROR(VLOOKUP(Tabla3[[#This Row],[Cliente factura]],Tabla4[[NIT]:[TOTAL CREDITO]],3,FALSE),0))</f>
        <v>0</v>
      </c>
      <c r="R528" s="9">
        <f>+IFERROR(VLOOKUP(Tabla3[[#This Row],[Cliente factura]],Tabla4[[NIT]:[TOTAL CREDITO]],6,FALSE),0)</f>
        <v>0</v>
      </c>
      <c r="S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8" s="10" t="str">
        <f>VLOOKUP(Tabla3[[#This Row],[Razón social cliente factura]]&amp;Tabla3[[#This Row],[Desc. ciudad]],'Estandar de Rutas'!$C$1:$E$553,2,FALSE)</f>
        <v>1.2.A</v>
      </c>
      <c r="U528" s="130">
        <f>IFERROR(VLOOKUP(Tabla3[[#This Row],[Referencia]]&amp;Tabla3[[#This Row],[Desc detalle ext 1]],Tabla1[[Referencia-Color]:[Disponibilidad]],3,FALSE),0)</f>
        <v>99</v>
      </c>
      <c r="V528" s="13"/>
      <c r="W528" s="17">
        <f>+Tabla3[[#This Row],[Cant. Programada]]*Tabla3[[#This Row],[Precio unit]]</f>
        <v>0</v>
      </c>
      <c r="X528" s="8"/>
      <c r="Y528" s="8"/>
      <c r="Z528" s="8" t="str">
        <f>+Tabla3[[#This Row],[Referencia]]&amp;Tabla3[[#This Row],[Desc detalle ext 1]]</f>
        <v>*CB-110                                           AZUL FIJI</v>
      </c>
      <c r="AA528" s="128" t="e">
        <f>+VLOOKUP(Tabla3[[#This Row],[CODIGO2]],ESTANDAR!$B$3:$C$9,2,FALSE)</f>
        <v>#N/A</v>
      </c>
      <c r="AB528" s="128" t="str">
        <f>+MID(Tabla3[[#This Row],['# Viaje]],10,1)</f>
        <v/>
      </c>
    </row>
    <row r="529" spans="1:28" ht="15" hidden="1" customHeight="1">
      <c r="A529" s="173" t="s">
        <v>1546</v>
      </c>
      <c r="B529" s="174">
        <v>42948</v>
      </c>
      <c r="C529" s="173" t="s">
        <v>1231</v>
      </c>
      <c r="D529" s="173" t="s">
        <v>1478</v>
      </c>
      <c r="E529" s="173" t="s">
        <v>1479</v>
      </c>
      <c r="F529" s="173">
        <v>1</v>
      </c>
      <c r="G529" s="173" t="s">
        <v>50</v>
      </c>
      <c r="H529" s="173">
        <v>1</v>
      </c>
      <c r="I529" s="173" t="s">
        <v>1547</v>
      </c>
      <c r="J529" s="173" t="s">
        <v>27</v>
      </c>
      <c r="K529" s="173" t="s">
        <v>32</v>
      </c>
      <c r="L529" s="173"/>
      <c r="M529" s="173" t="s">
        <v>54</v>
      </c>
      <c r="N529" s="173">
        <v>16891092</v>
      </c>
      <c r="O529" s="175">
        <v>5789916</v>
      </c>
      <c r="P529" s="7"/>
      <c r="Q529" s="16">
        <f>+IF(IFERROR(VLOOKUP(Tabla3[[#This Row],[Cliente factura]],Tabla4[[NIT]:[TOTAL CREDITO]],3,FALSE),0)="",0,IFERROR(VLOOKUP(Tabla3[[#This Row],[Cliente factura]],Tabla4[[NIT]:[TOTAL CREDITO]],3,FALSE),0))</f>
        <v>0</v>
      </c>
      <c r="R529" s="9">
        <f>+IFERROR(VLOOKUP(Tabla3[[#This Row],[Cliente factura]],Tabla4[[NIT]:[TOTAL CREDITO]],6,FALSE),0)</f>
        <v>0</v>
      </c>
      <c r="S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9" s="10" t="str">
        <f>VLOOKUP(Tabla3[[#This Row],[Razón social cliente factura]]&amp;Tabla3[[#This Row],[Desc. ciudad]],'Estandar de Rutas'!$C$1:$E$553,2,FALSE)</f>
        <v>1.2.A</v>
      </c>
      <c r="U529" s="130">
        <f>IFERROR(VLOOKUP(Tabla3[[#This Row],[Referencia]]&amp;Tabla3[[#This Row],[Desc detalle ext 1]],Tabla1[[Referencia-Color]:[Disponibilidad]],3,FALSE),0)</f>
        <v>7</v>
      </c>
      <c r="V529" s="13"/>
      <c r="W529" s="17">
        <f>+Tabla3[[#This Row],[Cant. Programada]]*Tabla3[[#This Row],[Precio unit]]</f>
        <v>0</v>
      </c>
      <c r="X529" s="8"/>
      <c r="Y529" s="8"/>
      <c r="Z529" s="8" t="str">
        <f>+Tabla3[[#This Row],[Referencia]]&amp;Tabla3[[#This Row],[Desc detalle ext 1]]</f>
        <v>*XR 150L                                          NEGRO ROJ</v>
      </c>
      <c r="AA529" s="128" t="e">
        <f>+VLOOKUP(Tabla3[[#This Row],[CODIGO2]],ESTANDAR!$B$3:$C$9,2,FALSE)</f>
        <v>#N/A</v>
      </c>
      <c r="AB529" s="128" t="str">
        <f>+MID(Tabla3[[#This Row],['# Viaje]],10,1)</f>
        <v/>
      </c>
    </row>
    <row r="530" spans="1:28" ht="15" hidden="1" customHeight="1">
      <c r="A530" s="173" t="s">
        <v>1546</v>
      </c>
      <c r="B530" s="174">
        <v>42948</v>
      </c>
      <c r="C530" s="173" t="s">
        <v>1231</v>
      </c>
      <c r="D530" s="173" t="s">
        <v>1478</v>
      </c>
      <c r="E530" s="173" t="s">
        <v>1479</v>
      </c>
      <c r="F530" s="173">
        <v>1</v>
      </c>
      <c r="G530" s="173" t="s">
        <v>50</v>
      </c>
      <c r="H530" s="173">
        <v>1</v>
      </c>
      <c r="I530" s="173" t="s">
        <v>1547</v>
      </c>
      <c r="J530" s="173" t="s">
        <v>27</v>
      </c>
      <c r="K530" s="173" t="s">
        <v>16</v>
      </c>
      <c r="L530" s="173"/>
      <c r="M530" s="173" t="s">
        <v>54</v>
      </c>
      <c r="N530" s="173">
        <v>16891092</v>
      </c>
      <c r="O530" s="175">
        <v>5789916</v>
      </c>
      <c r="P530" s="7"/>
      <c r="Q530" s="16">
        <f>+IF(IFERROR(VLOOKUP(Tabla3[[#This Row],[Cliente factura]],Tabla4[[NIT]:[TOTAL CREDITO]],3,FALSE),0)="",0,IFERROR(VLOOKUP(Tabla3[[#This Row],[Cliente factura]],Tabla4[[NIT]:[TOTAL CREDITO]],3,FALSE),0))</f>
        <v>0</v>
      </c>
      <c r="R530" s="9">
        <f>+IFERROR(VLOOKUP(Tabla3[[#This Row],[Cliente factura]],Tabla4[[NIT]:[TOTAL CREDITO]],6,FALSE),0)</f>
        <v>0</v>
      </c>
      <c r="S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0" s="10" t="str">
        <f>VLOOKUP(Tabla3[[#This Row],[Razón social cliente factura]]&amp;Tabla3[[#This Row],[Desc. ciudad]],'Estandar de Rutas'!$C$1:$E$553,2,FALSE)</f>
        <v>1.2.A</v>
      </c>
      <c r="U530" s="130">
        <f>IFERROR(VLOOKUP(Tabla3[[#This Row],[Referencia]]&amp;Tabla3[[#This Row],[Desc detalle ext 1]],Tabla1[[Referencia-Color]:[Disponibilidad]],3,FALSE),0)</f>
        <v>3</v>
      </c>
      <c r="V530" s="13"/>
      <c r="W530" s="17">
        <f>+Tabla3[[#This Row],[Cant. Programada]]*Tabla3[[#This Row],[Precio unit]]</f>
        <v>0</v>
      </c>
      <c r="X530" s="8"/>
      <c r="Y530" s="8"/>
      <c r="Z530" s="8" t="str">
        <f>+Tabla3[[#This Row],[Referencia]]&amp;Tabla3[[#This Row],[Desc detalle ext 1]]</f>
        <v xml:space="preserve">*XR 150L                                          NEGRO    </v>
      </c>
      <c r="AA530" s="128" t="e">
        <f>+VLOOKUP(Tabla3[[#This Row],[CODIGO2]],ESTANDAR!$B$3:$C$9,2,FALSE)</f>
        <v>#N/A</v>
      </c>
      <c r="AB530" s="128" t="str">
        <f>+MID(Tabla3[[#This Row],['# Viaje]],10,1)</f>
        <v/>
      </c>
    </row>
    <row r="531" spans="1:28" ht="15" hidden="1" customHeight="1">
      <c r="A531" s="173" t="s">
        <v>1546</v>
      </c>
      <c r="B531" s="174">
        <v>42948</v>
      </c>
      <c r="C531" s="173" t="s">
        <v>1231</v>
      </c>
      <c r="D531" s="173" t="s">
        <v>1478</v>
      </c>
      <c r="E531" s="173" t="s">
        <v>1479</v>
      </c>
      <c r="F531" s="173">
        <v>1</v>
      </c>
      <c r="G531" s="173" t="s">
        <v>50</v>
      </c>
      <c r="H531" s="173">
        <v>1</v>
      </c>
      <c r="I531" s="173" t="s">
        <v>1547</v>
      </c>
      <c r="J531" s="173" t="s">
        <v>1430</v>
      </c>
      <c r="K531" s="173" t="s">
        <v>1431</v>
      </c>
      <c r="L531" s="173"/>
      <c r="M531" s="173" t="s">
        <v>54</v>
      </c>
      <c r="N531" s="173">
        <v>16891092</v>
      </c>
      <c r="O531" s="175">
        <v>3941176</v>
      </c>
      <c r="P531" s="7"/>
      <c r="Q531" s="16">
        <f>+IF(IFERROR(VLOOKUP(Tabla3[[#This Row],[Cliente factura]],Tabla4[[NIT]:[TOTAL CREDITO]],3,FALSE),0)="",0,IFERROR(VLOOKUP(Tabla3[[#This Row],[Cliente factura]],Tabla4[[NIT]:[TOTAL CREDITO]],3,FALSE),0))</f>
        <v>0</v>
      </c>
      <c r="R531" s="9">
        <f>+IFERROR(VLOOKUP(Tabla3[[#This Row],[Cliente factura]],Tabla4[[NIT]:[TOTAL CREDITO]],6,FALSE),0)</f>
        <v>0</v>
      </c>
      <c r="S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1" s="10" t="str">
        <f>VLOOKUP(Tabla3[[#This Row],[Razón social cliente factura]]&amp;Tabla3[[#This Row],[Desc. ciudad]],'Estandar de Rutas'!$C$1:$E$553,2,FALSE)</f>
        <v>1.2.A</v>
      </c>
      <c r="U531" s="130">
        <f>IFERROR(VLOOKUP(Tabla3[[#This Row],[Referencia]]&amp;Tabla3[[#This Row],[Desc detalle ext 1]],Tabla1[[Referencia-Color]:[Disponibilidad]],3,FALSE),0)</f>
        <v>0</v>
      </c>
      <c r="V531" s="13"/>
      <c r="W531" s="17">
        <f>+Tabla3[[#This Row],[Cant. Programada]]*Tabla3[[#This Row],[Precio unit]]</f>
        <v>0</v>
      </c>
      <c r="X531" s="8"/>
      <c r="Y531" s="8"/>
      <c r="Z531" s="8" t="str">
        <f>+Tabla3[[#This Row],[Referencia]]&amp;Tabla3[[#This Row],[Desc detalle ext 1]]</f>
        <v xml:space="preserve">WAVE 110S                                         ROJO     </v>
      </c>
      <c r="AA531" s="128" t="e">
        <f>+VLOOKUP(Tabla3[[#This Row],[CODIGO2]],ESTANDAR!$B$3:$C$9,2,FALSE)</f>
        <v>#N/A</v>
      </c>
      <c r="AB531" s="128" t="str">
        <f>+MID(Tabla3[[#This Row],['# Viaje]],10,1)</f>
        <v/>
      </c>
    </row>
    <row r="532" spans="1:28" ht="15" hidden="1" customHeight="1">
      <c r="A532" s="173" t="s">
        <v>1548</v>
      </c>
      <c r="B532" s="174">
        <v>42948</v>
      </c>
      <c r="C532" s="173" t="s">
        <v>1477</v>
      </c>
      <c r="D532" s="173" t="s">
        <v>1478</v>
      </c>
      <c r="E532" s="173" t="s">
        <v>1479</v>
      </c>
      <c r="F532" s="173">
        <v>1</v>
      </c>
      <c r="G532" s="173" t="s">
        <v>50</v>
      </c>
      <c r="H532" s="173">
        <v>1</v>
      </c>
      <c r="I532" s="173" t="s">
        <v>1549</v>
      </c>
      <c r="J532" s="173" t="s">
        <v>14</v>
      </c>
      <c r="K532" s="173" t="s">
        <v>1417</v>
      </c>
      <c r="L532" s="173"/>
      <c r="M532" s="173" t="s">
        <v>51</v>
      </c>
      <c r="N532" s="173">
        <v>16891092</v>
      </c>
      <c r="O532" s="175">
        <v>3360504</v>
      </c>
      <c r="P532" s="7"/>
      <c r="Q532" s="16">
        <f>+IF(IFERROR(VLOOKUP(Tabla3[[#This Row],[Cliente factura]],Tabla4[[NIT]:[TOTAL CREDITO]],3,FALSE),0)="",0,IFERROR(VLOOKUP(Tabla3[[#This Row],[Cliente factura]],Tabla4[[NIT]:[TOTAL CREDITO]],3,FALSE),0))</f>
        <v>0</v>
      </c>
      <c r="R532" s="9">
        <f>+IFERROR(VLOOKUP(Tabla3[[#This Row],[Cliente factura]],Tabla4[[NIT]:[TOTAL CREDITO]],6,FALSE),0)</f>
        <v>0</v>
      </c>
      <c r="S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2" s="10" t="str">
        <f>VLOOKUP(Tabla3[[#This Row],[Razón social cliente factura]]&amp;Tabla3[[#This Row],[Desc. ciudad]],'Estandar de Rutas'!$C$1:$E$553,2,FALSE)</f>
        <v>1.2</v>
      </c>
      <c r="U532" s="130">
        <f>IFERROR(VLOOKUP(Tabla3[[#This Row],[Referencia]]&amp;Tabla3[[#This Row],[Desc detalle ext 1]],Tabla1[[Referencia-Color]:[Disponibilidad]],3,FALSE),0)</f>
        <v>24</v>
      </c>
      <c r="V532" s="13"/>
      <c r="W532" s="17">
        <f>+Tabla3[[#This Row],[Cant. Programada]]*Tabla3[[#This Row],[Precio unit]]</f>
        <v>0</v>
      </c>
      <c r="X532" s="8"/>
      <c r="Y532" s="8"/>
      <c r="Z532" s="8" t="str">
        <f>+Tabla3[[#This Row],[Referencia]]&amp;Tabla3[[#This Row],[Desc detalle ext 1]]</f>
        <v xml:space="preserve">*CB-110                                           GRIS MET </v>
      </c>
      <c r="AA532" s="128" t="e">
        <f>+VLOOKUP(Tabla3[[#This Row],[CODIGO2]],ESTANDAR!$B$3:$C$9,2,FALSE)</f>
        <v>#N/A</v>
      </c>
      <c r="AB532" s="128" t="str">
        <f>+MID(Tabla3[[#This Row],['# Viaje]],10,1)</f>
        <v/>
      </c>
    </row>
    <row r="533" spans="1:28" ht="15" hidden="1" customHeight="1">
      <c r="A533" s="173" t="s">
        <v>1548</v>
      </c>
      <c r="B533" s="174">
        <v>42948</v>
      </c>
      <c r="C533" s="173" t="s">
        <v>1477</v>
      </c>
      <c r="D533" s="173" t="s">
        <v>1478</v>
      </c>
      <c r="E533" s="173" t="s">
        <v>1479</v>
      </c>
      <c r="F533" s="173">
        <v>1</v>
      </c>
      <c r="G533" s="173" t="s">
        <v>50</v>
      </c>
      <c r="H533" s="173">
        <v>1</v>
      </c>
      <c r="I533" s="173" t="s">
        <v>1549</v>
      </c>
      <c r="J533" s="173" t="s">
        <v>27</v>
      </c>
      <c r="K533" s="173" t="s">
        <v>26</v>
      </c>
      <c r="L533" s="173"/>
      <c r="M533" s="173" t="s">
        <v>51</v>
      </c>
      <c r="N533" s="173">
        <v>16891092</v>
      </c>
      <c r="O533" s="175">
        <v>5789916</v>
      </c>
      <c r="P533" s="7"/>
      <c r="Q533" s="16">
        <f>+IF(IFERROR(VLOOKUP(Tabla3[[#This Row],[Cliente factura]],Tabla4[[NIT]:[TOTAL CREDITO]],3,FALSE),0)="",0,IFERROR(VLOOKUP(Tabla3[[#This Row],[Cliente factura]],Tabla4[[NIT]:[TOTAL CREDITO]],3,FALSE),0))</f>
        <v>0</v>
      </c>
      <c r="R533" s="9">
        <f>+IFERROR(VLOOKUP(Tabla3[[#This Row],[Cliente factura]],Tabla4[[NIT]:[TOTAL CREDITO]],6,FALSE),0)</f>
        <v>0</v>
      </c>
      <c r="S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3" s="10" t="str">
        <f>VLOOKUP(Tabla3[[#This Row],[Razón social cliente factura]]&amp;Tabla3[[#This Row],[Desc. ciudad]],'Estandar de Rutas'!$C$1:$E$553,2,FALSE)</f>
        <v>1.2</v>
      </c>
      <c r="U533" s="130">
        <f>IFERROR(VLOOKUP(Tabla3[[#This Row],[Referencia]]&amp;Tabla3[[#This Row],[Desc detalle ext 1]],Tabla1[[Referencia-Color]:[Disponibilidad]],3,FALSE),0)</f>
        <v>59</v>
      </c>
      <c r="V533" s="13"/>
      <c r="W533" s="17">
        <f>+Tabla3[[#This Row],[Cant. Programada]]*Tabla3[[#This Row],[Precio unit]]</f>
        <v>0</v>
      </c>
      <c r="X533" s="8"/>
      <c r="Y533" s="8"/>
      <c r="Z533" s="8" t="str">
        <f>+Tabla3[[#This Row],[Referencia]]&amp;Tabla3[[#This Row],[Desc detalle ext 1]]</f>
        <v>*XR 150L                                          NEGRO BLA</v>
      </c>
      <c r="AA533" s="128" t="e">
        <f>+VLOOKUP(Tabla3[[#This Row],[CODIGO2]],ESTANDAR!$B$3:$C$9,2,FALSE)</f>
        <v>#N/A</v>
      </c>
      <c r="AB533" s="128" t="str">
        <f>+MID(Tabla3[[#This Row],['# Viaje]],10,1)</f>
        <v/>
      </c>
    </row>
    <row r="534" spans="1:28" ht="15" hidden="1" customHeight="1">
      <c r="A534" s="173" t="s">
        <v>1548</v>
      </c>
      <c r="B534" s="174">
        <v>42948</v>
      </c>
      <c r="C534" s="173" t="s">
        <v>1477</v>
      </c>
      <c r="D534" s="173" t="s">
        <v>1478</v>
      </c>
      <c r="E534" s="173" t="s">
        <v>1479</v>
      </c>
      <c r="F534" s="173">
        <v>1</v>
      </c>
      <c r="G534" s="173" t="s">
        <v>50</v>
      </c>
      <c r="H534" s="173">
        <v>1</v>
      </c>
      <c r="I534" s="173" t="s">
        <v>1549</v>
      </c>
      <c r="J534" s="173" t="s">
        <v>1451</v>
      </c>
      <c r="K534" s="173" t="s">
        <v>1449</v>
      </c>
      <c r="L534" s="173"/>
      <c r="M534" s="173" t="s">
        <v>51</v>
      </c>
      <c r="N534" s="173">
        <v>16891092</v>
      </c>
      <c r="O534" s="175">
        <v>3696639</v>
      </c>
      <c r="P534" s="7"/>
      <c r="Q534" s="16">
        <f>+IF(IFERROR(VLOOKUP(Tabla3[[#This Row],[Cliente factura]],Tabla4[[NIT]:[TOTAL CREDITO]],3,FALSE),0)="",0,IFERROR(VLOOKUP(Tabla3[[#This Row],[Cliente factura]],Tabla4[[NIT]:[TOTAL CREDITO]],3,FALSE),0))</f>
        <v>0</v>
      </c>
      <c r="R534" s="9">
        <f>+IFERROR(VLOOKUP(Tabla3[[#This Row],[Cliente factura]],Tabla4[[NIT]:[TOTAL CREDITO]],6,FALSE),0)</f>
        <v>0</v>
      </c>
      <c r="S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4" s="10" t="str">
        <f>VLOOKUP(Tabla3[[#This Row],[Razón social cliente factura]]&amp;Tabla3[[#This Row],[Desc. ciudad]],'Estandar de Rutas'!$C$1:$E$553,2,FALSE)</f>
        <v>1.2</v>
      </c>
      <c r="U534" s="130">
        <f>IFERROR(VLOOKUP(Tabla3[[#This Row],[Referencia]]&amp;Tabla3[[#This Row],[Desc detalle ext 1]],Tabla1[[Referencia-Color]:[Disponibilidad]],3,FALSE),0)</f>
        <v>24</v>
      </c>
      <c r="V534" s="13"/>
      <c r="W534" s="17">
        <f>+Tabla3[[#This Row],[Cant. Programada]]*Tabla3[[#This Row],[Precio unit]]</f>
        <v>0</v>
      </c>
      <c r="X534" s="8"/>
      <c r="Y534" s="8"/>
      <c r="Z534" s="8" t="str">
        <f>+Tabla3[[#This Row],[Referencia]]&amp;Tabla3[[#This Row],[Desc detalle ext 1]]</f>
        <v xml:space="preserve">CB 110 DLX                                        GRIS     </v>
      </c>
      <c r="AA534" s="128" t="e">
        <f>+VLOOKUP(Tabla3[[#This Row],[CODIGO2]],ESTANDAR!$B$3:$C$9,2,FALSE)</f>
        <v>#N/A</v>
      </c>
      <c r="AB534" s="128" t="str">
        <f>+MID(Tabla3[[#This Row],['# Viaje]],10,1)</f>
        <v/>
      </c>
    </row>
    <row r="535" spans="1:28" ht="15" hidden="1" customHeight="1">
      <c r="A535" s="173" t="s">
        <v>1548</v>
      </c>
      <c r="B535" s="174">
        <v>42948</v>
      </c>
      <c r="C535" s="173" t="s">
        <v>1477</v>
      </c>
      <c r="D535" s="173" t="s">
        <v>1478</v>
      </c>
      <c r="E535" s="173" t="s">
        <v>1479</v>
      </c>
      <c r="F535" s="173">
        <v>1</v>
      </c>
      <c r="G535" s="173" t="s">
        <v>50</v>
      </c>
      <c r="H535" s="173">
        <v>1</v>
      </c>
      <c r="I535" s="173" t="s">
        <v>1549</v>
      </c>
      <c r="J535" s="173" t="s">
        <v>1451</v>
      </c>
      <c r="K535" s="173" t="s">
        <v>16</v>
      </c>
      <c r="L535" s="173"/>
      <c r="M535" s="173" t="s">
        <v>51</v>
      </c>
      <c r="N535" s="173">
        <v>16891092</v>
      </c>
      <c r="O535" s="175">
        <v>3696639</v>
      </c>
      <c r="P535" s="7"/>
      <c r="Q535" s="16">
        <f>+IF(IFERROR(VLOOKUP(Tabla3[[#This Row],[Cliente factura]],Tabla4[[NIT]:[TOTAL CREDITO]],3,FALSE),0)="",0,IFERROR(VLOOKUP(Tabla3[[#This Row],[Cliente factura]],Tabla4[[NIT]:[TOTAL CREDITO]],3,FALSE),0))</f>
        <v>0</v>
      </c>
      <c r="R535" s="9">
        <f>+IFERROR(VLOOKUP(Tabla3[[#This Row],[Cliente factura]],Tabla4[[NIT]:[TOTAL CREDITO]],6,FALSE),0)</f>
        <v>0</v>
      </c>
      <c r="S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5" s="10" t="str">
        <f>VLOOKUP(Tabla3[[#This Row],[Razón social cliente factura]]&amp;Tabla3[[#This Row],[Desc. ciudad]],'Estandar de Rutas'!$C$1:$E$553,2,FALSE)</f>
        <v>1.2</v>
      </c>
      <c r="U535" s="130">
        <f>IFERROR(VLOOKUP(Tabla3[[#This Row],[Referencia]]&amp;Tabla3[[#This Row],[Desc detalle ext 1]],Tabla1[[Referencia-Color]:[Disponibilidad]],3,FALSE),0)</f>
        <v>3</v>
      </c>
      <c r="V535" s="13"/>
      <c r="W535" s="17">
        <f>+Tabla3[[#This Row],[Cant. Programada]]*Tabla3[[#This Row],[Precio unit]]</f>
        <v>0</v>
      </c>
      <c r="X535" s="129"/>
      <c r="Y535" s="129"/>
      <c r="Z535" s="8" t="str">
        <f>+Tabla3[[#This Row],[Referencia]]&amp;Tabla3[[#This Row],[Desc detalle ext 1]]</f>
        <v xml:space="preserve">CB 110 DLX                                        NEGRO    </v>
      </c>
      <c r="AA535" s="128" t="e">
        <f>+VLOOKUP(Tabla3[[#This Row],[CODIGO2]],ESTANDAR!$B$3:$C$9,2,FALSE)</f>
        <v>#N/A</v>
      </c>
      <c r="AB535" s="128" t="str">
        <f>+MID(Tabla3[[#This Row],['# Viaje]],10,1)</f>
        <v/>
      </c>
    </row>
    <row r="536" spans="1:28" ht="15" hidden="1" customHeight="1">
      <c r="A536" s="173" t="s">
        <v>1550</v>
      </c>
      <c r="B536" s="174">
        <v>42948</v>
      </c>
      <c r="C536" s="173" t="s">
        <v>1231</v>
      </c>
      <c r="D536" s="173" t="s">
        <v>1237</v>
      </c>
      <c r="E536" s="173" t="s">
        <v>1479</v>
      </c>
      <c r="F536" s="173">
        <v>3</v>
      </c>
      <c r="G536" s="173" t="s">
        <v>401</v>
      </c>
      <c r="H536" s="173">
        <v>3</v>
      </c>
      <c r="I536" s="173" t="s">
        <v>1551</v>
      </c>
      <c r="J536" s="173" t="s">
        <v>27</v>
      </c>
      <c r="K536" s="173" t="s">
        <v>32</v>
      </c>
      <c r="L536" s="173"/>
      <c r="M536" s="173" t="s">
        <v>214</v>
      </c>
      <c r="N536" s="173">
        <v>17668211</v>
      </c>
      <c r="O536" s="175">
        <v>5789916</v>
      </c>
      <c r="P536" s="7"/>
      <c r="Q536" s="16">
        <f>+IF(IFERROR(VLOOKUP(Tabla3[[#This Row],[Cliente factura]],Tabla4[[NIT]:[TOTAL CREDITO]],3,FALSE),0)="",0,IFERROR(VLOOKUP(Tabla3[[#This Row],[Cliente factura]],Tabla4[[NIT]:[TOTAL CREDITO]],3,FALSE),0))</f>
        <v>45693960</v>
      </c>
      <c r="R536" s="9">
        <f>+IFERROR(VLOOKUP(Tabla3[[#This Row],[Cliente factura]],Tabla4[[NIT]:[TOTAL CREDITO]],6,FALSE),0)</f>
        <v>0</v>
      </c>
      <c r="S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6" s="10" t="str">
        <f>VLOOKUP(Tabla3[[#This Row],[Razón social cliente factura]]&amp;Tabla3[[#This Row],[Desc. ciudad]],'Estandar de Rutas'!$C$1:$E$553,2,FALSE)</f>
        <v>5.2.B</v>
      </c>
      <c r="U536" s="130">
        <f>IFERROR(VLOOKUP(Tabla3[[#This Row],[Referencia]]&amp;Tabla3[[#This Row],[Desc detalle ext 1]],Tabla1[[Referencia-Color]:[Disponibilidad]],3,FALSE),0)</f>
        <v>7</v>
      </c>
      <c r="V536" s="13"/>
      <c r="W536" s="17">
        <f>+Tabla3[[#This Row],[Cant. Programada]]*Tabla3[[#This Row],[Precio unit]]</f>
        <v>0</v>
      </c>
      <c r="X536" s="129"/>
      <c r="Y536" s="129"/>
      <c r="Z536" s="8" t="str">
        <f>+Tabla3[[#This Row],[Referencia]]&amp;Tabla3[[#This Row],[Desc detalle ext 1]]</f>
        <v>*XR 150L                                          NEGRO ROJ</v>
      </c>
      <c r="AA536" s="128" t="e">
        <f>+VLOOKUP(Tabla3[[#This Row],[CODIGO2]],ESTANDAR!$B$3:$C$9,2,FALSE)</f>
        <v>#N/A</v>
      </c>
      <c r="AB536" s="128" t="str">
        <f>+MID(Tabla3[[#This Row],['# Viaje]],10,1)</f>
        <v/>
      </c>
    </row>
    <row r="537" spans="1:28" ht="15" hidden="1" customHeight="1">
      <c r="A537" s="173" t="s">
        <v>1550</v>
      </c>
      <c r="B537" s="174">
        <v>42948</v>
      </c>
      <c r="C537" s="173" t="s">
        <v>1231</v>
      </c>
      <c r="D537" s="173" t="s">
        <v>1237</v>
      </c>
      <c r="E537" s="173" t="s">
        <v>1479</v>
      </c>
      <c r="F537" s="173">
        <v>2</v>
      </c>
      <c r="G537" s="173" t="s">
        <v>401</v>
      </c>
      <c r="H537" s="173">
        <v>2</v>
      </c>
      <c r="I537" s="173" t="s">
        <v>1551</v>
      </c>
      <c r="J537" s="173" t="s">
        <v>27</v>
      </c>
      <c r="K537" s="173" t="s">
        <v>16</v>
      </c>
      <c r="L537" s="173"/>
      <c r="M537" s="173" t="s">
        <v>214</v>
      </c>
      <c r="N537" s="173">
        <v>17668211</v>
      </c>
      <c r="O537" s="175">
        <v>5789916</v>
      </c>
      <c r="P537" s="7"/>
      <c r="Q537" s="16">
        <f>+IF(IFERROR(VLOOKUP(Tabla3[[#This Row],[Cliente factura]],Tabla4[[NIT]:[TOTAL CREDITO]],3,FALSE),0)="",0,IFERROR(VLOOKUP(Tabla3[[#This Row],[Cliente factura]],Tabla4[[NIT]:[TOTAL CREDITO]],3,FALSE),0))</f>
        <v>45693960</v>
      </c>
      <c r="R537" s="9">
        <f>+IFERROR(VLOOKUP(Tabla3[[#This Row],[Cliente factura]],Tabla4[[NIT]:[TOTAL CREDITO]],6,FALSE),0)</f>
        <v>0</v>
      </c>
      <c r="S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7" s="10" t="str">
        <f>VLOOKUP(Tabla3[[#This Row],[Razón social cliente factura]]&amp;Tabla3[[#This Row],[Desc. ciudad]],'Estandar de Rutas'!$C$1:$E$553,2,FALSE)</f>
        <v>5.2.B</v>
      </c>
      <c r="U537" s="130">
        <f>IFERROR(VLOOKUP(Tabla3[[#This Row],[Referencia]]&amp;Tabla3[[#This Row],[Desc detalle ext 1]],Tabla1[[Referencia-Color]:[Disponibilidad]],3,FALSE),0)</f>
        <v>3</v>
      </c>
      <c r="V537" s="13"/>
      <c r="W537" s="17">
        <f>+Tabla3[[#This Row],[Cant. Programada]]*Tabla3[[#This Row],[Precio unit]]</f>
        <v>0</v>
      </c>
      <c r="X537" s="8"/>
      <c r="Y537" s="8"/>
      <c r="Z537" s="8" t="str">
        <f>+Tabla3[[#This Row],[Referencia]]&amp;Tabla3[[#This Row],[Desc detalle ext 1]]</f>
        <v xml:space="preserve">*XR 150L                                          NEGRO    </v>
      </c>
      <c r="AA537" s="128" t="e">
        <f>+VLOOKUP(Tabla3[[#This Row],[CODIGO2]],ESTANDAR!$B$3:$C$9,2,FALSE)</f>
        <v>#N/A</v>
      </c>
      <c r="AB537" s="128" t="str">
        <f>+MID(Tabla3[[#This Row],['# Viaje]],10,1)</f>
        <v/>
      </c>
    </row>
    <row r="538" spans="1:28" ht="15" hidden="1" customHeight="1">
      <c r="A538" s="173" t="s">
        <v>1550</v>
      </c>
      <c r="B538" s="174">
        <v>42948</v>
      </c>
      <c r="C538" s="173" t="s">
        <v>1231</v>
      </c>
      <c r="D538" s="173" t="s">
        <v>1237</v>
      </c>
      <c r="E538" s="173" t="s">
        <v>1479</v>
      </c>
      <c r="F538" s="173">
        <v>1</v>
      </c>
      <c r="G538" s="173" t="s">
        <v>401</v>
      </c>
      <c r="H538" s="173">
        <v>1</v>
      </c>
      <c r="I538" s="173" t="s">
        <v>1551</v>
      </c>
      <c r="J538" s="173" t="s">
        <v>354</v>
      </c>
      <c r="K538" s="173" t="s">
        <v>17</v>
      </c>
      <c r="L538" s="173"/>
      <c r="M538" s="173" t="s">
        <v>214</v>
      </c>
      <c r="N538" s="173">
        <v>17668211</v>
      </c>
      <c r="O538" s="175">
        <v>6133613</v>
      </c>
      <c r="P538" s="7"/>
      <c r="Q538" s="16">
        <f>+IF(IFERROR(VLOOKUP(Tabla3[[#This Row],[Cliente factura]],Tabla4[[NIT]:[TOTAL CREDITO]],3,FALSE),0)="",0,IFERROR(VLOOKUP(Tabla3[[#This Row],[Cliente factura]],Tabla4[[NIT]:[TOTAL CREDITO]],3,FALSE),0))</f>
        <v>45693960</v>
      </c>
      <c r="R538" s="9">
        <f>+IFERROR(VLOOKUP(Tabla3[[#This Row],[Cliente factura]],Tabla4[[NIT]:[TOTAL CREDITO]],6,FALSE),0)</f>
        <v>0</v>
      </c>
      <c r="S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8" s="10" t="str">
        <f>VLOOKUP(Tabla3[[#This Row],[Razón social cliente factura]]&amp;Tabla3[[#This Row],[Desc. ciudad]],'Estandar de Rutas'!$C$1:$E$553,2,FALSE)</f>
        <v>5.2.B</v>
      </c>
      <c r="U538" s="130">
        <f>IFERROR(VLOOKUP(Tabla3[[#This Row],[Referencia]]&amp;Tabla3[[#This Row],[Desc detalle ext 1]],Tabla1[[Referencia-Color]:[Disponibilidad]],3,FALSE),0)</f>
        <v>48</v>
      </c>
      <c r="V538" s="13"/>
      <c r="W538" s="17">
        <f>+Tabla3[[#This Row],[Cant. Programada]]*Tabla3[[#This Row],[Precio unit]]</f>
        <v>0</v>
      </c>
      <c r="X538" s="129"/>
      <c r="Y538" s="129"/>
      <c r="Z538" s="8" t="str">
        <f>+Tabla3[[#This Row],[Referencia]]&amp;Tabla3[[#This Row],[Desc detalle ext 1]]</f>
        <v>CB 160F DLX                                       ROJO SPOR</v>
      </c>
      <c r="AA538" s="128" t="e">
        <f>+VLOOKUP(Tabla3[[#This Row],[CODIGO2]],ESTANDAR!$B$3:$C$9,2,FALSE)</f>
        <v>#N/A</v>
      </c>
      <c r="AB538" s="128" t="str">
        <f>+MID(Tabla3[[#This Row],['# Viaje]],10,1)</f>
        <v/>
      </c>
    </row>
    <row r="539" spans="1:28" ht="15" hidden="1" customHeight="1">
      <c r="A539" s="173" t="s">
        <v>1550</v>
      </c>
      <c r="B539" s="174">
        <v>42948</v>
      </c>
      <c r="C539" s="173" t="s">
        <v>1231</v>
      </c>
      <c r="D539" s="173" t="s">
        <v>1237</v>
      </c>
      <c r="E539" s="173" t="s">
        <v>1479</v>
      </c>
      <c r="F539" s="173">
        <v>1</v>
      </c>
      <c r="G539" s="173" t="s">
        <v>401</v>
      </c>
      <c r="H539" s="173">
        <v>1</v>
      </c>
      <c r="I539" s="173" t="s">
        <v>1551</v>
      </c>
      <c r="J539" s="173" t="s">
        <v>354</v>
      </c>
      <c r="K539" s="173" t="s">
        <v>355</v>
      </c>
      <c r="L539" s="173"/>
      <c r="M539" s="173" t="s">
        <v>214</v>
      </c>
      <c r="N539" s="173">
        <v>17668211</v>
      </c>
      <c r="O539" s="175">
        <v>6133613</v>
      </c>
      <c r="P539" s="7"/>
      <c r="Q539" s="16">
        <f>+IF(IFERROR(VLOOKUP(Tabla3[[#This Row],[Cliente factura]],Tabla4[[NIT]:[TOTAL CREDITO]],3,FALSE),0)="",0,IFERROR(VLOOKUP(Tabla3[[#This Row],[Cliente factura]],Tabla4[[NIT]:[TOTAL CREDITO]],3,FALSE),0))</f>
        <v>45693960</v>
      </c>
      <c r="R539" s="9">
        <f>+IFERROR(VLOOKUP(Tabla3[[#This Row],[Cliente factura]],Tabla4[[NIT]:[TOTAL CREDITO]],6,FALSE),0)</f>
        <v>0</v>
      </c>
      <c r="S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9" s="10" t="str">
        <f>VLOOKUP(Tabla3[[#This Row],[Razón social cliente factura]]&amp;Tabla3[[#This Row],[Desc. ciudad]],'Estandar de Rutas'!$C$1:$E$553,2,FALSE)</f>
        <v>5.2.B</v>
      </c>
      <c r="U539" s="130">
        <f>IFERROR(VLOOKUP(Tabla3[[#This Row],[Referencia]]&amp;Tabla3[[#This Row],[Desc detalle ext 1]],Tabla1[[Referencia-Color]:[Disponibilidad]],3,FALSE),0)</f>
        <v>0</v>
      </c>
      <c r="V539" s="13"/>
      <c r="W539" s="17">
        <f>+Tabla3[[#This Row],[Cant. Programada]]*Tabla3[[#This Row],[Precio unit]]</f>
        <v>0</v>
      </c>
      <c r="X539" s="129"/>
      <c r="Y539" s="129"/>
      <c r="Z539" s="8" t="str">
        <f>+Tabla3[[#This Row],[Referencia]]&amp;Tabla3[[#This Row],[Desc detalle ext 1]]</f>
        <v>CB 160F DLX                                       NEGRO PER</v>
      </c>
      <c r="AA539" s="128" t="e">
        <f>+VLOOKUP(Tabla3[[#This Row],[CODIGO2]],ESTANDAR!$B$3:$C$9,2,FALSE)</f>
        <v>#N/A</v>
      </c>
      <c r="AB539" s="128" t="str">
        <f>+MID(Tabla3[[#This Row],['# Viaje]],10,1)</f>
        <v/>
      </c>
    </row>
    <row r="540" spans="1:28" ht="15" hidden="1" customHeight="1">
      <c r="A540" s="173" t="s">
        <v>1550</v>
      </c>
      <c r="B540" s="174">
        <v>42948</v>
      </c>
      <c r="C540" s="173" t="s">
        <v>1231</v>
      </c>
      <c r="D540" s="173" t="s">
        <v>1237</v>
      </c>
      <c r="E540" s="173" t="s">
        <v>1479</v>
      </c>
      <c r="F540" s="173">
        <v>11</v>
      </c>
      <c r="G540" s="173" t="s">
        <v>401</v>
      </c>
      <c r="H540" s="173">
        <v>11</v>
      </c>
      <c r="I540" s="173" t="s">
        <v>1551</v>
      </c>
      <c r="J540" s="173" t="s">
        <v>1451</v>
      </c>
      <c r="K540" s="173" t="s">
        <v>1452</v>
      </c>
      <c r="L540" s="173"/>
      <c r="M540" s="173" t="s">
        <v>214</v>
      </c>
      <c r="N540" s="173">
        <v>17668211</v>
      </c>
      <c r="O540" s="175">
        <v>3696639</v>
      </c>
      <c r="P540" s="7"/>
      <c r="Q540" s="16">
        <f>+IF(IFERROR(VLOOKUP(Tabla3[[#This Row],[Cliente factura]],Tabla4[[NIT]:[TOTAL CREDITO]],3,FALSE),0)="",0,IFERROR(VLOOKUP(Tabla3[[#This Row],[Cliente factura]],Tabla4[[NIT]:[TOTAL CREDITO]],3,FALSE),0))</f>
        <v>45693960</v>
      </c>
      <c r="R540" s="9">
        <f>+IFERROR(VLOOKUP(Tabla3[[#This Row],[Cliente factura]],Tabla4[[NIT]:[TOTAL CREDITO]],6,FALSE),0)</f>
        <v>0</v>
      </c>
      <c r="S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0" s="10" t="str">
        <f>VLOOKUP(Tabla3[[#This Row],[Razón social cliente factura]]&amp;Tabla3[[#This Row],[Desc. ciudad]],'Estandar de Rutas'!$C$1:$E$553,2,FALSE)</f>
        <v>5.2.B</v>
      </c>
      <c r="U540" s="130">
        <f>IFERROR(VLOOKUP(Tabla3[[#This Row],[Referencia]]&amp;Tabla3[[#This Row],[Desc detalle ext 1]],Tabla1[[Referencia-Color]:[Disponibilidad]],3,FALSE),0)</f>
        <v>21</v>
      </c>
      <c r="V540" s="13"/>
      <c r="W540" s="17">
        <f>+Tabla3[[#This Row],[Cant. Programada]]*Tabla3[[#This Row],[Precio unit]]</f>
        <v>0</v>
      </c>
      <c r="X540" s="129"/>
      <c r="Y540" s="129"/>
      <c r="Z540" s="8" t="str">
        <f>+Tabla3[[#This Row],[Referencia]]&amp;Tabla3[[#This Row],[Desc detalle ext 1]]</f>
        <v xml:space="preserve">CB 110 DLX                                        AZUL     </v>
      </c>
      <c r="AA540" s="128" t="e">
        <f>+VLOOKUP(Tabla3[[#This Row],[CODIGO2]],ESTANDAR!$B$3:$C$9,2,FALSE)</f>
        <v>#N/A</v>
      </c>
      <c r="AB540" s="128" t="str">
        <f>+MID(Tabla3[[#This Row],['# Viaje]],10,1)</f>
        <v/>
      </c>
    </row>
    <row r="541" spans="1:28" ht="15" hidden="1" customHeight="1">
      <c r="A541" s="173" t="s">
        <v>1550</v>
      </c>
      <c r="B541" s="174">
        <v>42948</v>
      </c>
      <c r="C541" s="173" t="s">
        <v>1231</v>
      </c>
      <c r="D541" s="173" t="s">
        <v>1237</v>
      </c>
      <c r="E541" s="173" t="s">
        <v>1479</v>
      </c>
      <c r="F541" s="173">
        <v>12</v>
      </c>
      <c r="G541" s="173" t="s">
        <v>401</v>
      </c>
      <c r="H541" s="173">
        <v>12</v>
      </c>
      <c r="I541" s="173" t="s">
        <v>1551</v>
      </c>
      <c r="J541" s="173" t="s">
        <v>1451</v>
      </c>
      <c r="K541" s="173" t="s">
        <v>1431</v>
      </c>
      <c r="L541" s="173"/>
      <c r="M541" s="173" t="s">
        <v>214</v>
      </c>
      <c r="N541" s="173">
        <v>17668211</v>
      </c>
      <c r="O541" s="175">
        <v>3696639</v>
      </c>
      <c r="P541" s="7"/>
      <c r="Q541" s="16">
        <f>+IF(IFERROR(VLOOKUP(Tabla3[[#This Row],[Cliente factura]],Tabla4[[NIT]:[TOTAL CREDITO]],3,FALSE),0)="",0,IFERROR(VLOOKUP(Tabla3[[#This Row],[Cliente factura]],Tabla4[[NIT]:[TOTAL CREDITO]],3,FALSE),0))</f>
        <v>45693960</v>
      </c>
      <c r="R541" s="9">
        <f>+IFERROR(VLOOKUP(Tabla3[[#This Row],[Cliente factura]],Tabla4[[NIT]:[TOTAL CREDITO]],6,FALSE),0)</f>
        <v>0</v>
      </c>
      <c r="S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1" s="10" t="str">
        <f>VLOOKUP(Tabla3[[#This Row],[Razón social cliente factura]]&amp;Tabla3[[#This Row],[Desc. ciudad]],'Estandar de Rutas'!$C$1:$E$553,2,FALSE)</f>
        <v>5.2.B</v>
      </c>
      <c r="U541" s="130">
        <f>IFERROR(VLOOKUP(Tabla3[[#This Row],[Referencia]]&amp;Tabla3[[#This Row],[Desc detalle ext 1]],Tabla1[[Referencia-Color]:[Disponibilidad]],3,FALSE),0)</f>
        <v>21</v>
      </c>
      <c r="V541" s="13"/>
      <c r="W541" s="17">
        <f>+Tabla3[[#This Row],[Cant. Programada]]*Tabla3[[#This Row],[Precio unit]]</f>
        <v>0</v>
      </c>
      <c r="X541" s="129"/>
      <c r="Y541" s="129"/>
      <c r="Z541" s="8" t="str">
        <f>+Tabla3[[#This Row],[Referencia]]&amp;Tabla3[[#This Row],[Desc detalle ext 1]]</f>
        <v xml:space="preserve">CB 110 DLX                                        ROJO     </v>
      </c>
      <c r="AA541" s="128" t="e">
        <f>+VLOOKUP(Tabla3[[#This Row],[CODIGO2]],ESTANDAR!$B$3:$C$9,2,FALSE)</f>
        <v>#N/A</v>
      </c>
      <c r="AB541" s="128" t="str">
        <f>+MID(Tabla3[[#This Row],['# Viaje]],10,1)</f>
        <v/>
      </c>
    </row>
    <row r="542" spans="1:28" ht="15" hidden="1" customHeight="1">
      <c r="A542" s="173" t="s">
        <v>1550</v>
      </c>
      <c r="B542" s="174">
        <v>42948</v>
      </c>
      <c r="C542" s="173" t="s">
        <v>1231</v>
      </c>
      <c r="D542" s="173" t="s">
        <v>1237</v>
      </c>
      <c r="E542" s="173" t="s">
        <v>1479</v>
      </c>
      <c r="F542" s="173">
        <v>20</v>
      </c>
      <c r="G542" s="173" t="s">
        <v>401</v>
      </c>
      <c r="H542" s="173">
        <v>20</v>
      </c>
      <c r="I542" s="173" t="s">
        <v>1551</v>
      </c>
      <c r="J542" s="173" t="s">
        <v>1451</v>
      </c>
      <c r="K542" s="173" t="s">
        <v>16</v>
      </c>
      <c r="L542" s="173"/>
      <c r="M542" s="173" t="s">
        <v>214</v>
      </c>
      <c r="N542" s="173">
        <v>17668211</v>
      </c>
      <c r="O542" s="175">
        <v>3696639</v>
      </c>
      <c r="P542" s="7"/>
      <c r="Q542" s="16">
        <f>+IF(IFERROR(VLOOKUP(Tabla3[[#This Row],[Cliente factura]],Tabla4[[NIT]:[TOTAL CREDITO]],3,FALSE),0)="",0,IFERROR(VLOOKUP(Tabla3[[#This Row],[Cliente factura]],Tabla4[[NIT]:[TOTAL CREDITO]],3,FALSE),0))</f>
        <v>45693960</v>
      </c>
      <c r="R542" s="9">
        <f>+IFERROR(VLOOKUP(Tabla3[[#This Row],[Cliente factura]],Tabla4[[NIT]:[TOTAL CREDITO]],6,FALSE),0)</f>
        <v>0</v>
      </c>
      <c r="S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2" s="10" t="str">
        <f>VLOOKUP(Tabla3[[#This Row],[Razón social cliente factura]]&amp;Tabla3[[#This Row],[Desc. ciudad]],'Estandar de Rutas'!$C$1:$E$553,2,FALSE)</f>
        <v>5.2.B</v>
      </c>
      <c r="U542" s="130">
        <f>IFERROR(VLOOKUP(Tabla3[[#This Row],[Referencia]]&amp;Tabla3[[#This Row],[Desc detalle ext 1]],Tabla1[[Referencia-Color]:[Disponibilidad]],3,FALSE),0)</f>
        <v>3</v>
      </c>
      <c r="V542" s="13"/>
      <c r="W542" s="17">
        <f>+Tabla3[[#This Row],[Cant. Programada]]*Tabla3[[#This Row],[Precio unit]]</f>
        <v>0</v>
      </c>
      <c r="X542" s="129"/>
      <c r="Y542" s="129"/>
      <c r="Z542" s="8" t="str">
        <f>+Tabla3[[#This Row],[Referencia]]&amp;Tabla3[[#This Row],[Desc detalle ext 1]]</f>
        <v xml:space="preserve">CB 110 DLX                                        NEGRO    </v>
      </c>
      <c r="AA542" s="128" t="e">
        <f>+VLOOKUP(Tabla3[[#This Row],[CODIGO2]],ESTANDAR!$B$3:$C$9,2,FALSE)</f>
        <v>#N/A</v>
      </c>
      <c r="AB542" s="128" t="str">
        <f>+MID(Tabla3[[#This Row],['# Viaje]],10,1)</f>
        <v/>
      </c>
    </row>
    <row r="543" spans="1:28" ht="15" hidden="1" customHeight="1">
      <c r="A543" s="173" t="s">
        <v>1552</v>
      </c>
      <c r="B543" s="174">
        <v>42948</v>
      </c>
      <c r="C543" s="173" t="s">
        <v>1231</v>
      </c>
      <c r="D543" s="173" t="s">
        <v>1478</v>
      </c>
      <c r="E543" s="173" t="s">
        <v>1479</v>
      </c>
      <c r="F543" s="173">
        <v>4</v>
      </c>
      <c r="G543" s="173" t="s">
        <v>59</v>
      </c>
      <c r="H543" s="173">
        <v>4</v>
      </c>
      <c r="I543" s="173" t="s">
        <v>1553</v>
      </c>
      <c r="J543" s="173" t="s">
        <v>14</v>
      </c>
      <c r="K543" s="173" t="s">
        <v>1417</v>
      </c>
      <c r="L543" s="173"/>
      <c r="M543" s="173" t="s">
        <v>60</v>
      </c>
      <c r="N543" s="173">
        <v>891903377</v>
      </c>
      <c r="O543" s="175">
        <v>3360504</v>
      </c>
      <c r="P543" s="7"/>
      <c r="Q543" s="16">
        <f>+IF(IFERROR(VLOOKUP(Tabla3[[#This Row],[Cliente factura]],Tabla4[[NIT]:[TOTAL CREDITO]],3,FALSE),0)="",0,IFERROR(VLOOKUP(Tabla3[[#This Row],[Cliente factura]],Tabla4[[NIT]:[TOTAL CREDITO]],3,FALSE),0))</f>
        <v>116885711</v>
      </c>
      <c r="R543" s="9">
        <f>+IFERROR(VLOOKUP(Tabla3[[#This Row],[Cliente factura]],Tabla4[[NIT]:[TOTAL CREDITO]],6,FALSE),0)</f>
        <v>0</v>
      </c>
      <c r="S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3" s="10" t="str">
        <f>VLOOKUP(Tabla3[[#This Row],[Razón social cliente factura]]&amp;Tabla3[[#This Row],[Desc. ciudad]],'Estandar de Rutas'!$C$1:$E$553,2,FALSE)</f>
        <v>1.1</v>
      </c>
      <c r="U543" s="130">
        <f>IFERROR(VLOOKUP(Tabla3[[#This Row],[Referencia]]&amp;Tabla3[[#This Row],[Desc detalle ext 1]],Tabla1[[Referencia-Color]:[Disponibilidad]],3,FALSE),0)</f>
        <v>24</v>
      </c>
      <c r="V543" s="13"/>
      <c r="W543" s="17">
        <f>+Tabla3[[#This Row],[Cant. Programada]]*Tabla3[[#This Row],[Precio unit]]</f>
        <v>0</v>
      </c>
      <c r="X543" s="129"/>
      <c r="Y543" s="129"/>
      <c r="Z543" s="8" t="str">
        <f>+Tabla3[[#This Row],[Referencia]]&amp;Tabla3[[#This Row],[Desc detalle ext 1]]</f>
        <v xml:space="preserve">*CB-110                                           GRIS MET </v>
      </c>
      <c r="AA543" s="128" t="e">
        <f>+VLOOKUP(Tabla3[[#This Row],[CODIGO2]],ESTANDAR!$B$3:$C$9,2,FALSE)</f>
        <v>#N/A</v>
      </c>
      <c r="AB543" s="128" t="str">
        <f>+MID(Tabla3[[#This Row],['# Viaje]],10,1)</f>
        <v/>
      </c>
    </row>
    <row r="544" spans="1:28" ht="15" hidden="1" customHeight="1">
      <c r="A544" s="173" t="s">
        <v>1552</v>
      </c>
      <c r="B544" s="174">
        <v>42948</v>
      </c>
      <c r="C544" s="173" t="s">
        <v>1231</v>
      </c>
      <c r="D544" s="173" t="s">
        <v>1478</v>
      </c>
      <c r="E544" s="173" t="s">
        <v>1479</v>
      </c>
      <c r="F544" s="173">
        <v>4</v>
      </c>
      <c r="G544" s="173" t="s">
        <v>59</v>
      </c>
      <c r="H544" s="173">
        <v>4</v>
      </c>
      <c r="I544" s="173" t="s">
        <v>1553</v>
      </c>
      <c r="J544" s="173" t="s">
        <v>14</v>
      </c>
      <c r="K544" s="173" t="s">
        <v>16</v>
      </c>
      <c r="L544" s="173"/>
      <c r="M544" s="173" t="s">
        <v>60</v>
      </c>
      <c r="N544" s="173">
        <v>891903377</v>
      </c>
      <c r="O544" s="175">
        <v>3360504</v>
      </c>
      <c r="P544" s="7"/>
      <c r="Q544" s="16">
        <f>+IF(IFERROR(VLOOKUP(Tabla3[[#This Row],[Cliente factura]],Tabla4[[NIT]:[TOTAL CREDITO]],3,FALSE),0)="",0,IFERROR(VLOOKUP(Tabla3[[#This Row],[Cliente factura]],Tabla4[[NIT]:[TOTAL CREDITO]],3,FALSE),0))</f>
        <v>116885711</v>
      </c>
      <c r="R544" s="9">
        <f>+IFERROR(VLOOKUP(Tabla3[[#This Row],[Cliente factura]],Tabla4[[NIT]:[TOTAL CREDITO]],6,FALSE),0)</f>
        <v>0</v>
      </c>
      <c r="S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4" s="10" t="str">
        <f>VLOOKUP(Tabla3[[#This Row],[Razón social cliente factura]]&amp;Tabla3[[#This Row],[Desc. ciudad]],'Estandar de Rutas'!$C$1:$E$553,2,FALSE)</f>
        <v>1.1</v>
      </c>
      <c r="U544" s="130">
        <f>IFERROR(VLOOKUP(Tabla3[[#This Row],[Referencia]]&amp;Tabla3[[#This Row],[Desc detalle ext 1]],Tabla1[[Referencia-Color]:[Disponibilidad]],3,FALSE),0)</f>
        <v>83</v>
      </c>
      <c r="V544" s="13"/>
      <c r="W544" s="17">
        <f>+Tabla3[[#This Row],[Cant. Programada]]*Tabla3[[#This Row],[Precio unit]]</f>
        <v>0</v>
      </c>
      <c r="X544" s="129"/>
      <c r="Y544" s="129"/>
      <c r="Z544" s="8" t="str">
        <f>+Tabla3[[#This Row],[Referencia]]&amp;Tabla3[[#This Row],[Desc detalle ext 1]]</f>
        <v xml:space="preserve">*CB-110                                           NEGRO    </v>
      </c>
      <c r="AA544" s="128" t="e">
        <f>+VLOOKUP(Tabla3[[#This Row],[CODIGO2]],ESTANDAR!$B$3:$C$9,2,FALSE)</f>
        <v>#N/A</v>
      </c>
      <c r="AB544" s="128" t="str">
        <f>+MID(Tabla3[[#This Row],['# Viaje]],10,1)</f>
        <v/>
      </c>
    </row>
    <row r="545" spans="1:28" ht="15" hidden="1" customHeight="1">
      <c r="A545" s="173" t="s">
        <v>1552</v>
      </c>
      <c r="B545" s="174">
        <v>42948</v>
      </c>
      <c r="C545" s="173" t="s">
        <v>1231</v>
      </c>
      <c r="D545" s="173" t="s">
        <v>1478</v>
      </c>
      <c r="E545" s="173" t="s">
        <v>1479</v>
      </c>
      <c r="F545" s="173">
        <v>1</v>
      </c>
      <c r="G545" s="173" t="s">
        <v>59</v>
      </c>
      <c r="H545" s="173">
        <v>1</v>
      </c>
      <c r="I545" s="173" t="s">
        <v>1553</v>
      </c>
      <c r="J545" s="173" t="s">
        <v>27</v>
      </c>
      <c r="K545" s="173" t="s">
        <v>32</v>
      </c>
      <c r="L545" s="173"/>
      <c r="M545" s="173" t="s">
        <v>60</v>
      </c>
      <c r="N545" s="173">
        <v>891903377</v>
      </c>
      <c r="O545" s="175">
        <v>5789916</v>
      </c>
      <c r="P545" s="7"/>
      <c r="Q545" s="16">
        <f>+IF(IFERROR(VLOOKUP(Tabla3[[#This Row],[Cliente factura]],Tabla4[[NIT]:[TOTAL CREDITO]],3,FALSE),0)="",0,IFERROR(VLOOKUP(Tabla3[[#This Row],[Cliente factura]],Tabla4[[NIT]:[TOTAL CREDITO]],3,FALSE),0))</f>
        <v>116885711</v>
      </c>
      <c r="R545" s="9">
        <f>+IFERROR(VLOOKUP(Tabla3[[#This Row],[Cliente factura]],Tabla4[[NIT]:[TOTAL CREDITO]],6,FALSE),0)</f>
        <v>0</v>
      </c>
      <c r="S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5" s="10" t="str">
        <f>VLOOKUP(Tabla3[[#This Row],[Razón social cliente factura]]&amp;Tabla3[[#This Row],[Desc. ciudad]],'Estandar de Rutas'!$C$1:$E$553,2,FALSE)</f>
        <v>1.1</v>
      </c>
      <c r="U545" s="130">
        <f>IFERROR(VLOOKUP(Tabla3[[#This Row],[Referencia]]&amp;Tabla3[[#This Row],[Desc detalle ext 1]],Tabla1[[Referencia-Color]:[Disponibilidad]],3,FALSE),0)</f>
        <v>7</v>
      </c>
      <c r="V545" s="13"/>
      <c r="W545" s="17">
        <f>+Tabla3[[#This Row],[Cant. Programada]]*Tabla3[[#This Row],[Precio unit]]</f>
        <v>0</v>
      </c>
      <c r="X545" s="8"/>
      <c r="Y545" s="8"/>
      <c r="Z545" s="8" t="str">
        <f>+Tabla3[[#This Row],[Referencia]]&amp;Tabla3[[#This Row],[Desc detalle ext 1]]</f>
        <v>*XR 150L                                          NEGRO ROJ</v>
      </c>
      <c r="AA545" s="128" t="e">
        <f>+VLOOKUP(Tabla3[[#This Row],[CODIGO2]],ESTANDAR!$B$3:$C$9,2,FALSE)</f>
        <v>#N/A</v>
      </c>
      <c r="AB545" s="128" t="str">
        <f>+MID(Tabla3[[#This Row],['# Viaje]],10,1)</f>
        <v/>
      </c>
    </row>
    <row r="546" spans="1:28" ht="15" hidden="1" customHeight="1">
      <c r="A546" s="173" t="s">
        <v>1552</v>
      </c>
      <c r="B546" s="174">
        <v>42948</v>
      </c>
      <c r="C546" s="173" t="s">
        <v>1231</v>
      </c>
      <c r="D546" s="173" t="s">
        <v>1478</v>
      </c>
      <c r="E546" s="173" t="s">
        <v>1479</v>
      </c>
      <c r="F546" s="173">
        <v>8</v>
      </c>
      <c r="G546" s="173" t="s">
        <v>59</v>
      </c>
      <c r="H546" s="173">
        <v>8</v>
      </c>
      <c r="I546" s="173" t="s">
        <v>1553</v>
      </c>
      <c r="J546" s="173" t="s">
        <v>27</v>
      </c>
      <c r="K546" s="173" t="s">
        <v>16</v>
      </c>
      <c r="L546" s="173"/>
      <c r="M546" s="173" t="s">
        <v>60</v>
      </c>
      <c r="N546" s="173">
        <v>891903377</v>
      </c>
      <c r="O546" s="175">
        <v>5789916</v>
      </c>
      <c r="P546" s="7"/>
      <c r="Q546" s="16">
        <f>+IF(IFERROR(VLOOKUP(Tabla3[[#This Row],[Cliente factura]],Tabla4[[NIT]:[TOTAL CREDITO]],3,FALSE),0)="",0,IFERROR(VLOOKUP(Tabla3[[#This Row],[Cliente factura]],Tabla4[[NIT]:[TOTAL CREDITO]],3,FALSE),0))</f>
        <v>116885711</v>
      </c>
      <c r="R546" s="9">
        <f>+IFERROR(VLOOKUP(Tabla3[[#This Row],[Cliente factura]],Tabla4[[NIT]:[TOTAL CREDITO]],6,FALSE),0)</f>
        <v>0</v>
      </c>
      <c r="S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6" s="10" t="str">
        <f>VLOOKUP(Tabla3[[#This Row],[Razón social cliente factura]]&amp;Tabla3[[#This Row],[Desc. ciudad]],'Estandar de Rutas'!$C$1:$E$553,2,FALSE)</f>
        <v>1.1</v>
      </c>
      <c r="U546" s="130">
        <f>IFERROR(VLOOKUP(Tabla3[[#This Row],[Referencia]]&amp;Tabla3[[#This Row],[Desc detalle ext 1]],Tabla1[[Referencia-Color]:[Disponibilidad]],3,FALSE),0)</f>
        <v>3</v>
      </c>
      <c r="V546" s="13"/>
      <c r="W546" s="17">
        <f>+Tabla3[[#This Row],[Cant. Programada]]*Tabla3[[#This Row],[Precio unit]]</f>
        <v>0</v>
      </c>
      <c r="X546" s="129"/>
      <c r="Y546" s="129"/>
      <c r="Z546" s="8" t="str">
        <f>+Tabla3[[#This Row],[Referencia]]&amp;Tabla3[[#This Row],[Desc detalle ext 1]]</f>
        <v xml:space="preserve">*XR 150L                                          NEGRO    </v>
      </c>
      <c r="AA546" s="128" t="e">
        <f>+VLOOKUP(Tabla3[[#This Row],[CODIGO2]],ESTANDAR!$B$3:$C$9,2,FALSE)</f>
        <v>#N/A</v>
      </c>
      <c r="AB546" s="128" t="str">
        <f>+MID(Tabla3[[#This Row],['# Viaje]],10,1)</f>
        <v/>
      </c>
    </row>
    <row r="547" spans="1:28" ht="15" hidden="1" customHeight="1">
      <c r="A547" s="173" t="s">
        <v>1552</v>
      </c>
      <c r="B547" s="174">
        <v>42948</v>
      </c>
      <c r="C547" s="173" t="s">
        <v>1231</v>
      </c>
      <c r="D547" s="173" t="s">
        <v>1478</v>
      </c>
      <c r="E547" s="173" t="s">
        <v>1479</v>
      </c>
      <c r="F547" s="173">
        <v>3</v>
      </c>
      <c r="G547" s="173" t="s">
        <v>59</v>
      </c>
      <c r="H547" s="173">
        <v>3</v>
      </c>
      <c r="I547" s="173" t="s">
        <v>1553</v>
      </c>
      <c r="J547" s="173" t="s">
        <v>1425</v>
      </c>
      <c r="K547" s="173" t="s">
        <v>1426</v>
      </c>
      <c r="L547" s="173"/>
      <c r="M547" s="173" t="s">
        <v>60</v>
      </c>
      <c r="N547" s="173">
        <v>891903377</v>
      </c>
      <c r="O547" s="175">
        <v>7730252</v>
      </c>
      <c r="P547" s="7"/>
      <c r="Q547" s="16">
        <f>+IF(IFERROR(VLOOKUP(Tabla3[[#This Row],[Cliente factura]],Tabla4[[NIT]:[TOTAL CREDITO]],3,FALSE),0)="",0,IFERROR(VLOOKUP(Tabla3[[#This Row],[Cliente factura]],Tabla4[[NIT]:[TOTAL CREDITO]],3,FALSE),0))</f>
        <v>116885711</v>
      </c>
      <c r="R547" s="9">
        <f>+IFERROR(VLOOKUP(Tabla3[[#This Row],[Cliente factura]],Tabla4[[NIT]:[TOTAL CREDITO]],6,FALSE),0)</f>
        <v>0</v>
      </c>
      <c r="S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7" s="10" t="str">
        <f>VLOOKUP(Tabla3[[#This Row],[Razón social cliente factura]]&amp;Tabla3[[#This Row],[Desc. ciudad]],'Estandar de Rutas'!$C$1:$E$553,2,FALSE)</f>
        <v>1.1</v>
      </c>
      <c r="U547" s="130">
        <f>IFERROR(VLOOKUP(Tabla3[[#This Row],[Referencia]]&amp;Tabla3[[#This Row],[Desc detalle ext 1]],Tabla1[[Referencia-Color]:[Disponibilidad]],3,FALSE),0)</f>
        <v>104</v>
      </c>
      <c r="V547" s="13"/>
      <c r="W547" s="17">
        <f>+Tabla3[[#This Row],[Cant. Programada]]*Tabla3[[#This Row],[Precio unit]]</f>
        <v>0</v>
      </c>
      <c r="X547" s="8"/>
      <c r="Y547" s="8"/>
      <c r="Z547" s="8" t="str">
        <f>+Tabla3[[#This Row],[Referencia]]&amp;Tabla3[[#This Row],[Desc detalle ext 1]]</f>
        <v>CB 190 REPSOL                                     NARANJA B</v>
      </c>
      <c r="AA547" s="128" t="e">
        <f>+VLOOKUP(Tabla3[[#This Row],[CODIGO2]],ESTANDAR!$B$3:$C$9,2,FALSE)</f>
        <v>#N/A</v>
      </c>
      <c r="AB547" s="128" t="str">
        <f>+MID(Tabla3[[#This Row],['# Viaje]],10,1)</f>
        <v/>
      </c>
    </row>
    <row r="548" spans="1:28" ht="15" hidden="1" customHeight="1">
      <c r="A548" s="173" t="s">
        <v>1552</v>
      </c>
      <c r="B548" s="174">
        <v>42948</v>
      </c>
      <c r="C548" s="173" t="s">
        <v>1231</v>
      </c>
      <c r="D548" s="173" t="s">
        <v>1478</v>
      </c>
      <c r="E548" s="173" t="s">
        <v>1479</v>
      </c>
      <c r="F548" s="173">
        <v>2</v>
      </c>
      <c r="G548" s="173" t="s">
        <v>59</v>
      </c>
      <c r="H548" s="173">
        <v>2</v>
      </c>
      <c r="I548" s="173" t="s">
        <v>1553</v>
      </c>
      <c r="J548" s="173" t="s">
        <v>354</v>
      </c>
      <c r="K548" s="173" t="s">
        <v>17</v>
      </c>
      <c r="L548" s="173"/>
      <c r="M548" s="173" t="s">
        <v>60</v>
      </c>
      <c r="N548" s="173">
        <v>891903377</v>
      </c>
      <c r="O548" s="175">
        <v>6133613</v>
      </c>
      <c r="P548" s="7"/>
      <c r="Q548" s="16">
        <f>+IF(IFERROR(VLOOKUP(Tabla3[[#This Row],[Cliente factura]],Tabla4[[NIT]:[TOTAL CREDITO]],3,FALSE),0)="",0,IFERROR(VLOOKUP(Tabla3[[#This Row],[Cliente factura]],Tabla4[[NIT]:[TOTAL CREDITO]],3,FALSE),0))</f>
        <v>116885711</v>
      </c>
      <c r="R548" s="9">
        <f>+IFERROR(VLOOKUP(Tabla3[[#This Row],[Cliente factura]],Tabla4[[NIT]:[TOTAL CREDITO]],6,FALSE),0)</f>
        <v>0</v>
      </c>
      <c r="S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8" s="10" t="str">
        <f>VLOOKUP(Tabla3[[#This Row],[Razón social cliente factura]]&amp;Tabla3[[#This Row],[Desc. ciudad]],'Estandar de Rutas'!$C$1:$E$553,2,FALSE)</f>
        <v>1.1</v>
      </c>
      <c r="U548" s="130">
        <f>IFERROR(VLOOKUP(Tabla3[[#This Row],[Referencia]]&amp;Tabla3[[#This Row],[Desc detalle ext 1]],Tabla1[[Referencia-Color]:[Disponibilidad]],3,FALSE),0)</f>
        <v>48</v>
      </c>
      <c r="V548" s="13"/>
      <c r="W548" s="17">
        <f>+Tabla3[[#This Row],[Cant. Programada]]*Tabla3[[#This Row],[Precio unit]]</f>
        <v>0</v>
      </c>
      <c r="X548" s="129"/>
      <c r="Y548" s="129"/>
      <c r="Z548" s="8" t="str">
        <f>+Tabla3[[#This Row],[Referencia]]&amp;Tabla3[[#This Row],[Desc detalle ext 1]]</f>
        <v>CB 160F DLX                                       ROJO SPOR</v>
      </c>
      <c r="AA548" s="128" t="e">
        <f>+VLOOKUP(Tabla3[[#This Row],[CODIGO2]],ESTANDAR!$B$3:$C$9,2,FALSE)</f>
        <v>#N/A</v>
      </c>
      <c r="AB548" s="128" t="str">
        <f>+MID(Tabla3[[#This Row],['# Viaje]],10,1)</f>
        <v/>
      </c>
    </row>
    <row r="549" spans="1:28" ht="15" hidden="1" customHeight="1">
      <c r="A549" s="173" t="s">
        <v>1552</v>
      </c>
      <c r="B549" s="174">
        <v>42948</v>
      </c>
      <c r="C549" s="173" t="s">
        <v>1231</v>
      </c>
      <c r="D549" s="173" t="s">
        <v>1478</v>
      </c>
      <c r="E549" s="173" t="s">
        <v>1479</v>
      </c>
      <c r="F549" s="173">
        <v>15</v>
      </c>
      <c r="G549" s="173" t="s">
        <v>59</v>
      </c>
      <c r="H549" s="173">
        <v>15</v>
      </c>
      <c r="I549" s="173" t="s">
        <v>1553</v>
      </c>
      <c r="J549" s="173" t="s">
        <v>354</v>
      </c>
      <c r="K549" s="173" t="s">
        <v>355</v>
      </c>
      <c r="L549" s="173"/>
      <c r="M549" s="173" t="s">
        <v>60</v>
      </c>
      <c r="N549" s="173">
        <v>891903377</v>
      </c>
      <c r="O549" s="175">
        <v>6133613</v>
      </c>
      <c r="P549" s="7"/>
      <c r="Q549" s="16">
        <f>+IF(IFERROR(VLOOKUP(Tabla3[[#This Row],[Cliente factura]],Tabla4[[NIT]:[TOTAL CREDITO]],3,FALSE),0)="",0,IFERROR(VLOOKUP(Tabla3[[#This Row],[Cliente factura]],Tabla4[[NIT]:[TOTAL CREDITO]],3,FALSE),0))</f>
        <v>116885711</v>
      </c>
      <c r="R549" s="9">
        <f>+IFERROR(VLOOKUP(Tabla3[[#This Row],[Cliente factura]],Tabla4[[NIT]:[TOTAL CREDITO]],6,FALSE),0)</f>
        <v>0</v>
      </c>
      <c r="S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9" s="10" t="str">
        <f>VLOOKUP(Tabla3[[#This Row],[Razón social cliente factura]]&amp;Tabla3[[#This Row],[Desc. ciudad]],'Estandar de Rutas'!$C$1:$E$553,2,FALSE)</f>
        <v>1.1</v>
      </c>
      <c r="U549" s="130">
        <f>IFERROR(VLOOKUP(Tabla3[[#This Row],[Referencia]]&amp;Tabla3[[#This Row],[Desc detalle ext 1]],Tabla1[[Referencia-Color]:[Disponibilidad]],3,FALSE),0)</f>
        <v>0</v>
      </c>
      <c r="V549" s="13"/>
      <c r="W549" s="17">
        <f>+Tabla3[[#This Row],[Cant. Programada]]*Tabla3[[#This Row],[Precio unit]]</f>
        <v>0</v>
      </c>
      <c r="X549" s="8"/>
      <c r="Y549" s="8"/>
      <c r="Z549" s="8" t="str">
        <f>+Tabla3[[#This Row],[Referencia]]&amp;Tabla3[[#This Row],[Desc detalle ext 1]]</f>
        <v>CB 160F DLX                                       NEGRO PER</v>
      </c>
      <c r="AA549" s="128" t="e">
        <f>+VLOOKUP(Tabla3[[#This Row],[CODIGO2]],ESTANDAR!$B$3:$C$9,2,FALSE)</f>
        <v>#N/A</v>
      </c>
      <c r="AB549" s="128" t="str">
        <f>+MID(Tabla3[[#This Row],['# Viaje]],10,1)</f>
        <v/>
      </c>
    </row>
    <row r="550" spans="1:28" ht="15" hidden="1" customHeight="1">
      <c r="A550" s="173" t="s">
        <v>1552</v>
      </c>
      <c r="B550" s="174">
        <v>42948</v>
      </c>
      <c r="C550" s="173" t="s">
        <v>1231</v>
      </c>
      <c r="D550" s="173" t="s">
        <v>1478</v>
      </c>
      <c r="E550" s="173" t="s">
        <v>1479</v>
      </c>
      <c r="F550" s="173">
        <v>9</v>
      </c>
      <c r="G550" s="173" t="s">
        <v>59</v>
      </c>
      <c r="H550" s="173">
        <v>9</v>
      </c>
      <c r="I550" s="173" t="s">
        <v>1553</v>
      </c>
      <c r="J550" s="173" t="s">
        <v>1433</v>
      </c>
      <c r="K550" s="173" t="s">
        <v>1434</v>
      </c>
      <c r="L550" s="173"/>
      <c r="M550" s="173" t="s">
        <v>60</v>
      </c>
      <c r="N550" s="173">
        <v>891903377</v>
      </c>
      <c r="O550" s="175">
        <v>3521008</v>
      </c>
      <c r="P550" s="7"/>
      <c r="Q550" s="16">
        <f>+IF(IFERROR(VLOOKUP(Tabla3[[#This Row],[Cliente factura]],Tabla4[[NIT]:[TOTAL CREDITO]],3,FALSE),0)="",0,IFERROR(VLOOKUP(Tabla3[[#This Row],[Cliente factura]],Tabla4[[NIT]:[TOTAL CREDITO]],3,FALSE),0))</f>
        <v>116885711</v>
      </c>
      <c r="R550" s="9">
        <f>+IFERROR(VLOOKUP(Tabla3[[#This Row],[Cliente factura]],Tabla4[[NIT]:[TOTAL CREDITO]],6,FALSE),0)</f>
        <v>0</v>
      </c>
      <c r="S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0" s="10" t="str">
        <f>VLOOKUP(Tabla3[[#This Row],[Razón social cliente factura]]&amp;Tabla3[[#This Row],[Desc. ciudad]],'Estandar de Rutas'!$C$1:$E$553,2,FALSE)</f>
        <v>1.1</v>
      </c>
      <c r="U550" s="130">
        <f>IFERROR(VLOOKUP(Tabla3[[#This Row],[Referencia]]&amp;Tabla3[[#This Row],[Desc detalle ext 1]],Tabla1[[Referencia-Color]:[Disponibilidad]],3,FALSE),0)</f>
        <v>23</v>
      </c>
      <c r="V550" s="13"/>
      <c r="W550" s="17">
        <f>+Tabla3[[#This Row],[Cant. Programada]]*Tabla3[[#This Row],[Precio unit]]</f>
        <v>0</v>
      </c>
      <c r="X550" s="8"/>
      <c r="Y550" s="8"/>
      <c r="Z550" s="8" t="str">
        <f>+Tabla3[[#This Row],[Referencia]]&amp;Tabla3[[#This Row],[Desc detalle ext 1]]</f>
        <v>DIO  110                                          BLANCO NE</v>
      </c>
      <c r="AA550" s="128" t="e">
        <f>+VLOOKUP(Tabla3[[#This Row],[CODIGO2]],ESTANDAR!$B$3:$C$9,2,FALSE)</f>
        <v>#N/A</v>
      </c>
      <c r="AB550" s="128" t="str">
        <f>+MID(Tabla3[[#This Row],['# Viaje]],10,1)</f>
        <v/>
      </c>
    </row>
    <row r="551" spans="1:28" ht="15" hidden="1" customHeight="1">
      <c r="A551" s="173" t="s">
        <v>1552</v>
      </c>
      <c r="B551" s="174">
        <v>42948</v>
      </c>
      <c r="C551" s="173" t="s">
        <v>1231</v>
      </c>
      <c r="D551" s="173" t="s">
        <v>1478</v>
      </c>
      <c r="E551" s="173" t="s">
        <v>1479</v>
      </c>
      <c r="F551" s="173">
        <v>2</v>
      </c>
      <c r="G551" s="173" t="s">
        <v>59</v>
      </c>
      <c r="H551" s="173">
        <v>2</v>
      </c>
      <c r="I551" s="173" t="s">
        <v>1553</v>
      </c>
      <c r="J551" s="173" t="s">
        <v>1433</v>
      </c>
      <c r="K551" s="173" t="s">
        <v>1452</v>
      </c>
      <c r="L551" s="173"/>
      <c r="M551" s="173" t="s">
        <v>60</v>
      </c>
      <c r="N551" s="173">
        <v>891903377</v>
      </c>
      <c r="O551" s="175">
        <v>3521008</v>
      </c>
      <c r="P551" s="7"/>
      <c r="Q551" s="16">
        <f>+IF(IFERROR(VLOOKUP(Tabla3[[#This Row],[Cliente factura]],Tabla4[[NIT]:[TOTAL CREDITO]],3,FALSE),0)="",0,IFERROR(VLOOKUP(Tabla3[[#This Row],[Cliente factura]],Tabla4[[NIT]:[TOTAL CREDITO]],3,FALSE),0))</f>
        <v>116885711</v>
      </c>
      <c r="R551" s="9">
        <f>+IFERROR(VLOOKUP(Tabla3[[#This Row],[Cliente factura]],Tabla4[[NIT]:[TOTAL CREDITO]],6,FALSE),0)</f>
        <v>0</v>
      </c>
      <c r="S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1" s="10" t="str">
        <f>VLOOKUP(Tabla3[[#This Row],[Razón social cliente factura]]&amp;Tabla3[[#This Row],[Desc. ciudad]],'Estandar de Rutas'!$C$1:$E$553,2,FALSE)</f>
        <v>1.1</v>
      </c>
      <c r="U551" s="130">
        <f>IFERROR(VLOOKUP(Tabla3[[#This Row],[Referencia]]&amp;Tabla3[[#This Row],[Desc detalle ext 1]],Tabla1[[Referencia-Color]:[Disponibilidad]],3,FALSE),0)</f>
        <v>0</v>
      </c>
      <c r="V551" s="13"/>
      <c r="W551" s="17">
        <f>+Tabla3[[#This Row],[Cant. Programada]]*Tabla3[[#This Row],[Precio unit]]</f>
        <v>0</v>
      </c>
      <c r="X551" s="8"/>
      <c r="Y551" s="8"/>
      <c r="Z551" s="8" t="str">
        <f>+Tabla3[[#This Row],[Referencia]]&amp;Tabla3[[#This Row],[Desc detalle ext 1]]</f>
        <v xml:space="preserve">DIO  110                                          AZUL     </v>
      </c>
      <c r="AA551" s="128" t="e">
        <f>+VLOOKUP(Tabla3[[#This Row],[CODIGO2]],ESTANDAR!$B$3:$C$9,2,FALSE)</f>
        <v>#N/A</v>
      </c>
      <c r="AB551" s="128" t="str">
        <f>+MID(Tabla3[[#This Row],['# Viaje]],10,1)</f>
        <v/>
      </c>
    </row>
    <row r="552" spans="1:28" ht="15" hidden="1" customHeight="1">
      <c r="A552" s="173" t="s">
        <v>1552</v>
      </c>
      <c r="B552" s="174">
        <v>42948</v>
      </c>
      <c r="C552" s="173" t="s">
        <v>1231</v>
      </c>
      <c r="D552" s="173" t="s">
        <v>1478</v>
      </c>
      <c r="E552" s="173" t="s">
        <v>1479</v>
      </c>
      <c r="F552" s="173">
        <v>7</v>
      </c>
      <c r="G552" s="173" t="s">
        <v>59</v>
      </c>
      <c r="H552" s="173">
        <v>7</v>
      </c>
      <c r="I552" s="173" t="s">
        <v>1553</v>
      </c>
      <c r="J552" s="173" t="s">
        <v>1428</v>
      </c>
      <c r="K552" s="173" t="s">
        <v>32</v>
      </c>
      <c r="L552" s="173"/>
      <c r="M552" s="173" t="s">
        <v>60</v>
      </c>
      <c r="N552" s="173">
        <v>891903377</v>
      </c>
      <c r="O552" s="175">
        <v>3067227</v>
      </c>
      <c r="P552" s="7"/>
      <c r="Q552" s="16">
        <f>+IF(IFERROR(VLOOKUP(Tabla3[[#This Row],[Cliente factura]],Tabla4[[NIT]:[TOTAL CREDITO]],3,FALSE),0)="",0,IFERROR(VLOOKUP(Tabla3[[#This Row],[Cliente factura]],Tabla4[[NIT]:[TOTAL CREDITO]],3,FALSE),0))</f>
        <v>116885711</v>
      </c>
      <c r="R552" s="9">
        <f>+IFERROR(VLOOKUP(Tabla3[[#This Row],[Cliente factura]],Tabla4[[NIT]:[TOTAL CREDITO]],6,FALSE),0)</f>
        <v>0</v>
      </c>
      <c r="S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2" s="10" t="str">
        <f>VLOOKUP(Tabla3[[#This Row],[Razón social cliente factura]]&amp;Tabla3[[#This Row],[Desc. ciudad]],'Estandar de Rutas'!$C$1:$E$553,2,FALSE)</f>
        <v>1.1</v>
      </c>
      <c r="U552" s="130">
        <f>IFERROR(VLOOKUP(Tabla3[[#This Row],[Referencia]]&amp;Tabla3[[#This Row],[Desc detalle ext 1]],Tabla1[[Referencia-Color]:[Disponibilidad]],3,FALSE),0)</f>
        <v>0</v>
      </c>
      <c r="V552" s="13"/>
      <c r="W552" s="17">
        <f>+Tabla3[[#This Row],[Cant. Programada]]*Tabla3[[#This Row],[Precio unit]]</f>
        <v>0</v>
      </c>
      <c r="X552" s="8"/>
      <c r="Y552" s="8"/>
      <c r="Z552" s="8" t="str">
        <f>+Tabla3[[#This Row],[Referencia]]&amp;Tabla3[[#This Row],[Desc detalle ext 1]]</f>
        <v>DREAM  NEO                                        NEGRO ROJ</v>
      </c>
      <c r="AA552" s="128" t="e">
        <f>+VLOOKUP(Tabla3[[#This Row],[CODIGO2]],ESTANDAR!$B$3:$C$9,2,FALSE)</f>
        <v>#N/A</v>
      </c>
      <c r="AB552" s="128" t="str">
        <f>+MID(Tabla3[[#This Row],['# Viaje]],10,1)</f>
        <v/>
      </c>
    </row>
    <row r="553" spans="1:28" ht="15" hidden="1" customHeight="1">
      <c r="A553" s="173" t="s">
        <v>1552</v>
      </c>
      <c r="B553" s="174">
        <v>42948</v>
      </c>
      <c r="C553" s="173" t="s">
        <v>1231</v>
      </c>
      <c r="D553" s="173" t="s">
        <v>1478</v>
      </c>
      <c r="E553" s="173" t="s">
        <v>1479</v>
      </c>
      <c r="F553" s="173">
        <v>10</v>
      </c>
      <c r="G553" s="173" t="s">
        <v>59</v>
      </c>
      <c r="H553" s="173">
        <v>10</v>
      </c>
      <c r="I553" s="173" t="s">
        <v>1553</v>
      </c>
      <c r="J553" s="173" t="s">
        <v>1428</v>
      </c>
      <c r="K553" s="173" t="s">
        <v>1429</v>
      </c>
      <c r="L553" s="173"/>
      <c r="M553" s="173" t="s">
        <v>60</v>
      </c>
      <c r="N553" s="173">
        <v>891903377</v>
      </c>
      <c r="O553" s="175">
        <v>3067227</v>
      </c>
      <c r="P553" s="7"/>
      <c r="Q553" s="16">
        <f>+IF(IFERROR(VLOOKUP(Tabla3[[#This Row],[Cliente factura]],Tabla4[[NIT]:[TOTAL CREDITO]],3,FALSE),0)="",0,IFERROR(VLOOKUP(Tabla3[[#This Row],[Cliente factura]],Tabla4[[NIT]:[TOTAL CREDITO]],3,FALSE),0))</f>
        <v>116885711</v>
      </c>
      <c r="R553" s="9">
        <f>+IFERROR(VLOOKUP(Tabla3[[#This Row],[Cliente factura]],Tabla4[[NIT]:[TOTAL CREDITO]],6,FALSE),0)</f>
        <v>0</v>
      </c>
      <c r="S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3" s="10" t="str">
        <f>VLOOKUP(Tabla3[[#This Row],[Razón social cliente factura]]&amp;Tabla3[[#This Row],[Desc. ciudad]],'Estandar de Rutas'!$C$1:$E$553,2,FALSE)</f>
        <v>1.1</v>
      </c>
      <c r="U553" s="130">
        <f>IFERROR(VLOOKUP(Tabla3[[#This Row],[Referencia]]&amp;Tabla3[[#This Row],[Desc detalle ext 1]],Tabla1[[Referencia-Color]:[Disponibilidad]],3,FALSE),0)</f>
        <v>0</v>
      </c>
      <c r="V553" s="13"/>
      <c r="W553" s="17">
        <f>+Tabla3[[#This Row],[Cant. Programada]]*Tabla3[[#This Row],[Precio unit]]</f>
        <v>0</v>
      </c>
      <c r="X553" s="8"/>
      <c r="Y553" s="8"/>
      <c r="Z553" s="8" t="str">
        <f>+Tabla3[[#This Row],[Referencia]]&amp;Tabla3[[#This Row],[Desc detalle ext 1]]</f>
        <v>DREAM  NEO                                        NEGRO AZU</v>
      </c>
      <c r="AA553" s="128" t="e">
        <f>+VLOOKUP(Tabla3[[#This Row],[CODIGO2]],ESTANDAR!$B$3:$C$9,2,FALSE)</f>
        <v>#N/A</v>
      </c>
      <c r="AB553" s="128" t="str">
        <f>+MID(Tabla3[[#This Row],['# Viaje]],10,1)</f>
        <v/>
      </c>
    </row>
    <row r="554" spans="1:28" ht="15" hidden="1" customHeight="1">
      <c r="A554" s="173" t="s">
        <v>1552</v>
      </c>
      <c r="B554" s="174">
        <v>42948</v>
      </c>
      <c r="C554" s="173" t="s">
        <v>1231</v>
      </c>
      <c r="D554" s="173" t="s">
        <v>1478</v>
      </c>
      <c r="E554" s="173" t="s">
        <v>1479</v>
      </c>
      <c r="F554" s="173">
        <v>2</v>
      </c>
      <c r="G554" s="173" t="s">
        <v>59</v>
      </c>
      <c r="H554" s="173">
        <v>2</v>
      </c>
      <c r="I554" s="173" t="s">
        <v>1553</v>
      </c>
      <c r="J554" s="173" t="s">
        <v>1430</v>
      </c>
      <c r="K554" s="173" t="s">
        <v>1431</v>
      </c>
      <c r="L554" s="173"/>
      <c r="M554" s="173" t="s">
        <v>60</v>
      </c>
      <c r="N554" s="173">
        <v>891903377</v>
      </c>
      <c r="O554" s="175">
        <v>3941176</v>
      </c>
      <c r="P554" s="7"/>
      <c r="Q554" s="16">
        <f>+IF(IFERROR(VLOOKUP(Tabla3[[#This Row],[Cliente factura]],Tabla4[[NIT]:[TOTAL CREDITO]],3,FALSE),0)="",0,IFERROR(VLOOKUP(Tabla3[[#This Row],[Cliente factura]],Tabla4[[NIT]:[TOTAL CREDITO]],3,FALSE),0))</f>
        <v>116885711</v>
      </c>
      <c r="R554" s="9">
        <f>+IFERROR(VLOOKUP(Tabla3[[#This Row],[Cliente factura]],Tabla4[[NIT]:[TOTAL CREDITO]],6,FALSE),0)</f>
        <v>0</v>
      </c>
      <c r="S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4" s="10" t="str">
        <f>VLOOKUP(Tabla3[[#This Row],[Razón social cliente factura]]&amp;Tabla3[[#This Row],[Desc. ciudad]],'Estandar de Rutas'!$C$1:$E$553,2,FALSE)</f>
        <v>1.1</v>
      </c>
      <c r="U554" s="130">
        <f>IFERROR(VLOOKUP(Tabla3[[#This Row],[Referencia]]&amp;Tabla3[[#This Row],[Desc detalle ext 1]],Tabla1[[Referencia-Color]:[Disponibilidad]],3,FALSE),0)</f>
        <v>0</v>
      </c>
      <c r="V554" s="13"/>
      <c r="W554" s="17">
        <f>+Tabla3[[#This Row],[Cant. Programada]]*Tabla3[[#This Row],[Precio unit]]</f>
        <v>0</v>
      </c>
      <c r="X554" s="8"/>
      <c r="Y554" s="8"/>
      <c r="Z554" s="8" t="str">
        <f>+Tabla3[[#This Row],[Referencia]]&amp;Tabla3[[#This Row],[Desc detalle ext 1]]</f>
        <v xml:space="preserve">WAVE 110S                                         ROJO     </v>
      </c>
      <c r="AA554" s="128" t="e">
        <f>+VLOOKUP(Tabla3[[#This Row],[CODIGO2]],ESTANDAR!$B$3:$C$9,2,FALSE)</f>
        <v>#N/A</v>
      </c>
      <c r="AB554" s="128" t="str">
        <f>+MID(Tabla3[[#This Row],['# Viaje]],10,1)</f>
        <v/>
      </c>
    </row>
    <row r="555" spans="1:28" ht="15" hidden="1" customHeight="1">
      <c r="A555" s="173" t="s">
        <v>1552</v>
      </c>
      <c r="B555" s="174">
        <v>42948</v>
      </c>
      <c r="C555" s="173" t="s">
        <v>1231</v>
      </c>
      <c r="D555" s="173" t="s">
        <v>1478</v>
      </c>
      <c r="E555" s="173" t="s">
        <v>1479</v>
      </c>
      <c r="F555" s="173">
        <v>7</v>
      </c>
      <c r="G555" s="173" t="s">
        <v>59</v>
      </c>
      <c r="H555" s="173">
        <v>7</v>
      </c>
      <c r="I555" s="173" t="s">
        <v>1553</v>
      </c>
      <c r="J555" s="173" t="s">
        <v>1430</v>
      </c>
      <c r="K555" s="173" t="s">
        <v>16</v>
      </c>
      <c r="L555" s="173"/>
      <c r="M555" s="173" t="s">
        <v>60</v>
      </c>
      <c r="N555" s="173">
        <v>891903377</v>
      </c>
      <c r="O555" s="175">
        <v>3941176</v>
      </c>
      <c r="P555" s="7"/>
      <c r="Q555" s="16">
        <f>+IF(IFERROR(VLOOKUP(Tabla3[[#This Row],[Cliente factura]],Tabla4[[NIT]:[TOTAL CREDITO]],3,FALSE),0)="",0,IFERROR(VLOOKUP(Tabla3[[#This Row],[Cliente factura]],Tabla4[[NIT]:[TOTAL CREDITO]],3,FALSE),0))</f>
        <v>116885711</v>
      </c>
      <c r="R555" s="9">
        <f>+IFERROR(VLOOKUP(Tabla3[[#This Row],[Cliente factura]],Tabla4[[NIT]:[TOTAL CREDITO]],6,FALSE),0)</f>
        <v>0</v>
      </c>
      <c r="S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5" s="10" t="str">
        <f>VLOOKUP(Tabla3[[#This Row],[Razón social cliente factura]]&amp;Tabla3[[#This Row],[Desc. ciudad]],'Estandar de Rutas'!$C$1:$E$553,2,FALSE)</f>
        <v>1.1</v>
      </c>
      <c r="U555" s="130">
        <f>IFERROR(VLOOKUP(Tabla3[[#This Row],[Referencia]]&amp;Tabla3[[#This Row],[Desc detalle ext 1]],Tabla1[[Referencia-Color]:[Disponibilidad]],3,FALSE),0)</f>
        <v>0</v>
      </c>
      <c r="V555" s="13"/>
      <c r="W555" s="17">
        <f>+Tabla3[[#This Row],[Cant. Programada]]*Tabla3[[#This Row],[Precio unit]]</f>
        <v>0</v>
      </c>
      <c r="X555" s="8"/>
      <c r="Y555" s="8"/>
      <c r="Z555" s="8" t="str">
        <f>+Tabla3[[#This Row],[Referencia]]&amp;Tabla3[[#This Row],[Desc detalle ext 1]]</f>
        <v xml:space="preserve">WAVE 110S                                         NEGRO    </v>
      </c>
      <c r="AA555" s="128" t="e">
        <f>+VLOOKUP(Tabla3[[#This Row],[CODIGO2]],ESTANDAR!$B$3:$C$9,2,FALSE)</f>
        <v>#N/A</v>
      </c>
      <c r="AB555" s="128" t="str">
        <f>+MID(Tabla3[[#This Row],['# Viaje]],10,1)</f>
        <v/>
      </c>
    </row>
    <row r="556" spans="1:28" ht="15" hidden="1" customHeight="1">
      <c r="A556" s="173" t="s">
        <v>1552</v>
      </c>
      <c r="B556" s="174">
        <v>42948</v>
      </c>
      <c r="C556" s="173" t="s">
        <v>1231</v>
      </c>
      <c r="D556" s="173" t="s">
        <v>1478</v>
      </c>
      <c r="E556" s="173" t="s">
        <v>1479</v>
      </c>
      <c r="F556" s="173">
        <v>5</v>
      </c>
      <c r="G556" s="173" t="s">
        <v>59</v>
      </c>
      <c r="H556" s="173">
        <v>5</v>
      </c>
      <c r="I556" s="173" t="s">
        <v>1553</v>
      </c>
      <c r="J556" s="173" t="s">
        <v>1234</v>
      </c>
      <c r="K556" s="173" t="s">
        <v>17</v>
      </c>
      <c r="L556" s="173"/>
      <c r="M556" s="173" t="s">
        <v>60</v>
      </c>
      <c r="N556" s="173">
        <v>891903377</v>
      </c>
      <c r="O556" s="175">
        <v>5453782</v>
      </c>
      <c r="P556" s="7"/>
      <c r="Q556" s="16">
        <f>+IF(IFERROR(VLOOKUP(Tabla3[[#This Row],[Cliente factura]],Tabla4[[NIT]:[TOTAL CREDITO]],3,FALSE),0)="",0,IFERROR(VLOOKUP(Tabla3[[#This Row],[Cliente factura]],Tabla4[[NIT]:[TOTAL CREDITO]],3,FALSE),0))</f>
        <v>116885711</v>
      </c>
      <c r="R556" s="9">
        <f>+IFERROR(VLOOKUP(Tabla3[[#This Row],[Cliente factura]],Tabla4[[NIT]:[TOTAL CREDITO]],6,FALSE),0)</f>
        <v>0</v>
      </c>
      <c r="S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6" s="10" t="str">
        <f>VLOOKUP(Tabla3[[#This Row],[Razón social cliente factura]]&amp;Tabla3[[#This Row],[Desc. ciudad]],'Estandar de Rutas'!$C$1:$E$553,2,FALSE)</f>
        <v>1.1</v>
      </c>
      <c r="U556" s="130">
        <f>IFERROR(VLOOKUP(Tabla3[[#This Row],[Referencia]]&amp;Tabla3[[#This Row],[Desc detalle ext 1]],Tabla1[[Referencia-Color]:[Disponibilidad]],3,FALSE),0)</f>
        <v>0</v>
      </c>
      <c r="V556" s="13"/>
      <c r="W556" s="17">
        <f>+Tabla3[[#This Row],[Cant. Programada]]*Tabla3[[#This Row],[Precio unit]]</f>
        <v>0</v>
      </c>
      <c r="X556" s="8"/>
      <c r="Y556" s="8"/>
      <c r="Z556" s="8" t="str">
        <f>+Tabla3[[#This Row],[Referencia]]&amp;Tabla3[[#This Row],[Desc detalle ext 1]]</f>
        <v>CB 160F STD                                       ROJO SPOR</v>
      </c>
      <c r="AA556" s="128" t="e">
        <f>+VLOOKUP(Tabla3[[#This Row],[CODIGO2]],ESTANDAR!$B$3:$C$9,2,FALSE)</f>
        <v>#N/A</v>
      </c>
      <c r="AB556" s="128" t="str">
        <f>+MID(Tabla3[[#This Row],['# Viaje]],10,1)</f>
        <v/>
      </c>
    </row>
    <row r="557" spans="1:28" ht="15" hidden="1" customHeight="1">
      <c r="A557" s="173" t="s">
        <v>1552</v>
      </c>
      <c r="B557" s="174">
        <v>42948</v>
      </c>
      <c r="C557" s="173" t="s">
        <v>1231</v>
      </c>
      <c r="D557" s="173" t="s">
        <v>1478</v>
      </c>
      <c r="E557" s="173" t="s">
        <v>1479</v>
      </c>
      <c r="F557" s="173">
        <v>13</v>
      </c>
      <c r="G557" s="173" t="s">
        <v>59</v>
      </c>
      <c r="H557" s="173">
        <v>13</v>
      </c>
      <c r="I557" s="173" t="s">
        <v>1553</v>
      </c>
      <c r="J557" s="173" t="s">
        <v>1234</v>
      </c>
      <c r="K557" s="173" t="s">
        <v>355</v>
      </c>
      <c r="L557" s="173"/>
      <c r="M557" s="173" t="s">
        <v>60</v>
      </c>
      <c r="N557" s="173">
        <v>891903377</v>
      </c>
      <c r="O557" s="175">
        <v>5453782</v>
      </c>
      <c r="P557" s="7"/>
      <c r="Q557" s="16">
        <f>+IF(IFERROR(VLOOKUP(Tabla3[[#This Row],[Cliente factura]],Tabla4[[NIT]:[TOTAL CREDITO]],3,FALSE),0)="",0,IFERROR(VLOOKUP(Tabla3[[#This Row],[Cliente factura]],Tabla4[[NIT]:[TOTAL CREDITO]],3,FALSE),0))</f>
        <v>116885711</v>
      </c>
      <c r="R557" s="9">
        <f>+IFERROR(VLOOKUP(Tabla3[[#This Row],[Cliente factura]],Tabla4[[NIT]:[TOTAL CREDITO]],6,FALSE),0)</f>
        <v>0</v>
      </c>
      <c r="S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7" s="10" t="str">
        <f>VLOOKUP(Tabla3[[#This Row],[Razón social cliente factura]]&amp;Tabla3[[#This Row],[Desc. ciudad]],'Estandar de Rutas'!$C$1:$E$553,2,FALSE)</f>
        <v>1.1</v>
      </c>
      <c r="U557" s="130">
        <f>IFERROR(VLOOKUP(Tabla3[[#This Row],[Referencia]]&amp;Tabla3[[#This Row],[Desc detalle ext 1]],Tabla1[[Referencia-Color]:[Disponibilidad]],3,FALSE),0)</f>
        <v>0</v>
      </c>
      <c r="V557" s="13"/>
      <c r="W557" s="17">
        <f>+Tabla3[[#This Row],[Cant. Programada]]*Tabla3[[#This Row],[Precio unit]]</f>
        <v>0</v>
      </c>
      <c r="X557" s="129"/>
      <c r="Y557" s="129"/>
      <c r="Z557" s="8" t="str">
        <f>+Tabla3[[#This Row],[Referencia]]&amp;Tabla3[[#This Row],[Desc detalle ext 1]]</f>
        <v>CB 160F STD                                       NEGRO PER</v>
      </c>
      <c r="AA557" s="128" t="e">
        <f>+VLOOKUP(Tabla3[[#This Row],[CODIGO2]],ESTANDAR!$B$3:$C$9,2,FALSE)</f>
        <v>#N/A</v>
      </c>
      <c r="AB557" s="128" t="str">
        <f>+MID(Tabla3[[#This Row],['# Viaje]],10,1)</f>
        <v/>
      </c>
    </row>
    <row r="558" spans="1:28" ht="15" hidden="1" customHeight="1">
      <c r="A558" s="173" t="s">
        <v>1552</v>
      </c>
      <c r="B558" s="174">
        <v>42948</v>
      </c>
      <c r="C558" s="173" t="s">
        <v>1231</v>
      </c>
      <c r="D558" s="173" t="s">
        <v>1478</v>
      </c>
      <c r="E558" s="173" t="s">
        <v>1479</v>
      </c>
      <c r="F558" s="173">
        <v>5</v>
      </c>
      <c r="G558" s="173" t="s">
        <v>59</v>
      </c>
      <c r="H558" s="173">
        <v>5</v>
      </c>
      <c r="I558" s="173" t="s">
        <v>1553</v>
      </c>
      <c r="J558" s="173" t="s">
        <v>1451</v>
      </c>
      <c r="K558" s="173" t="s">
        <v>1452</v>
      </c>
      <c r="L558" s="173"/>
      <c r="M558" s="173" t="s">
        <v>60</v>
      </c>
      <c r="N558" s="173">
        <v>891903377</v>
      </c>
      <c r="O558" s="175">
        <v>3696639</v>
      </c>
      <c r="P558" s="7"/>
      <c r="Q558" s="16">
        <f>+IF(IFERROR(VLOOKUP(Tabla3[[#This Row],[Cliente factura]],Tabla4[[NIT]:[TOTAL CREDITO]],3,FALSE),0)="",0,IFERROR(VLOOKUP(Tabla3[[#This Row],[Cliente factura]],Tabla4[[NIT]:[TOTAL CREDITO]],3,FALSE),0))</f>
        <v>116885711</v>
      </c>
      <c r="R558" s="9">
        <f>+IFERROR(VLOOKUP(Tabla3[[#This Row],[Cliente factura]],Tabla4[[NIT]:[TOTAL CREDITO]],6,FALSE),0)</f>
        <v>0</v>
      </c>
      <c r="S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8" s="10" t="str">
        <f>VLOOKUP(Tabla3[[#This Row],[Razón social cliente factura]]&amp;Tabla3[[#This Row],[Desc. ciudad]],'Estandar de Rutas'!$C$1:$E$553,2,FALSE)</f>
        <v>1.1</v>
      </c>
      <c r="U558" s="130">
        <f>IFERROR(VLOOKUP(Tabla3[[#This Row],[Referencia]]&amp;Tabla3[[#This Row],[Desc detalle ext 1]],Tabla1[[Referencia-Color]:[Disponibilidad]],3,FALSE),0)</f>
        <v>21</v>
      </c>
      <c r="V558" s="13"/>
      <c r="W558" s="17">
        <f>+Tabla3[[#This Row],[Cant. Programada]]*Tabla3[[#This Row],[Precio unit]]</f>
        <v>0</v>
      </c>
      <c r="X558" s="129"/>
      <c r="Y558" s="129"/>
      <c r="Z558" s="8" t="str">
        <f>+Tabla3[[#This Row],[Referencia]]&amp;Tabla3[[#This Row],[Desc detalle ext 1]]</f>
        <v xml:space="preserve">CB 110 DLX                                        AZUL     </v>
      </c>
      <c r="AA558" s="128" t="e">
        <f>+VLOOKUP(Tabla3[[#This Row],[CODIGO2]],ESTANDAR!$B$3:$C$9,2,FALSE)</f>
        <v>#N/A</v>
      </c>
      <c r="AB558" s="128" t="str">
        <f>+MID(Tabla3[[#This Row],['# Viaje]],10,1)</f>
        <v/>
      </c>
    </row>
    <row r="559" spans="1:28" ht="15" hidden="1" customHeight="1">
      <c r="A559" s="173" t="s">
        <v>1552</v>
      </c>
      <c r="B559" s="174">
        <v>42948</v>
      </c>
      <c r="C559" s="173" t="s">
        <v>1231</v>
      </c>
      <c r="D559" s="173" t="s">
        <v>1478</v>
      </c>
      <c r="E559" s="173" t="s">
        <v>1479</v>
      </c>
      <c r="F559" s="173">
        <v>4</v>
      </c>
      <c r="G559" s="173" t="s">
        <v>59</v>
      </c>
      <c r="H559" s="173">
        <v>4</v>
      </c>
      <c r="I559" s="173" t="s">
        <v>1553</v>
      </c>
      <c r="J559" s="173" t="s">
        <v>1451</v>
      </c>
      <c r="K559" s="173" t="s">
        <v>1449</v>
      </c>
      <c r="L559" s="173"/>
      <c r="M559" s="173" t="s">
        <v>60</v>
      </c>
      <c r="N559" s="173">
        <v>891903377</v>
      </c>
      <c r="O559" s="175">
        <v>3696639</v>
      </c>
      <c r="P559" s="7"/>
      <c r="Q559" s="16">
        <f>+IF(IFERROR(VLOOKUP(Tabla3[[#This Row],[Cliente factura]],Tabla4[[NIT]:[TOTAL CREDITO]],3,FALSE),0)="",0,IFERROR(VLOOKUP(Tabla3[[#This Row],[Cliente factura]],Tabla4[[NIT]:[TOTAL CREDITO]],3,FALSE),0))</f>
        <v>116885711</v>
      </c>
      <c r="R559" s="9">
        <f>+IFERROR(VLOOKUP(Tabla3[[#This Row],[Cliente factura]],Tabla4[[NIT]:[TOTAL CREDITO]],6,FALSE),0)</f>
        <v>0</v>
      </c>
      <c r="S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9" s="10" t="str">
        <f>VLOOKUP(Tabla3[[#This Row],[Razón social cliente factura]]&amp;Tabla3[[#This Row],[Desc. ciudad]],'Estandar de Rutas'!$C$1:$E$553,2,FALSE)</f>
        <v>1.1</v>
      </c>
      <c r="U559" s="130">
        <f>IFERROR(VLOOKUP(Tabla3[[#This Row],[Referencia]]&amp;Tabla3[[#This Row],[Desc detalle ext 1]],Tabla1[[Referencia-Color]:[Disponibilidad]],3,FALSE),0)</f>
        <v>24</v>
      </c>
      <c r="V559" s="13"/>
      <c r="W559" s="17">
        <f>+Tabla3[[#This Row],[Cant. Programada]]*Tabla3[[#This Row],[Precio unit]]</f>
        <v>0</v>
      </c>
      <c r="X559" s="8"/>
      <c r="Y559" s="8"/>
      <c r="Z559" s="8" t="str">
        <f>+Tabla3[[#This Row],[Referencia]]&amp;Tabla3[[#This Row],[Desc detalle ext 1]]</f>
        <v xml:space="preserve">CB 110 DLX                                        GRIS     </v>
      </c>
      <c r="AA559" s="128" t="e">
        <f>+VLOOKUP(Tabla3[[#This Row],[CODIGO2]],ESTANDAR!$B$3:$C$9,2,FALSE)</f>
        <v>#N/A</v>
      </c>
      <c r="AB559" s="128" t="str">
        <f>+MID(Tabla3[[#This Row],['# Viaje]],10,1)</f>
        <v/>
      </c>
    </row>
    <row r="560" spans="1:28" ht="15" hidden="1" customHeight="1">
      <c r="A560" s="173" t="s">
        <v>1552</v>
      </c>
      <c r="B560" s="174">
        <v>42948</v>
      </c>
      <c r="C560" s="173" t="s">
        <v>1231</v>
      </c>
      <c r="D560" s="173" t="s">
        <v>1478</v>
      </c>
      <c r="E560" s="173" t="s">
        <v>1479</v>
      </c>
      <c r="F560" s="173">
        <v>4</v>
      </c>
      <c r="G560" s="173" t="s">
        <v>59</v>
      </c>
      <c r="H560" s="173">
        <v>4</v>
      </c>
      <c r="I560" s="173" t="s">
        <v>1553</v>
      </c>
      <c r="J560" s="173" t="s">
        <v>1451</v>
      </c>
      <c r="K560" s="173" t="s">
        <v>16</v>
      </c>
      <c r="L560" s="173"/>
      <c r="M560" s="173" t="s">
        <v>60</v>
      </c>
      <c r="N560" s="173">
        <v>891903377</v>
      </c>
      <c r="O560" s="175">
        <v>3696639</v>
      </c>
      <c r="P560" s="7"/>
      <c r="Q560" s="16">
        <f>+IF(IFERROR(VLOOKUP(Tabla3[[#This Row],[Cliente factura]],Tabla4[[NIT]:[TOTAL CREDITO]],3,FALSE),0)="",0,IFERROR(VLOOKUP(Tabla3[[#This Row],[Cliente factura]],Tabla4[[NIT]:[TOTAL CREDITO]],3,FALSE),0))</f>
        <v>116885711</v>
      </c>
      <c r="R560" s="9">
        <f>+IFERROR(VLOOKUP(Tabla3[[#This Row],[Cliente factura]],Tabla4[[NIT]:[TOTAL CREDITO]],6,FALSE),0)</f>
        <v>0</v>
      </c>
      <c r="S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0" s="10" t="str">
        <f>VLOOKUP(Tabla3[[#This Row],[Razón social cliente factura]]&amp;Tabla3[[#This Row],[Desc. ciudad]],'Estandar de Rutas'!$C$1:$E$553,2,FALSE)</f>
        <v>1.1</v>
      </c>
      <c r="U560" s="130">
        <f>IFERROR(VLOOKUP(Tabla3[[#This Row],[Referencia]]&amp;Tabla3[[#This Row],[Desc detalle ext 1]],Tabla1[[Referencia-Color]:[Disponibilidad]],3,FALSE),0)</f>
        <v>3</v>
      </c>
      <c r="V560" s="13"/>
      <c r="W560" s="17">
        <f>+Tabla3[[#This Row],[Cant. Programada]]*Tabla3[[#This Row],[Precio unit]]</f>
        <v>0</v>
      </c>
      <c r="X560" s="8"/>
      <c r="Y560" s="8"/>
      <c r="Z560" s="8" t="str">
        <f>+Tabla3[[#This Row],[Referencia]]&amp;Tabla3[[#This Row],[Desc detalle ext 1]]</f>
        <v xml:space="preserve">CB 110 DLX                                        NEGRO    </v>
      </c>
      <c r="AA560" s="128" t="e">
        <f>+VLOOKUP(Tabla3[[#This Row],[CODIGO2]],ESTANDAR!$B$3:$C$9,2,FALSE)</f>
        <v>#N/A</v>
      </c>
      <c r="AB560" s="128" t="str">
        <f>+MID(Tabla3[[#This Row],['# Viaje]],10,1)</f>
        <v/>
      </c>
    </row>
    <row r="561" spans="1:28" ht="15" hidden="1" customHeight="1">
      <c r="A561" s="173" t="s">
        <v>1554</v>
      </c>
      <c r="B561" s="174">
        <v>42948</v>
      </c>
      <c r="C561" s="173" t="s">
        <v>1231</v>
      </c>
      <c r="D561" s="173" t="s">
        <v>1237</v>
      </c>
      <c r="E561" s="173" t="s">
        <v>1479</v>
      </c>
      <c r="F561" s="173">
        <v>2</v>
      </c>
      <c r="G561" s="173" t="s">
        <v>69</v>
      </c>
      <c r="H561" s="173">
        <v>2</v>
      </c>
      <c r="I561" s="173" t="s">
        <v>1555</v>
      </c>
      <c r="J561" s="173" t="s">
        <v>27</v>
      </c>
      <c r="K561" s="173" t="s">
        <v>26</v>
      </c>
      <c r="L561" s="173"/>
      <c r="M561" s="173" t="s">
        <v>213</v>
      </c>
      <c r="N561" s="173">
        <v>18125225</v>
      </c>
      <c r="O561" s="175">
        <v>5789916</v>
      </c>
      <c r="P561" s="7"/>
      <c r="Q561" s="16">
        <f>+IF(IFERROR(VLOOKUP(Tabla3[[#This Row],[Cliente factura]],Tabla4[[NIT]:[TOTAL CREDITO]],3,FALSE),0)="",0,IFERROR(VLOOKUP(Tabla3[[#This Row],[Cliente factura]],Tabla4[[NIT]:[TOTAL CREDITO]],3,FALSE),0))</f>
        <v>264217093</v>
      </c>
      <c r="R561" s="9">
        <f>+IFERROR(VLOOKUP(Tabla3[[#This Row],[Cliente factura]],Tabla4[[NIT]:[TOTAL CREDITO]],6,FALSE),0)</f>
        <v>852000000</v>
      </c>
      <c r="S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1" s="10" t="str">
        <f>VLOOKUP(Tabla3[[#This Row],[Razón social cliente factura]]&amp;Tabla3[[#This Row],[Desc. ciudad]],'Estandar de Rutas'!$C$1:$E$553,2,FALSE)</f>
        <v>5.2.B</v>
      </c>
      <c r="U561" s="130">
        <f>IFERROR(VLOOKUP(Tabla3[[#This Row],[Referencia]]&amp;Tabla3[[#This Row],[Desc detalle ext 1]],Tabla1[[Referencia-Color]:[Disponibilidad]],3,FALSE),0)</f>
        <v>59</v>
      </c>
      <c r="V561" s="13"/>
      <c r="W561" s="17">
        <f>+Tabla3[[#This Row],[Cant. Programada]]*Tabla3[[#This Row],[Precio unit]]</f>
        <v>0</v>
      </c>
      <c r="X561" s="8"/>
      <c r="Y561" s="8"/>
      <c r="Z561" s="8" t="str">
        <f>+Tabla3[[#This Row],[Referencia]]&amp;Tabla3[[#This Row],[Desc detalle ext 1]]</f>
        <v>*XR 150L                                          NEGRO BLA</v>
      </c>
      <c r="AA561" s="128" t="e">
        <f>+VLOOKUP(Tabla3[[#This Row],[CODIGO2]],ESTANDAR!$B$3:$C$9,2,FALSE)</f>
        <v>#N/A</v>
      </c>
      <c r="AB561" s="128" t="str">
        <f>+MID(Tabla3[[#This Row],['# Viaje]],10,1)</f>
        <v/>
      </c>
    </row>
    <row r="562" spans="1:28" ht="15" hidden="1" customHeight="1">
      <c r="A562" s="173" t="s">
        <v>1554</v>
      </c>
      <c r="B562" s="174">
        <v>42948</v>
      </c>
      <c r="C562" s="173" t="s">
        <v>1231</v>
      </c>
      <c r="D562" s="173" t="s">
        <v>1237</v>
      </c>
      <c r="E562" s="173" t="s">
        <v>1479</v>
      </c>
      <c r="F562" s="173">
        <v>1</v>
      </c>
      <c r="G562" s="173" t="s">
        <v>69</v>
      </c>
      <c r="H562" s="173">
        <v>1</v>
      </c>
      <c r="I562" s="173" t="s">
        <v>1555</v>
      </c>
      <c r="J562" s="173" t="s">
        <v>1234</v>
      </c>
      <c r="K562" s="173" t="s">
        <v>17</v>
      </c>
      <c r="L562" s="173"/>
      <c r="M562" s="173" t="s">
        <v>213</v>
      </c>
      <c r="N562" s="173">
        <v>18125225</v>
      </c>
      <c r="O562" s="175">
        <v>5453782</v>
      </c>
      <c r="P562" s="7"/>
      <c r="Q562" s="16">
        <f>+IF(IFERROR(VLOOKUP(Tabla3[[#This Row],[Cliente factura]],Tabla4[[NIT]:[TOTAL CREDITO]],3,FALSE),0)="",0,IFERROR(VLOOKUP(Tabla3[[#This Row],[Cliente factura]],Tabla4[[NIT]:[TOTAL CREDITO]],3,FALSE),0))</f>
        <v>264217093</v>
      </c>
      <c r="R562" s="9">
        <f>+IFERROR(VLOOKUP(Tabla3[[#This Row],[Cliente factura]],Tabla4[[NIT]:[TOTAL CREDITO]],6,FALSE),0)</f>
        <v>852000000</v>
      </c>
      <c r="S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2" s="10" t="str">
        <f>VLOOKUP(Tabla3[[#This Row],[Razón social cliente factura]]&amp;Tabla3[[#This Row],[Desc. ciudad]],'Estandar de Rutas'!$C$1:$E$553,2,FALSE)</f>
        <v>5.2.B</v>
      </c>
      <c r="U562" s="130">
        <f>IFERROR(VLOOKUP(Tabla3[[#This Row],[Referencia]]&amp;Tabla3[[#This Row],[Desc detalle ext 1]],Tabla1[[Referencia-Color]:[Disponibilidad]],3,FALSE),0)</f>
        <v>0</v>
      </c>
      <c r="V562" s="13"/>
      <c r="W562" s="17">
        <f>+Tabla3[[#This Row],[Cant. Programada]]*Tabla3[[#This Row],[Precio unit]]</f>
        <v>0</v>
      </c>
      <c r="X562" s="8"/>
      <c r="Y562" s="8"/>
      <c r="Z562" s="8" t="str">
        <f>+Tabla3[[#This Row],[Referencia]]&amp;Tabla3[[#This Row],[Desc detalle ext 1]]</f>
        <v>CB 160F STD                                       ROJO SPOR</v>
      </c>
      <c r="AA562" s="128" t="e">
        <f>+VLOOKUP(Tabla3[[#This Row],[CODIGO2]],ESTANDAR!$B$3:$C$9,2,FALSE)</f>
        <v>#N/A</v>
      </c>
      <c r="AB562" s="128" t="str">
        <f>+MID(Tabla3[[#This Row],['# Viaje]],10,1)</f>
        <v/>
      </c>
    </row>
    <row r="563" spans="1:28" ht="15" hidden="1" customHeight="1">
      <c r="A563" s="173" t="s">
        <v>1554</v>
      </c>
      <c r="B563" s="174">
        <v>42948</v>
      </c>
      <c r="C563" s="173" t="s">
        <v>1231</v>
      </c>
      <c r="D563" s="173" t="s">
        <v>1237</v>
      </c>
      <c r="E563" s="173" t="s">
        <v>1479</v>
      </c>
      <c r="F563" s="173">
        <v>4</v>
      </c>
      <c r="G563" s="173" t="s">
        <v>69</v>
      </c>
      <c r="H563" s="173">
        <v>4</v>
      </c>
      <c r="I563" s="173" t="s">
        <v>1555</v>
      </c>
      <c r="J563" s="173" t="s">
        <v>1451</v>
      </c>
      <c r="K563" s="173" t="s">
        <v>16</v>
      </c>
      <c r="L563" s="173"/>
      <c r="M563" s="173" t="s">
        <v>213</v>
      </c>
      <c r="N563" s="173">
        <v>18125225</v>
      </c>
      <c r="O563" s="175">
        <v>3696639</v>
      </c>
      <c r="P563" s="7"/>
      <c r="Q563" s="16">
        <f>+IF(IFERROR(VLOOKUP(Tabla3[[#This Row],[Cliente factura]],Tabla4[[NIT]:[TOTAL CREDITO]],3,FALSE),0)="",0,IFERROR(VLOOKUP(Tabla3[[#This Row],[Cliente factura]],Tabla4[[NIT]:[TOTAL CREDITO]],3,FALSE),0))</f>
        <v>264217093</v>
      </c>
      <c r="R563" s="9">
        <f>+IFERROR(VLOOKUP(Tabla3[[#This Row],[Cliente factura]],Tabla4[[NIT]:[TOTAL CREDITO]],6,FALSE),0)</f>
        <v>852000000</v>
      </c>
      <c r="S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3" s="10" t="str">
        <f>VLOOKUP(Tabla3[[#This Row],[Razón social cliente factura]]&amp;Tabla3[[#This Row],[Desc. ciudad]],'Estandar de Rutas'!$C$1:$E$553,2,FALSE)</f>
        <v>5.2.B</v>
      </c>
      <c r="U563" s="130">
        <f>IFERROR(VLOOKUP(Tabla3[[#This Row],[Referencia]]&amp;Tabla3[[#This Row],[Desc detalle ext 1]],Tabla1[[Referencia-Color]:[Disponibilidad]],3,FALSE),0)</f>
        <v>3</v>
      </c>
      <c r="V563" s="13"/>
      <c r="W563" s="17">
        <f>+Tabla3[[#This Row],[Cant. Programada]]*Tabla3[[#This Row],[Precio unit]]</f>
        <v>0</v>
      </c>
      <c r="X563" s="8"/>
      <c r="Y563" s="8"/>
      <c r="Z563" s="8" t="str">
        <f>+Tabla3[[#This Row],[Referencia]]&amp;Tabla3[[#This Row],[Desc detalle ext 1]]</f>
        <v xml:space="preserve">CB 110 DLX                                        NEGRO    </v>
      </c>
      <c r="AA563" s="128" t="e">
        <f>+VLOOKUP(Tabla3[[#This Row],[CODIGO2]],ESTANDAR!$B$3:$C$9,2,FALSE)</f>
        <v>#N/A</v>
      </c>
      <c r="AB563" s="128" t="str">
        <f>+MID(Tabla3[[#This Row],['# Viaje]],10,1)</f>
        <v/>
      </c>
    </row>
    <row r="564" spans="1:28" ht="15" hidden="1" customHeight="1">
      <c r="A564" s="173" t="s">
        <v>1556</v>
      </c>
      <c r="B564" s="174">
        <v>42948</v>
      </c>
      <c r="C564" s="173" t="s">
        <v>1231</v>
      </c>
      <c r="D564" s="173" t="s">
        <v>1237</v>
      </c>
      <c r="E564" s="173" t="s">
        <v>1479</v>
      </c>
      <c r="F564" s="173">
        <v>1</v>
      </c>
      <c r="G564" s="173" t="s">
        <v>69</v>
      </c>
      <c r="H564" s="173">
        <v>1</v>
      </c>
      <c r="I564" s="173" t="s">
        <v>1557</v>
      </c>
      <c r="J564" s="173" t="s">
        <v>27</v>
      </c>
      <c r="K564" s="173" t="s">
        <v>26</v>
      </c>
      <c r="L564" s="173"/>
      <c r="M564" s="173" t="s">
        <v>70</v>
      </c>
      <c r="N564" s="173">
        <v>18125225</v>
      </c>
      <c r="O564" s="175">
        <v>5789916</v>
      </c>
      <c r="P564" s="7"/>
      <c r="Q564" s="16">
        <f>+IF(IFERROR(VLOOKUP(Tabla3[[#This Row],[Cliente factura]],Tabla4[[NIT]:[TOTAL CREDITO]],3,FALSE),0)="",0,IFERROR(VLOOKUP(Tabla3[[#This Row],[Cliente factura]],Tabla4[[NIT]:[TOTAL CREDITO]],3,FALSE),0))</f>
        <v>264217093</v>
      </c>
      <c r="R564" s="9">
        <f>+IFERROR(VLOOKUP(Tabla3[[#This Row],[Cliente factura]],Tabla4[[NIT]:[TOTAL CREDITO]],6,FALSE),0)</f>
        <v>852000000</v>
      </c>
      <c r="S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4" s="10" t="str">
        <f>VLOOKUP(Tabla3[[#This Row],[Razón social cliente factura]]&amp;Tabla3[[#This Row],[Desc. ciudad]],'Estandar de Rutas'!$C$1:$E$553,2,FALSE)</f>
        <v>5.2.A</v>
      </c>
      <c r="U564" s="130">
        <f>IFERROR(VLOOKUP(Tabla3[[#This Row],[Referencia]]&amp;Tabla3[[#This Row],[Desc detalle ext 1]],Tabla1[[Referencia-Color]:[Disponibilidad]],3,FALSE),0)</f>
        <v>59</v>
      </c>
      <c r="V564" s="13"/>
      <c r="W564" s="17">
        <f>+Tabla3[[#This Row],[Cant. Programada]]*Tabla3[[#This Row],[Precio unit]]</f>
        <v>0</v>
      </c>
      <c r="X564" s="8"/>
      <c r="Y564" s="8"/>
      <c r="Z564" s="8" t="str">
        <f>+Tabla3[[#This Row],[Referencia]]&amp;Tabla3[[#This Row],[Desc detalle ext 1]]</f>
        <v>*XR 150L                                          NEGRO BLA</v>
      </c>
      <c r="AA564" s="128" t="e">
        <f>+VLOOKUP(Tabla3[[#This Row],[CODIGO2]],ESTANDAR!$B$3:$C$9,2,FALSE)</f>
        <v>#N/A</v>
      </c>
      <c r="AB564" s="128" t="str">
        <f>+MID(Tabla3[[#This Row],['# Viaje]],10,1)</f>
        <v/>
      </c>
    </row>
    <row r="565" spans="1:28" ht="15" hidden="1" customHeight="1">
      <c r="A565" s="173" t="s">
        <v>1556</v>
      </c>
      <c r="B565" s="174">
        <v>42948</v>
      </c>
      <c r="C565" s="173" t="s">
        <v>1231</v>
      </c>
      <c r="D565" s="173" t="s">
        <v>1237</v>
      </c>
      <c r="E565" s="173" t="s">
        <v>1479</v>
      </c>
      <c r="F565" s="173">
        <v>1</v>
      </c>
      <c r="G565" s="173" t="s">
        <v>69</v>
      </c>
      <c r="H565" s="173">
        <v>1</v>
      </c>
      <c r="I565" s="173" t="s">
        <v>1557</v>
      </c>
      <c r="J565" s="173" t="s">
        <v>1451</v>
      </c>
      <c r="K565" s="173" t="s">
        <v>16</v>
      </c>
      <c r="L565" s="173"/>
      <c r="M565" s="173" t="s">
        <v>70</v>
      </c>
      <c r="N565" s="173">
        <v>18125225</v>
      </c>
      <c r="O565" s="175">
        <v>3696639</v>
      </c>
      <c r="P565" s="7"/>
      <c r="Q565" s="16">
        <f>+IF(IFERROR(VLOOKUP(Tabla3[[#This Row],[Cliente factura]],Tabla4[[NIT]:[TOTAL CREDITO]],3,FALSE),0)="",0,IFERROR(VLOOKUP(Tabla3[[#This Row],[Cliente factura]],Tabla4[[NIT]:[TOTAL CREDITO]],3,FALSE),0))</f>
        <v>264217093</v>
      </c>
      <c r="R565" s="9">
        <f>+IFERROR(VLOOKUP(Tabla3[[#This Row],[Cliente factura]],Tabla4[[NIT]:[TOTAL CREDITO]],6,FALSE),0)</f>
        <v>852000000</v>
      </c>
      <c r="S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5" s="10" t="str">
        <f>VLOOKUP(Tabla3[[#This Row],[Razón social cliente factura]]&amp;Tabla3[[#This Row],[Desc. ciudad]],'Estandar de Rutas'!$C$1:$E$553,2,FALSE)</f>
        <v>5.2.A</v>
      </c>
      <c r="U565" s="130">
        <f>IFERROR(VLOOKUP(Tabla3[[#This Row],[Referencia]]&amp;Tabla3[[#This Row],[Desc detalle ext 1]],Tabla1[[Referencia-Color]:[Disponibilidad]],3,FALSE),0)</f>
        <v>3</v>
      </c>
      <c r="V565" s="13"/>
      <c r="W565" s="17">
        <f>+Tabla3[[#This Row],[Cant. Programada]]*Tabla3[[#This Row],[Precio unit]]</f>
        <v>0</v>
      </c>
      <c r="X565" s="129"/>
      <c r="Y565" s="129"/>
      <c r="Z565" s="8" t="str">
        <f>+Tabla3[[#This Row],[Referencia]]&amp;Tabla3[[#This Row],[Desc detalle ext 1]]</f>
        <v xml:space="preserve">CB 110 DLX                                        NEGRO    </v>
      </c>
      <c r="AA565" s="128" t="e">
        <f>+VLOOKUP(Tabla3[[#This Row],[CODIGO2]],ESTANDAR!$B$3:$C$9,2,FALSE)</f>
        <v>#N/A</v>
      </c>
      <c r="AB565" s="128" t="str">
        <f>+MID(Tabla3[[#This Row],['# Viaje]],10,1)</f>
        <v/>
      </c>
    </row>
    <row r="566" spans="1:28" ht="15" hidden="1" customHeight="1">
      <c r="A566" s="173" t="s">
        <v>1558</v>
      </c>
      <c r="B566" s="174">
        <v>42948</v>
      </c>
      <c r="C566" s="173" t="s">
        <v>1231</v>
      </c>
      <c r="D566" s="173" t="s">
        <v>1478</v>
      </c>
      <c r="E566" s="173" t="s">
        <v>1479</v>
      </c>
      <c r="F566" s="173">
        <v>4</v>
      </c>
      <c r="G566" s="173" t="s">
        <v>59</v>
      </c>
      <c r="H566" s="173">
        <v>4</v>
      </c>
      <c r="I566" s="173" t="s">
        <v>1559</v>
      </c>
      <c r="J566" s="173" t="s">
        <v>27</v>
      </c>
      <c r="K566" s="173" t="s">
        <v>16</v>
      </c>
      <c r="L566" s="173"/>
      <c r="M566" s="173" t="s">
        <v>106</v>
      </c>
      <c r="N566" s="173">
        <v>891903377</v>
      </c>
      <c r="O566" s="175">
        <v>5789916</v>
      </c>
      <c r="P566" s="7"/>
      <c r="Q566" s="16">
        <f>+IF(IFERROR(VLOOKUP(Tabla3[[#This Row],[Cliente factura]],Tabla4[[NIT]:[TOTAL CREDITO]],3,FALSE),0)="",0,IFERROR(VLOOKUP(Tabla3[[#This Row],[Cliente factura]],Tabla4[[NIT]:[TOTAL CREDITO]],3,FALSE),0))</f>
        <v>116885711</v>
      </c>
      <c r="R566" s="9">
        <f>+IFERROR(VLOOKUP(Tabla3[[#This Row],[Cliente factura]],Tabla4[[NIT]:[TOTAL CREDITO]],6,FALSE),0)</f>
        <v>0</v>
      </c>
      <c r="S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6" s="10" t="str">
        <f>VLOOKUP(Tabla3[[#This Row],[Razón social cliente factura]]&amp;Tabla3[[#This Row],[Desc. ciudad]],'Estandar de Rutas'!$C$1:$E$553,2,FALSE)</f>
        <v>2.2</v>
      </c>
      <c r="U566" s="130">
        <f>IFERROR(VLOOKUP(Tabla3[[#This Row],[Referencia]]&amp;Tabla3[[#This Row],[Desc detalle ext 1]],Tabla1[[Referencia-Color]:[Disponibilidad]],3,FALSE),0)</f>
        <v>3</v>
      </c>
      <c r="V566" s="13"/>
      <c r="W566" s="17">
        <f>+Tabla3[[#This Row],[Cant. Programada]]*Tabla3[[#This Row],[Precio unit]]</f>
        <v>0</v>
      </c>
      <c r="X566" s="129"/>
      <c r="Y566" s="129"/>
      <c r="Z566" s="8" t="str">
        <f>+Tabla3[[#This Row],[Referencia]]&amp;Tabla3[[#This Row],[Desc detalle ext 1]]</f>
        <v xml:space="preserve">*XR 150L                                          NEGRO    </v>
      </c>
      <c r="AA566" s="128" t="e">
        <f>+VLOOKUP(Tabla3[[#This Row],[CODIGO2]],ESTANDAR!$B$3:$C$9,2,FALSE)</f>
        <v>#N/A</v>
      </c>
      <c r="AB566" s="128" t="str">
        <f>+MID(Tabla3[[#This Row],['# Viaje]],10,1)</f>
        <v/>
      </c>
    </row>
    <row r="567" spans="1:28" ht="15" hidden="1" customHeight="1">
      <c r="A567" s="173" t="s">
        <v>1558</v>
      </c>
      <c r="B567" s="174">
        <v>42948</v>
      </c>
      <c r="C567" s="173" t="s">
        <v>1231</v>
      </c>
      <c r="D567" s="173" t="s">
        <v>1478</v>
      </c>
      <c r="E567" s="173" t="s">
        <v>1479</v>
      </c>
      <c r="F567" s="173">
        <v>3</v>
      </c>
      <c r="G567" s="173" t="s">
        <v>59</v>
      </c>
      <c r="H567" s="173">
        <v>3</v>
      </c>
      <c r="I567" s="173" t="s">
        <v>1559</v>
      </c>
      <c r="J567" s="173" t="s">
        <v>1234</v>
      </c>
      <c r="K567" s="173" t="s">
        <v>17</v>
      </c>
      <c r="L567" s="173"/>
      <c r="M567" s="173" t="s">
        <v>106</v>
      </c>
      <c r="N567" s="173">
        <v>891903377</v>
      </c>
      <c r="O567" s="175">
        <v>5453782</v>
      </c>
      <c r="P567" s="7"/>
      <c r="Q567" s="16">
        <f>+IF(IFERROR(VLOOKUP(Tabla3[[#This Row],[Cliente factura]],Tabla4[[NIT]:[TOTAL CREDITO]],3,FALSE),0)="",0,IFERROR(VLOOKUP(Tabla3[[#This Row],[Cliente factura]],Tabla4[[NIT]:[TOTAL CREDITO]],3,FALSE),0))</f>
        <v>116885711</v>
      </c>
      <c r="R567" s="9">
        <f>+IFERROR(VLOOKUP(Tabla3[[#This Row],[Cliente factura]],Tabla4[[NIT]:[TOTAL CREDITO]],6,FALSE),0)</f>
        <v>0</v>
      </c>
      <c r="S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7" s="10" t="str">
        <f>VLOOKUP(Tabla3[[#This Row],[Razón social cliente factura]]&amp;Tabla3[[#This Row],[Desc. ciudad]],'Estandar de Rutas'!$C$1:$E$553,2,FALSE)</f>
        <v>2.2</v>
      </c>
      <c r="U567" s="130">
        <f>IFERROR(VLOOKUP(Tabla3[[#This Row],[Referencia]]&amp;Tabla3[[#This Row],[Desc detalle ext 1]],Tabla1[[Referencia-Color]:[Disponibilidad]],3,FALSE),0)</f>
        <v>0</v>
      </c>
      <c r="V567" s="13"/>
      <c r="W567" s="17">
        <f>+Tabla3[[#This Row],[Cant. Programada]]*Tabla3[[#This Row],[Precio unit]]</f>
        <v>0</v>
      </c>
      <c r="X567" s="8"/>
      <c r="Y567" s="8"/>
      <c r="Z567" s="8" t="str">
        <f>+Tabla3[[#This Row],[Referencia]]&amp;Tabla3[[#This Row],[Desc detalle ext 1]]</f>
        <v>CB 160F STD                                       ROJO SPOR</v>
      </c>
      <c r="AA567" s="128" t="e">
        <f>+VLOOKUP(Tabla3[[#This Row],[CODIGO2]],ESTANDAR!$B$3:$C$9,2,FALSE)</f>
        <v>#N/A</v>
      </c>
      <c r="AB567" s="128" t="str">
        <f>+MID(Tabla3[[#This Row],['# Viaje]],10,1)</f>
        <v/>
      </c>
    </row>
    <row r="568" spans="1:28" ht="15" hidden="1" customHeight="1">
      <c r="A568" s="173" t="s">
        <v>1558</v>
      </c>
      <c r="B568" s="174">
        <v>42948</v>
      </c>
      <c r="C568" s="173" t="s">
        <v>1231</v>
      </c>
      <c r="D568" s="173" t="s">
        <v>1478</v>
      </c>
      <c r="E568" s="173" t="s">
        <v>1479</v>
      </c>
      <c r="F568" s="173">
        <v>3</v>
      </c>
      <c r="G568" s="173" t="s">
        <v>59</v>
      </c>
      <c r="H568" s="173">
        <v>3</v>
      </c>
      <c r="I568" s="173" t="s">
        <v>1559</v>
      </c>
      <c r="J568" s="173" t="s">
        <v>1234</v>
      </c>
      <c r="K568" s="173" t="s">
        <v>355</v>
      </c>
      <c r="L568" s="173"/>
      <c r="M568" s="173" t="s">
        <v>106</v>
      </c>
      <c r="N568" s="173">
        <v>891903377</v>
      </c>
      <c r="O568" s="175">
        <v>5453782</v>
      </c>
      <c r="P568" s="7"/>
      <c r="Q568" s="16">
        <f>+IF(IFERROR(VLOOKUP(Tabla3[[#This Row],[Cliente factura]],Tabla4[[NIT]:[TOTAL CREDITO]],3,FALSE),0)="",0,IFERROR(VLOOKUP(Tabla3[[#This Row],[Cliente factura]],Tabla4[[NIT]:[TOTAL CREDITO]],3,FALSE),0))</f>
        <v>116885711</v>
      </c>
      <c r="R568" s="9">
        <f>+IFERROR(VLOOKUP(Tabla3[[#This Row],[Cliente factura]],Tabla4[[NIT]:[TOTAL CREDITO]],6,FALSE),0)</f>
        <v>0</v>
      </c>
      <c r="S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8" s="10" t="str">
        <f>VLOOKUP(Tabla3[[#This Row],[Razón social cliente factura]]&amp;Tabla3[[#This Row],[Desc. ciudad]],'Estandar de Rutas'!$C$1:$E$553,2,FALSE)</f>
        <v>2.2</v>
      </c>
      <c r="U568" s="130">
        <f>IFERROR(VLOOKUP(Tabla3[[#This Row],[Referencia]]&amp;Tabla3[[#This Row],[Desc detalle ext 1]],Tabla1[[Referencia-Color]:[Disponibilidad]],3,FALSE),0)</f>
        <v>0</v>
      </c>
      <c r="V568" s="13"/>
      <c r="W568" s="17">
        <f>+Tabla3[[#This Row],[Cant. Programada]]*Tabla3[[#This Row],[Precio unit]]</f>
        <v>0</v>
      </c>
      <c r="X568" s="8"/>
      <c r="Y568" s="8"/>
      <c r="Z568" s="8" t="str">
        <f>+Tabla3[[#This Row],[Referencia]]&amp;Tabla3[[#This Row],[Desc detalle ext 1]]</f>
        <v>CB 160F STD                                       NEGRO PER</v>
      </c>
      <c r="AA568" s="128" t="e">
        <f>+VLOOKUP(Tabla3[[#This Row],[CODIGO2]],ESTANDAR!$B$3:$C$9,2,FALSE)</f>
        <v>#N/A</v>
      </c>
      <c r="AB568" s="128" t="str">
        <f>+MID(Tabla3[[#This Row],['# Viaje]],10,1)</f>
        <v/>
      </c>
    </row>
    <row r="569" spans="1:28" ht="15" hidden="1" customHeight="1">
      <c r="A569" s="173" t="s">
        <v>1558</v>
      </c>
      <c r="B569" s="174">
        <v>42948</v>
      </c>
      <c r="C569" s="173" t="s">
        <v>1231</v>
      </c>
      <c r="D569" s="173" t="s">
        <v>1478</v>
      </c>
      <c r="E569" s="173" t="s">
        <v>1479</v>
      </c>
      <c r="F569" s="173">
        <v>2</v>
      </c>
      <c r="G569" s="173" t="s">
        <v>59</v>
      </c>
      <c r="H569" s="173">
        <v>2</v>
      </c>
      <c r="I569" s="173" t="s">
        <v>1559</v>
      </c>
      <c r="J569" s="173" t="s">
        <v>1451</v>
      </c>
      <c r="K569" s="173" t="s">
        <v>1452</v>
      </c>
      <c r="L569" s="173"/>
      <c r="M569" s="173" t="s">
        <v>106</v>
      </c>
      <c r="N569" s="173">
        <v>891903377</v>
      </c>
      <c r="O569" s="175">
        <v>3696639</v>
      </c>
      <c r="P569" s="7"/>
      <c r="Q569" s="16">
        <f>+IF(IFERROR(VLOOKUP(Tabla3[[#This Row],[Cliente factura]],Tabla4[[NIT]:[TOTAL CREDITO]],3,FALSE),0)="",0,IFERROR(VLOOKUP(Tabla3[[#This Row],[Cliente factura]],Tabla4[[NIT]:[TOTAL CREDITO]],3,FALSE),0))</f>
        <v>116885711</v>
      </c>
      <c r="R569" s="9">
        <f>+IFERROR(VLOOKUP(Tabla3[[#This Row],[Cliente factura]],Tabla4[[NIT]:[TOTAL CREDITO]],6,FALSE),0)</f>
        <v>0</v>
      </c>
      <c r="S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9" s="10" t="str">
        <f>VLOOKUP(Tabla3[[#This Row],[Razón social cliente factura]]&amp;Tabla3[[#This Row],[Desc. ciudad]],'Estandar de Rutas'!$C$1:$E$553,2,FALSE)</f>
        <v>2.2</v>
      </c>
      <c r="U569" s="130">
        <f>IFERROR(VLOOKUP(Tabla3[[#This Row],[Referencia]]&amp;Tabla3[[#This Row],[Desc detalle ext 1]],Tabla1[[Referencia-Color]:[Disponibilidad]],3,FALSE),0)</f>
        <v>21</v>
      </c>
      <c r="V569" s="13"/>
      <c r="W569" s="17">
        <f>+Tabla3[[#This Row],[Cant. Programada]]*Tabla3[[#This Row],[Precio unit]]</f>
        <v>0</v>
      </c>
      <c r="X569" s="8"/>
      <c r="Y569" s="8"/>
      <c r="Z569" s="8" t="str">
        <f>+Tabla3[[#This Row],[Referencia]]&amp;Tabla3[[#This Row],[Desc detalle ext 1]]</f>
        <v xml:space="preserve">CB 110 DLX                                        AZUL     </v>
      </c>
      <c r="AA569" s="128" t="e">
        <f>+VLOOKUP(Tabla3[[#This Row],[CODIGO2]],ESTANDAR!$B$3:$C$9,2,FALSE)</f>
        <v>#N/A</v>
      </c>
      <c r="AB569" s="128" t="str">
        <f>+MID(Tabla3[[#This Row],['# Viaje]],10,1)</f>
        <v/>
      </c>
    </row>
    <row r="570" spans="1:28" ht="15" hidden="1" customHeight="1">
      <c r="A570" s="173" t="s">
        <v>1558</v>
      </c>
      <c r="B570" s="174">
        <v>42948</v>
      </c>
      <c r="C570" s="173" t="s">
        <v>1231</v>
      </c>
      <c r="D570" s="173" t="s">
        <v>1478</v>
      </c>
      <c r="E570" s="173" t="s">
        <v>1479</v>
      </c>
      <c r="F570" s="173">
        <v>3</v>
      </c>
      <c r="G570" s="173" t="s">
        <v>59</v>
      </c>
      <c r="H570" s="173">
        <v>3</v>
      </c>
      <c r="I570" s="173" t="s">
        <v>1559</v>
      </c>
      <c r="J570" s="173" t="s">
        <v>1451</v>
      </c>
      <c r="K570" s="173" t="s">
        <v>1449</v>
      </c>
      <c r="L570" s="173"/>
      <c r="M570" s="173" t="s">
        <v>106</v>
      </c>
      <c r="N570" s="173">
        <v>891903377</v>
      </c>
      <c r="O570" s="175">
        <v>3696639</v>
      </c>
      <c r="P570" s="7"/>
      <c r="Q570" s="16">
        <f>+IF(IFERROR(VLOOKUP(Tabla3[[#This Row],[Cliente factura]],Tabla4[[NIT]:[TOTAL CREDITO]],3,FALSE),0)="",0,IFERROR(VLOOKUP(Tabla3[[#This Row],[Cliente factura]],Tabla4[[NIT]:[TOTAL CREDITO]],3,FALSE),0))</f>
        <v>116885711</v>
      </c>
      <c r="R570" s="9">
        <f>+IFERROR(VLOOKUP(Tabla3[[#This Row],[Cliente factura]],Tabla4[[NIT]:[TOTAL CREDITO]],6,FALSE),0)</f>
        <v>0</v>
      </c>
      <c r="S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0" s="10" t="str">
        <f>VLOOKUP(Tabla3[[#This Row],[Razón social cliente factura]]&amp;Tabla3[[#This Row],[Desc. ciudad]],'Estandar de Rutas'!$C$1:$E$553,2,FALSE)</f>
        <v>2.2</v>
      </c>
      <c r="U570" s="130">
        <f>IFERROR(VLOOKUP(Tabla3[[#This Row],[Referencia]]&amp;Tabla3[[#This Row],[Desc detalle ext 1]],Tabla1[[Referencia-Color]:[Disponibilidad]],3,FALSE),0)</f>
        <v>24</v>
      </c>
      <c r="V570" s="13"/>
      <c r="W570" s="17">
        <f>+Tabla3[[#This Row],[Cant. Programada]]*Tabla3[[#This Row],[Precio unit]]</f>
        <v>0</v>
      </c>
      <c r="X570" s="8"/>
      <c r="Y570" s="8"/>
      <c r="Z570" s="8" t="str">
        <f>+Tabla3[[#This Row],[Referencia]]&amp;Tabla3[[#This Row],[Desc detalle ext 1]]</f>
        <v xml:space="preserve">CB 110 DLX                                        GRIS     </v>
      </c>
      <c r="AA570" s="128" t="e">
        <f>+VLOOKUP(Tabla3[[#This Row],[CODIGO2]],ESTANDAR!$B$3:$C$9,2,FALSE)</f>
        <v>#N/A</v>
      </c>
      <c r="AB570" s="128" t="str">
        <f>+MID(Tabla3[[#This Row],['# Viaje]],10,1)</f>
        <v/>
      </c>
    </row>
    <row r="571" spans="1:28" ht="15" hidden="1" customHeight="1">
      <c r="A571" s="173" t="s">
        <v>1558</v>
      </c>
      <c r="B571" s="174">
        <v>42948</v>
      </c>
      <c r="C571" s="173" t="s">
        <v>1231</v>
      </c>
      <c r="D571" s="173" t="s">
        <v>1478</v>
      </c>
      <c r="E571" s="173" t="s">
        <v>1479</v>
      </c>
      <c r="F571" s="173">
        <v>10</v>
      </c>
      <c r="G571" s="173" t="s">
        <v>59</v>
      </c>
      <c r="H571" s="173">
        <v>10</v>
      </c>
      <c r="I571" s="173" t="s">
        <v>1559</v>
      </c>
      <c r="J571" s="173" t="s">
        <v>1451</v>
      </c>
      <c r="K571" s="173" t="s">
        <v>16</v>
      </c>
      <c r="L571" s="173"/>
      <c r="M571" s="173" t="s">
        <v>106</v>
      </c>
      <c r="N571" s="173">
        <v>891903377</v>
      </c>
      <c r="O571" s="175">
        <v>3696639</v>
      </c>
      <c r="P571" s="7"/>
      <c r="Q571" s="16">
        <f>+IF(IFERROR(VLOOKUP(Tabla3[[#This Row],[Cliente factura]],Tabla4[[NIT]:[TOTAL CREDITO]],3,FALSE),0)="",0,IFERROR(VLOOKUP(Tabla3[[#This Row],[Cliente factura]],Tabla4[[NIT]:[TOTAL CREDITO]],3,FALSE),0))</f>
        <v>116885711</v>
      </c>
      <c r="R571" s="9">
        <f>+IFERROR(VLOOKUP(Tabla3[[#This Row],[Cliente factura]],Tabla4[[NIT]:[TOTAL CREDITO]],6,FALSE),0)</f>
        <v>0</v>
      </c>
      <c r="S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1" s="10" t="str">
        <f>VLOOKUP(Tabla3[[#This Row],[Razón social cliente factura]]&amp;Tabla3[[#This Row],[Desc. ciudad]],'Estandar de Rutas'!$C$1:$E$553,2,FALSE)</f>
        <v>2.2</v>
      </c>
      <c r="U571" s="130">
        <f>IFERROR(VLOOKUP(Tabla3[[#This Row],[Referencia]]&amp;Tabla3[[#This Row],[Desc detalle ext 1]],Tabla1[[Referencia-Color]:[Disponibilidad]],3,FALSE),0)</f>
        <v>3</v>
      </c>
      <c r="V571" s="13"/>
      <c r="W571" s="17">
        <f>+Tabla3[[#This Row],[Cant. Programada]]*Tabla3[[#This Row],[Precio unit]]</f>
        <v>0</v>
      </c>
      <c r="X571" s="8"/>
      <c r="Y571" s="8"/>
      <c r="Z571" s="8" t="str">
        <f>+Tabla3[[#This Row],[Referencia]]&amp;Tabla3[[#This Row],[Desc detalle ext 1]]</f>
        <v xml:space="preserve">CB 110 DLX                                        NEGRO    </v>
      </c>
      <c r="AA571" s="128" t="e">
        <f>+VLOOKUP(Tabla3[[#This Row],[CODIGO2]],ESTANDAR!$B$3:$C$9,2,FALSE)</f>
        <v>#N/A</v>
      </c>
      <c r="AB571" s="128" t="str">
        <f>+MID(Tabla3[[#This Row],['# Viaje]],10,1)</f>
        <v/>
      </c>
    </row>
    <row r="572" spans="1:28" ht="15" hidden="1" customHeight="1">
      <c r="A572" s="173" t="s">
        <v>1560</v>
      </c>
      <c r="B572" s="174">
        <v>42948</v>
      </c>
      <c r="C572" s="173" t="s">
        <v>1477</v>
      </c>
      <c r="D572" s="173" t="s">
        <v>1487</v>
      </c>
      <c r="E572" s="173" t="s">
        <v>1479</v>
      </c>
      <c r="F572" s="173">
        <v>3</v>
      </c>
      <c r="G572" s="173" t="s">
        <v>146</v>
      </c>
      <c r="H572" s="173">
        <v>3</v>
      </c>
      <c r="I572" s="173" t="s">
        <v>146</v>
      </c>
      <c r="J572" s="173" t="s">
        <v>27</v>
      </c>
      <c r="K572" s="173" t="s">
        <v>32</v>
      </c>
      <c r="L572" s="173"/>
      <c r="M572" s="173" t="s">
        <v>147</v>
      </c>
      <c r="N572" s="173">
        <v>10886574</v>
      </c>
      <c r="O572" s="175">
        <v>5789916</v>
      </c>
      <c r="P572" s="7"/>
      <c r="Q572" s="16">
        <f>+IF(IFERROR(VLOOKUP(Tabla3[[#This Row],[Cliente factura]],Tabla4[[NIT]:[TOTAL CREDITO]],3,FALSE),0)="",0,IFERROR(VLOOKUP(Tabla3[[#This Row],[Cliente factura]],Tabla4[[NIT]:[TOTAL CREDITO]],3,FALSE),0))</f>
        <v>0</v>
      </c>
      <c r="R572" s="9">
        <f>+IFERROR(VLOOKUP(Tabla3[[#This Row],[Cliente factura]],Tabla4[[NIT]:[TOTAL CREDITO]],6,FALSE),0)</f>
        <v>106064657</v>
      </c>
      <c r="S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2" s="10" t="str">
        <f>VLOOKUP(Tabla3[[#This Row],[Razón social cliente factura]]&amp;Tabla3[[#This Row],[Desc. ciudad]],'Estandar de Rutas'!$C$1:$E$553,2,FALSE)</f>
        <v>10.1.A</v>
      </c>
      <c r="U572" s="130">
        <f>IFERROR(VLOOKUP(Tabla3[[#This Row],[Referencia]]&amp;Tabla3[[#This Row],[Desc detalle ext 1]],Tabla1[[Referencia-Color]:[Disponibilidad]],3,FALSE),0)</f>
        <v>7</v>
      </c>
      <c r="V572" s="13"/>
      <c r="W572" s="17">
        <f>+Tabla3[[#This Row],[Cant. Programada]]*Tabla3[[#This Row],[Precio unit]]</f>
        <v>0</v>
      </c>
      <c r="X572" s="8"/>
      <c r="Y572" s="8"/>
      <c r="Z572" s="8" t="str">
        <f>+Tabla3[[#This Row],[Referencia]]&amp;Tabla3[[#This Row],[Desc detalle ext 1]]</f>
        <v>*XR 150L                                          NEGRO ROJ</v>
      </c>
      <c r="AA572" s="128" t="e">
        <f>+VLOOKUP(Tabla3[[#This Row],[CODIGO2]],ESTANDAR!$B$3:$C$9,2,FALSE)</f>
        <v>#N/A</v>
      </c>
      <c r="AB572" s="128" t="str">
        <f>+MID(Tabla3[[#This Row],['# Viaje]],10,1)</f>
        <v/>
      </c>
    </row>
    <row r="573" spans="1:28" ht="15" hidden="1" customHeight="1">
      <c r="A573" s="173" t="s">
        <v>1560</v>
      </c>
      <c r="B573" s="174">
        <v>42948</v>
      </c>
      <c r="C573" s="173" t="s">
        <v>1477</v>
      </c>
      <c r="D573" s="173" t="s">
        <v>1487</v>
      </c>
      <c r="E573" s="173" t="s">
        <v>1479</v>
      </c>
      <c r="F573" s="173">
        <v>1</v>
      </c>
      <c r="G573" s="173" t="s">
        <v>146</v>
      </c>
      <c r="H573" s="173">
        <v>1</v>
      </c>
      <c r="I573" s="173" t="s">
        <v>146</v>
      </c>
      <c r="J573" s="173" t="s">
        <v>27</v>
      </c>
      <c r="K573" s="173" t="s">
        <v>26</v>
      </c>
      <c r="L573" s="173"/>
      <c r="M573" s="173" t="s">
        <v>147</v>
      </c>
      <c r="N573" s="173">
        <v>10886574</v>
      </c>
      <c r="O573" s="175">
        <v>5789916</v>
      </c>
      <c r="P573" s="7"/>
      <c r="Q573" s="16">
        <f>+IF(IFERROR(VLOOKUP(Tabla3[[#This Row],[Cliente factura]],Tabla4[[NIT]:[TOTAL CREDITO]],3,FALSE),0)="",0,IFERROR(VLOOKUP(Tabla3[[#This Row],[Cliente factura]],Tabla4[[NIT]:[TOTAL CREDITO]],3,FALSE),0))</f>
        <v>0</v>
      </c>
      <c r="R573" s="9">
        <f>+IFERROR(VLOOKUP(Tabla3[[#This Row],[Cliente factura]],Tabla4[[NIT]:[TOTAL CREDITO]],6,FALSE),0)</f>
        <v>106064657</v>
      </c>
      <c r="S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3" s="10" t="str">
        <f>VLOOKUP(Tabla3[[#This Row],[Razón social cliente factura]]&amp;Tabla3[[#This Row],[Desc. ciudad]],'Estandar de Rutas'!$C$1:$E$553,2,FALSE)</f>
        <v>10.1.A</v>
      </c>
      <c r="U573" s="130">
        <f>IFERROR(VLOOKUP(Tabla3[[#This Row],[Referencia]]&amp;Tabla3[[#This Row],[Desc detalle ext 1]],Tabla1[[Referencia-Color]:[Disponibilidad]],3,FALSE),0)</f>
        <v>59</v>
      </c>
      <c r="V573" s="13"/>
      <c r="W573" s="17">
        <f>+Tabla3[[#This Row],[Cant. Programada]]*Tabla3[[#This Row],[Precio unit]]</f>
        <v>0</v>
      </c>
      <c r="X573" s="8"/>
      <c r="Y573" s="8"/>
      <c r="Z573" s="8" t="str">
        <f>+Tabla3[[#This Row],[Referencia]]&amp;Tabla3[[#This Row],[Desc detalle ext 1]]</f>
        <v>*XR 150L                                          NEGRO BLA</v>
      </c>
      <c r="AA573" s="128" t="e">
        <f>+VLOOKUP(Tabla3[[#This Row],[CODIGO2]],ESTANDAR!$B$3:$C$9,2,FALSE)</f>
        <v>#N/A</v>
      </c>
      <c r="AB573" s="128" t="str">
        <f>+MID(Tabla3[[#This Row],['# Viaje]],10,1)</f>
        <v/>
      </c>
    </row>
    <row r="574" spans="1:28" ht="15" hidden="1" customHeight="1">
      <c r="A574" s="173" t="s">
        <v>1560</v>
      </c>
      <c r="B574" s="174">
        <v>42948</v>
      </c>
      <c r="C574" s="173" t="s">
        <v>1477</v>
      </c>
      <c r="D574" s="173" t="s">
        <v>1487</v>
      </c>
      <c r="E574" s="173" t="s">
        <v>1479</v>
      </c>
      <c r="F574" s="173">
        <v>3</v>
      </c>
      <c r="G574" s="173" t="s">
        <v>146</v>
      </c>
      <c r="H574" s="173">
        <v>3</v>
      </c>
      <c r="I574" s="173" t="s">
        <v>146</v>
      </c>
      <c r="J574" s="173" t="s">
        <v>27</v>
      </c>
      <c r="K574" s="173" t="s">
        <v>16</v>
      </c>
      <c r="L574" s="173"/>
      <c r="M574" s="173" t="s">
        <v>147</v>
      </c>
      <c r="N574" s="173">
        <v>10886574</v>
      </c>
      <c r="O574" s="175">
        <v>5789916</v>
      </c>
      <c r="P574" s="7"/>
      <c r="Q574" s="16">
        <f>+IF(IFERROR(VLOOKUP(Tabla3[[#This Row],[Cliente factura]],Tabla4[[NIT]:[TOTAL CREDITO]],3,FALSE),0)="",0,IFERROR(VLOOKUP(Tabla3[[#This Row],[Cliente factura]],Tabla4[[NIT]:[TOTAL CREDITO]],3,FALSE),0))</f>
        <v>0</v>
      </c>
      <c r="R574" s="9">
        <f>+IFERROR(VLOOKUP(Tabla3[[#This Row],[Cliente factura]],Tabla4[[NIT]:[TOTAL CREDITO]],6,FALSE),0)</f>
        <v>106064657</v>
      </c>
      <c r="S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4" s="10" t="str">
        <f>VLOOKUP(Tabla3[[#This Row],[Razón social cliente factura]]&amp;Tabla3[[#This Row],[Desc. ciudad]],'Estandar de Rutas'!$C$1:$E$553,2,FALSE)</f>
        <v>10.1.A</v>
      </c>
      <c r="U574" s="130">
        <f>IFERROR(VLOOKUP(Tabla3[[#This Row],[Referencia]]&amp;Tabla3[[#This Row],[Desc detalle ext 1]],Tabla1[[Referencia-Color]:[Disponibilidad]],3,FALSE),0)</f>
        <v>3</v>
      </c>
      <c r="V574" s="13"/>
      <c r="W574" s="17">
        <f>+Tabla3[[#This Row],[Cant. Programada]]*Tabla3[[#This Row],[Precio unit]]</f>
        <v>0</v>
      </c>
      <c r="X574" s="8"/>
      <c r="Y574" s="8"/>
      <c r="Z574" s="8" t="str">
        <f>+Tabla3[[#This Row],[Referencia]]&amp;Tabla3[[#This Row],[Desc detalle ext 1]]</f>
        <v xml:space="preserve">*XR 150L                                          NEGRO    </v>
      </c>
      <c r="AA574" s="128" t="e">
        <f>+VLOOKUP(Tabla3[[#This Row],[CODIGO2]],ESTANDAR!$B$3:$C$9,2,FALSE)</f>
        <v>#N/A</v>
      </c>
      <c r="AB574" s="128" t="str">
        <f>+MID(Tabla3[[#This Row],['# Viaje]],10,1)</f>
        <v/>
      </c>
    </row>
    <row r="575" spans="1:28" ht="15" hidden="1" customHeight="1">
      <c r="A575" s="173" t="s">
        <v>1560</v>
      </c>
      <c r="B575" s="174">
        <v>42948</v>
      </c>
      <c r="C575" s="173" t="s">
        <v>1477</v>
      </c>
      <c r="D575" s="173" t="s">
        <v>1487</v>
      </c>
      <c r="E575" s="173" t="s">
        <v>1479</v>
      </c>
      <c r="F575" s="173">
        <v>1</v>
      </c>
      <c r="G575" s="173" t="s">
        <v>146</v>
      </c>
      <c r="H575" s="173">
        <v>1</v>
      </c>
      <c r="I575" s="173" t="s">
        <v>146</v>
      </c>
      <c r="J575" s="173" t="s">
        <v>25</v>
      </c>
      <c r="K575" s="173" t="s">
        <v>26</v>
      </c>
      <c r="L575" s="173"/>
      <c r="M575" s="173" t="s">
        <v>147</v>
      </c>
      <c r="N575" s="173">
        <v>10886574</v>
      </c>
      <c r="O575" s="175">
        <v>3521008</v>
      </c>
      <c r="P575" s="7"/>
      <c r="Q575" s="16">
        <f>+IF(IFERROR(VLOOKUP(Tabla3[[#This Row],[Cliente factura]],Tabla4[[NIT]:[TOTAL CREDITO]],3,FALSE),0)="",0,IFERROR(VLOOKUP(Tabla3[[#This Row],[Cliente factura]],Tabla4[[NIT]:[TOTAL CREDITO]],3,FALSE),0))</f>
        <v>0</v>
      </c>
      <c r="R575" s="9">
        <f>+IFERROR(VLOOKUP(Tabla3[[#This Row],[Cliente factura]],Tabla4[[NIT]:[TOTAL CREDITO]],6,FALSE),0)</f>
        <v>106064657</v>
      </c>
      <c r="S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5" s="10" t="str">
        <f>VLOOKUP(Tabla3[[#This Row],[Razón social cliente factura]]&amp;Tabla3[[#This Row],[Desc. ciudad]],'Estandar de Rutas'!$C$1:$E$553,2,FALSE)</f>
        <v>10.1.A</v>
      </c>
      <c r="U575" s="130">
        <f>IFERROR(VLOOKUP(Tabla3[[#This Row],[Referencia]]&amp;Tabla3[[#This Row],[Desc detalle ext 1]],Tabla1[[Referencia-Color]:[Disponibilidad]],3,FALSE),0)</f>
        <v>15</v>
      </c>
      <c r="V575" s="13"/>
      <c r="W575" s="17">
        <f>+Tabla3[[#This Row],[Cant. Programada]]*Tabla3[[#This Row],[Precio unit]]</f>
        <v>0</v>
      </c>
      <c r="X575" s="8"/>
      <c r="Y575" s="8"/>
      <c r="Z575" s="8" t="str">
        <f>+Tabla3[[#This Row],[Referencia]]&amp;Tabla3[[#This Row],[Desc detalle ext 1]]</f>
        <v>DIO 110                                           NEGRO BLA</v>
      </c>
      <c r="AA575" s="128" t="e">
        <f>+VLOOKUP(Tabla3[[#This Row],[CODIGO2]],ESTANDAR!$B$3:$C$9,2,FALSE)</f>
        <v>#N/A</v>
      </c>
      <c r="AB575" s="128" t="str">
        <f>+MID(Tabla3[[#This Row],['# Viaje]],10,1)</f>
        <v/>
      </c>
    </row>
    <row r="576" spans="1:28" ht="15" hidden="1" customHeight="1">
      <c r="A576" s="173" t="s">
        <v>1560</v>
      </c>
      <c r="B576" s="174">
        <v>42948</v>
      </c>
      <c r="C576" s="173" t="s">
        <v>1477</v>
      </c>
      <c r="D576" s="173" t="s">
        <v>1487</v>
      </c>
      <c r="E576" s="173" t="s">
        <v>1479</v>
      </c>
      <c r="F576" s="173">
        <v>1</v>
      </c>
      <c r="G576" s="173" t="s">
        <v>146</v>
      </c>
      <c r="H576" s="173">
        <v>1</v>
      </c>
      <c r="I576" s="173" t="s">
        <v>146</v>
      </c>
      <c r="J576" s="173" t="s">
        <v>1428</v>
      </c>
      <c r="K576" s="173" t="s">
        <v>32</v>
      </c>
      <c r="L576" s="173"/>
      <c r="M576" s="173" t="s">
        <v>147</v>
      </c>
      <c r="N576" s="173">
        <v>10886574</v>
      </c>
      <c r="O576" s="175">
        <v>3067227</v>
      </c>
      <c r="P576" s="7"/>
      <c r="Q576" s="16">
        <f>+IF(IFERROR(VLOOKUP(Tabla3[[#This Row],[Cliente factura]],Tabla4[[NIT]:[TOTAL CREDITO]],3,FALSE),0)="",0,IFERROR(VLOOKUP(Tabla3[[#This Row],[Cliente factura]],Tabla4[[NIT]:[TOTAL CREDITO]],3,FALSE),0))</f>
        <v>0</v>
      </c>
      <c r="R576" s="9">
        <f>+IFERROR(VLOOKUP(Tabla3[[#This Row],[Cliente factura]],Tabla4[[NIT]:[TOTAL CREDITO]],6,FALSE),0)</f>
        <v>106064657</v>
      </c>
      <c r="S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6" s="10" t="str">
        <f>VLOOKUP(Tabla3[[#This Row],[Razón social cliente factura]]&amp;Tabla3[[#This Row],[Desc. ciudad]],'Estandar de Rutas'!$C$1:$E$553,2,FALSE)</f>
        <v>10.1.A</v>
      </c>
      <c r="U576" s="130">
        <f>IFERROR(VLOOKUP(Tabla3[[#This Row],[Referencia]]&amp;Tabla3[[#This Row],[Desc detalle ext 1]],Tabla1[[Referencia-Color]:[Disponibilidad]],3,FALSE),0)</f>
        <v>0</v>
      </c>
      <c r="V576" s="13"/>
      <c r="W576" s="17">
        <f>+Tabla3[[#This Row],[Cant. Programada]]*Tabla3[[#This Row],[Precio unit]]</f>
        <v>0</v>
      </c>
      <c r="X576" s="8"/>
      <c r="Y576" s="8"/>
      <c r="Z576" s="8" t="str">
        <f>+Tabla3[[#This Row],[Referencia]]&amp;Tabla3[[#This Row],[Desc detalle ext 1]]</f>
        <v>DREAM  NEO                                        NEGRO ROJ</v>
      </c>
      <c r="AA576" s="128" t="e">
        <f>+VLOOKUP(Tabla3[[#This Row],[CODIGO2]],ESTANDAR!$B$3:$C$9,2,FALSE)</f>
        <v>#N/A</v>
      </c>
      <c r="AB576" s="128" t="str">
        <f>+MID(Tabla3[[#This Row],['# Viaje]],10,1)</f>
        <v/>
      </c>
    </row>
    <row r="577" spans="1:28" ht="15" hidden="1" customHeight="1">
      <c r="A577" s="173" t="s">
        <v>1560</v>
      </c>
      <c r="B577" s="174">
        <v>42948</v>
      </c>
      <c r="C577" s="173" t="s">
        <v>1477</v>
      </c>
      <c r="D577" s="173" t="s">
        <v>1487</v>
      </c>
      <c r="E577" s="173" t="s">
        <v>1479</v>
      </c>
      <c r="F577" s="173">
        <v>1</v>
      </c>
      <c r="G577" s="173" t="s">
        <v>146</v>
      </c>
      <c r="H577" s="173">
        <v>1</v>
      </c>
      <c r="I577" s="173" t="s">
        <v>146</v>
      </c>
      <c r="J577" s="173" t="s">
        <v>1451</v>
      </c>
      <c r="K577" s="173" t="s">
        <v>1431</v>
      </c>
      <c r="L577" s="173"/>
      <c r="M577" s="173" t="s">
        <v>147</v>
      </c>
      <c r="N577" s="173">
        <v>10886574</v>
      </c>
      <c r="O577" s="175">
        <v>3696639</v>
      </c>
      <c r="P577" s="7"/>
      <c r="Q577" s="16">
        <f>+IF(IFERROR(VLOOKUP(Tabla3[[#This Row],[Cliente factura]],Tabla4[[NIT]:[TOTAL CREDITO]],3,FALSE),0)="",0,IFERROR(VLOOKUP(Tabla3[[#This Row],[Cliente factura]],Tabla4[[NIT]:[TOTAL CREDITO]],3,FALSE),0))</f>
        <v>0</v>
      </c>
      <c r="R577" s="9">
        <f>+IFERROR(VLOOKUP(Tabla3[[#This Row],[Cliente factura]],Tabla4[[NIT]:[TOTAL CREDITO]],6,FALSE),0)</f>
        <v>106064657</v>
      </c>
      <c r="S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7" s="10" t="str">
        <f>VLOOKUP(Tabla3[[#This Row],[Razón social cliente factura]]&amp;Tabla3[[#This Row],[Desc. ciudad]],'Estandar de Rutas'!$C$1:$E$553,2,FALSE)</f>
        <v>10.1.A</v>
      </c>
      <c r="U577" s="130">
        <f>IFERROR(VLOOKUP(Tabla3[[#This Row],[Referencia]]&amp;Tabla3[[#This Row],[Desc detalle ext 1]],Tabla1[[Referencia-Color]:[Disponibilidad]],3,FALSE),0)</f>
        <v>21</v>
      </c>
      <c r="V577" s="13"/>
      <c r="W577" s="17">
        <f>+Tabla3[[#This Row],[Cant. Programada]]*Tabla3[[#This Row],[Precio unit]]</f>
        <v>0</v>
      </c>
      <c r="X577" s="129"/>
      <c r="Y577" s="129"/>
      <c r="Z577" s="8" t="str">
        <f>+Tabla3[[#This Row],[Referencia]]&amp;Tabla3[[#This Row],[Desc detalle ext 1]]</f>
        <v xml:space="preserve">CB 110 DLX                                        ROJO     </v>
      </c>
      <c r="AA577" s="128" t="e">
        <f>+VLOOKUP(Tabla3[[#This Row],[CODIGO2]],ESTANDAR!$B$3:$C$9,2,FALSE)</f>
        <v>#N/A</v>
      </c>
      <c r="AB577" s="128" t="str">
        <f>+MID(Tabla3[[#This Row],['# Viaje]],10,1)</f>
        <v/>
      </c>
    </row>
    <row r="578" spans="1:28" ht="15" hidden="1" customHeight="1">
      <c r="A578" s="173" t="s">
        <v>1561</v>
      </c>
      <c r="B578" s="174">
        <v>42948</v>
      </c>
      <c r="C578" s="173" t="s">
        <v>1231</v>
      </c>
      <c r="D578" s="173" t="s">
        <v>1487</v>
      </c>
      <c r="E578" s="173" t="s">
        <v>1479</v>
      </c>
      <c r="F578" s="173">
        <v>1</v>
      </c>
      <c r="G578" s="173" t="s">
        <v>200</v>
      </c>
      <c r="H578" s="173">
        <v>1</v>
      </c>
      <c r="I578" s="173" t="s">
        <v>200</v>
      </c>
      <c r="J578" s="173" t="s">
        <v>1421</v>
      </c>
      <c r="K578" s="173" t="s">
        <v>1422</v>
      </c>
      <c r="L578" s="173"/>
      <c r="M578" s="173" t="s">
        <v>201</v>
      </c>
      <c r="N578" s="173">
        <v>73020742</v>
      </c>
      <c r="O578" s="175">
        <v>11496063</v>
      </c>
      <c r="P578" s="7"/>
      <c r="Q578" s="16">
        <f>+IF(IFERROR(VLOOKUP(Tabla3[[#This Row],[Cliente factura]],Tabla4[[NIT]:[TOTAL CREDITO]],3,FALSE),0)="",0,IFERROR(VLOOKUP(Tabla3[[#This Row],[Cliente factura]],Tabla4[[NIT]:[TOTAL CREDITO]],3,FALSE),0))</f>
        <v>106814021</v>
      </c>
      <c r="R578" s="9">
        <f>+IFERROR(VLOOKUP(Tabla3[[#This Row],[Cliente factura]],Tabla4[[NIT]:[TOTAL CREDITO]],6,FALSE),0)</f>
        <v>0</v>
      </c>
      <c r="S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8" s="10" t="str">
        <f>VLOOKUP(Tabla3[[#This Row],[Razón social cliente factura]]&amp;Tabla3[[#This Row],[Desc. ciudad]],'Estandar de Rutas'!$C$1:$E$553,2,FALSE)</f>
        <v>6.2.A</v>
      </c>
      <c r="U578" s="130">
        <f>IFERROR(VLOOKUP(Tabla3[[#This Row],[Referencia]]&amp;Tabla3[[#This Row],[Desc detalle ext 1]],Tabla1[[Referencia-Color]:[Disponibilidad]],3,FALSE),0)</f>
        <v>13</v>
      </c>
      <c r="V578" s="13"/>
      <c r="W578" s="17">
        <f>+Tabla3[[#This Row],[Cant. Programada]]*Tabla3[[#This Row],[Precio unit]]</f>
        <v>0</v>
      </c>
      <c r="X578" s="8"/>
      <c r="Y578" s="8"/>
      <c r="Z578" s="8" t="str">
        <f>+Tabla3[[#This Row],[Referencia]]&amp;Tabla3[[#This Row],[Desc detalle ext 1]]</f>
        <v>*XR-250 TORNADO pt MD34                           ROJO BLAN</v>
      </c>
      <c r="AA578" s="128" t="e">
        <f>+VLOOKUP(Tabla3[[#This Row],[CODIGO2]],ESTANDAR!$B$3:$C$9,2,FALSE)</f>
        <v>#N/A</v>
      </c>
      <c r="AB578" s="128" t="str">
        <f>+MID(Tabla3[[#This Row],['# Viaje]],10,1)</f>
        <v/>
      </c>
    </row>
    <row r="579" spans="1:28" ht="15" hidden="1" customHeight="1">
      <c r="A579" s="173" t="s">
        <v>1561</v>
      </c>
      <c r="B579" s="174">
        <v>42948</v>
      </c>
      <c r="C579" s="173" t="s">
        <v>1231</v>
      </c>
      <c r="D579" s="173" t="s">
        <v>1487</v>
      </c>
      <c r="E579" s="173" t="s">
        <v>1479</v>
      </c>
      <c r="F579" s="173">
        <v>10</v>
      </c>
      <c r="G579" s="173" t="s">
        <v>200</v>
      </c>
      <c r="H579" s="173">
        <v>10</v>
      </c>
      <c r="I579" s="173" t="s">
        <v>200</v>
      </c>
      <c r="J579" s="173" t="s">
        <v>27</v>
      </c>
      <c r="K579" s="173" t="s">
        <v>32</v>
      </c>
      <c r="L579" s="173"/>
      <c r="M579" s="173" t="s">
        <v>201</v>
      </c>
      <c r="N579" s="173">
        <v>73020742</v>
      </c>
      <c r="O579" s="175">
        <v>5789916</v>
      </c>
      <c r="P579" s="7"/>
      <c r="Q579" s="16">
        <f>+IF(IFERROR(VLOOKUP(Tabla3[[#This Row],[Cliente factura]],Tabla4[[NIT]:[TOTAL CREDITO]],3,FALSE),0)="",0,IFERROR(VLOOKUP(Tabla3[[#This Row],[Cliente factura]],Tabla4[[NIT]:[TOTAL CREDITO]],3,FALSE),0))</f>
        <v>106814021</v>
      </c>
      <c r="R579" s="9">
        <f>+IFERROR(VLOOKUP(Tabla3[[#This Row],[Cliente factura]],Tabla4[[NIT]:[TOTAL CREDITO]],6,FALSE),0)</f>
        <v>0</v>
      </c>
      <c r="S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9" s="10" t="str">
        <f>VLOOKUP(Tabla3[[#This Row],[Razón social cliente factura]]&amp;Tabla3[[#This Row],[Desc. ciudad]],'Estandar de Rutas'!$C$1:$E$553,2,FALSE)</f>
        <v>6.2.A</v>
      </c>
      <c r="U579" s="130">
        <f>IFERROR(VLOOKUP(Tabla3[[#This Row],[Referencia]]&amp;Tabla3[[#This Row],[Desc detalle ext 1]],Tabla1[[Referencia-Color]:[Disponibilidad]],3,FALSE),0)</f>
        <v>7</v>
      </c>
      <c r="V579" s="13"/>
      <c r="W579" s="17">
        <f>+Tabla3[[#This Row],[Cant. Programada]]*Tabla3[[#This Row],[Precio unit]]</f>
        <v>0</v>
      </c>
      <c r="X579" s="129"/>
      <c r="Y579" s="8"/>
      <c r="Z579" s="8" t="str">
        <f>+Tabla3[[#This Row],[Referencia]]&amp;Tabla3[[#This Row],[Desc detalle ext 1]]</f>
        <v>*XR 150L                                          NEGRO ROJ</v>
      </c>
      <c r="AA579" s="128" t="e">
        <f>+VLOOKUP(Tabla3[[#This Row],[CODIGO2]],ESTANDAR!$B$3:$C$9,2,FALSE)</f>
        <v>#N/A</v>
      </c>
      <c r="AB579" s="128" t="str">
        <f>+MID(Tabla3[[#This Row],['# Viaje]],10,1)</f>
        <v/>
      </c>
    </row>
    <row r="580" spans="1:28" ht="15" hidden="1" customHeight="1">
      <c r="A580" s="173" t="s">
        <v>1561</v>
      </c>
      <c r="B580" s="174">
        <v>42948</v>
      </c>
      <c r="C580" s="173" t="s">
        <v>1231</v>
      </c>
      <c r="D580" s="173" t="s">
        <v>1487</v>
      </c>
      <c r="E580" s="173" t="s">
        <v>1479</v>
      </c>
      <c r="F580" s="173">
        <v>1</v>
      </c>
      <c r="G580" s="173" t="s">
        <v>200</v>
      </c>
      <c r="H580" s="173">
        <v>1</v>
      </c>
      <c r="I580" s="173" t="s">
        <v>200</v>
      </c>
      <c r="J580" s="173" t="s">
        <v>27</v>
      </c>
      <c r="K580" s="173" t="s">
        <v>26</v>
      </c>
      <c r="L580" s="173"/>
      <c r="M580" s="173" t="s">
        <v>201</v>
      </c>
      <c r="N580" s="173">
        <v>73020742</v>
      </c>
      <c r="O580" s="175">
        <v>5789916</v>
      </c>
      <c r="P580" s="7"/>
      <c r="Q580" s="16">
        <f>+IF(IFERROR(VLOOKUP(Tabla3[[#This Row],[Cliente factura]],Tabla4[[NIT]:[TOTAL CREDITO]],3,FALSE),0)="",0,IFERROR(VLOOKUP(Tabla3[[#This Row],[Cliente factura]],Tabla4[[NIT]:[TOTAL CREDITO]],3,FALSE),0))</f>
        <v>106814021</v>
      </c>
      <c r="R580" s="9">
        <f>+IFERROR(VLOOKUP(Tabla3[[#This Row],[Cliente factura]],Tabla4[[NIT]:[TOTAL CREDITO]],6,FALSE),0)</f>
        <v>0</v>
      </c>
      <c r="S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0" s="10" t="str">
        <f>VLOOKUP(Tabla3[[#This Row],[Razón social cliente factura]]&amp;Tabla3[[#This Row],[Desc. ciudad]],'Estandar de Rutas'!$C$1:$E$553,2,FALSE)</f>
        <v>6.2.A</v>
      </c>
      <c r="U580" s="130">
        <f>IFERROR(VLOOKUP(Tabla3[[#This Row],[Referencia]]&amp;Tabla3[[#This Row],[Desc detalle ext 1]],Tabla1[[Referencia-Color]:[Disponibilidad]],3,FALSE),0)</f>
        <v>59</v>
      </c>
      <c r="V580" s="13"/>
      <c r="W580" s="17">
        <f>+Tabla3[[#This Row],[Cant. Programada]]*Tabla3[[#This Row],[Precio unit]]</f>
        <v>0</v>
      </c>
      <c r="X580" s="130"/>
      <c r="Y580" s="8"/>
      <c r="Z580" s="8" t="str">
        <f>+Tabla3[[#This Row],[Referencia]]&amp;Tabla3[[#This Row],[Desc detalle ext 1]]</f>
        <v>*XR 150L                                          NEGRO BLA</v>
      </c>
      <c r="AA580" s="128" t="e">
        <f>+VLOOKUP(Tabla3[[#This Row],[CODIGO2]],ESTANDAR!$B$3:$C$9,2,FALSE)</f>
        <v>#N/A</v>
      </c>
      <c r="AB580" s="128" t="str">
        <f>+MID(Tabla3[[#This Row],['# Viaje]],10,1)</f>
        <v/>
      </c>
    </row>
    <row r="581" spans="1:28" ht="15" hidden="1" customHeight="1">
      <c r="A581" s="173" t="s">
        <v>1561</v>
      </c>
      <c r="B581" s="174">
        <v>42948</v>
      </c>
      <c r="C581" s="173" t="s">
        <v>1231</v>
      </c>
      <c r="D581" s="173" t="s">
        <v>1487</v>
      </c>
      <c r="E581" s="173" t="s">
        <v>1479</v>
      </c>
      <c r="F581" s="173">
        <v>2</v>
      </c>
      <c r="G581" s="173" t="s">
        <v>200</v>
      </c>
      <c r="H581" s="173">
        <v>2</v>
      </c>
      <c r="I581" s="173" t="s">
        <v>200</v>
      </c>
      <c r="J581" s="173" t="s">
        <v>1451</v>
      </c>
      <c r="K581" s="173" t="s">
        <v>1452</v>
      </c>
      <c r="L581" s="173"/>
      <c r="M581" s="173" t="s">
        <v>201</v>
      </c>
      <c r="N581" s="173">
        <v>73020742</v>
      </c>
      <c r="O581" s="175">
        <v>3696639</v>
      </c>
      <c r="P581" s="7"/>
      <c r="Q581" s="16">
        <f>+IF(IFERROR(VLOOKUP(Tabla3[[#This Row],[Cliente factura]],Tabla4[[NIT]:[TOTAL CREDITO]],3,FALSE),0)="",0,IFERROR(VLOOKUP(Tabla3[[#This Row],[Cliente factura]],Tabla4[[NIT]:[TOTAL CREDITO]],3,FALSE),0))</f>
        <v>106814021</v>
      </c>
      <c r="R581" s="9">
        <f>+IFERROR(VLOOKUP(Tabla3[[#This Row],[Cliente factura]],Tabla4[[NIT]:[TOTAL CREDITO]],6,FALSE),0)</f>
        <v>0</v>
      </c>
      <c r="S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1" s="10" t="str">
        <f>VLOOKUP(Tabla3[[#This Row],[Razón social cliente factura]]&amp;Tabla3[[#This Row],[Desc. ciudad]],'Estandar de Rutas'!$C$1:$E$553,2,FALSE)</f>
        <v>6.2.A</v>
      </c>
      <c r="U581" s="130">
        <f>IFERROR(VLOOKUP(Tabla3[[#This Row],[Referencia]]&amp;Tabla3[[#This Row],[Desc detalle ext 1]],Tabla1[[Referencia-Color]:[Disponibilidad]],3,FALSE),0)</f>
        <v>21</v>
      </c>
      <c r="V581" s="13"/>
      <c r="W581" s="17">
        <f>+Tabla3[[#This Row],[Cant. Programada]]*Tabla3[[#This Row],[Precio unit]]</f>
        <v>0</v>
      </c>
      <c r="X581" s="8"/>
      <c r="Y581" s="8"/>
      <c r="Z581" s="8" t="str">
        <f>+Tabla3[[#This Row],[Referencia]]&amp;Tabla3[[#This Row],[Desc detalle ext 1]]</f>
        <v xml:space="preserve">CB 110 DLX                                        AZUL     </v>
      </c>
      <c r="AA581" s="128" t="e">
        <f>+VLOOKUP(Tabla3[[#This Row],[CODIGO2]],ESTANDAR!$B$3:$C$9,2,FALSE)</f>
        <v>#N/A</v>
      </c>
      <c r="AB581" s="128" t="str">
        <f>+MID(Tabla3[[#This Row],['# Viaje]],10,1)</f>
        <v/>
      </c>
    </row>
    <row r="582" spans="1:28" ht="15" hidden="1" customHeight="1">
      <c r="A582" s="173" t="s">
        <v>1561</v>
      </c>
      <c r="B582" s="174">
        <v>42948</v>
      </c>
      <c r="C582" s="173" t="s">
        <v>1231</v>
      </c>
      <c r="D582" s="173" t="s">
        <v>1487</v>
      </c>
      <c r="E582" s="173" t="s">
        <v>1479</v>
      </c>
      <c r="F582" s="173">
        <v>2</v>
      </c>
      <c r="G582" s="173" t="s">
        <v>200</v>
      </c>
      <c r="H582" s="173">
        <v>2</v>
      </c>
      <c r="I582" s="173" t="s">
        <v>200</v>
      </c>
      <c r="J582" s="173" t="s">
        <v>1451</v>
      </c>
      <c r="K582" s="173" t="s">
        <v>1431</v>
      </c>
      <c r="L582" s="173"/>
      <c r="M582" s="173" t="s">
        <v>201</v>
      </c>
      <c r="N582" s="173">
        <v>73020742</v>
      </c>
      <c r="O582" s="175">
        <v>3696639</v>
      </c>
      <c r="P582" s="7"/>
      <c r="Q582" s="16">
        <f>+IF(IFERROR(VLOOKUP(Tabla3[[#This Row],[Cliente factura]],Tabla4[[NIT]:[TOTAL CREDITO]],3,FALSE),0)="",0,IFERROR(VLOOKUP(Tabla3[[#This Row],[Cliente factura]],Tabla4[[NIT]:[TOTAL CREDITO]],3,FALSE),0))</f>
        <v>106814021</v>
      </c>
      <c r="R582" s="9">
        <f>+IFERROR(VLOOKUP(Tabla3[[#This Row],[Cliente factura]],Tabla4[[NIT]:[TOTAL CREDITO]],6,FALSE),0)</f>
        <v>0</v>
      </c>
      <c r="S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2" s="10" t="str">
        <f>VLOOKUP(Tabla3[[#This Row],[Razón social cliente factura]]&amp;Tabla3[[#This Row],[Desc. ciudad]],'Estandar de Rutas'!$C$1:$E$553,2,FALSE)</f>
        <v>6.2.A</v>
      </c>
      <c r="U582" s="130">
        <f>IFERROR(VLOOKUP(Tabla3[[#This Row],[Referencia]]&amp;Tabla3[[#This Row],[Desc detalle ext 1]],Tabla1[[Referencia-Color]:[Disponibilidad]],3,FALSE),0)</f>
        <v>21</v>
      </c>
      <c r="V582" s="13"/>
      <c r="W582" s="17">
        <f>+Tabla3[[#This Row],[Cant. Programada]]*Tabla3[[#This Row],[Precio unit]]</f>
        <v>0</v>
      </c>
      <c r="X582" s="8"/>
      <c r="Y582" s="8"/>
      <c r="Z582" s="8" t="str">
        <f>+Tabla3[[#This Row],[Referencia]]&amp;Tabla3[[#This Row],[Desc detalle ext 1]]</f>
        <v xml:space="preserve">CB 110 DLX                                        ROJO     </v>
      </c>
      <c r="AA582" s="128" t="e">
        <f>+VLOOKUP(Tabla3[[#This Row],[CODIGO2]],ESTANDAR!$B$3:$C$9,2,FALSE)</f>
        <v>#N/A</v>
      </c>
      <c r="AB582" s="128" t="str">
        <f>+MID(Tabla3[[#This Row],['# Viaje]],10,1)</f>
        <v/>
      </c>
    </row>
    <row r="583" spans="1:28" ht="15" hidden="1" customHeight="1">
      <c r="A583" s="173" t="s">
        <v>1562</v>
      </c>
      <c r="B583" s="174">
        <v>42948</v>
      </c>
      <c r="C583" s="173" t="s">
        <v>1231</v>
      </c>
      <c r="D583" s="173" t="s">
        <v>1237</v>
      </c>
      <c r="E583" s="173" t="s">
        <v>1479</v>
      </c>
      <c r="F583" s="173">
        <v>6</v>
      </c>
      <c r="G583" s="173" t="s">
        <v>69</v>
      </c>
      <c r="H583" s="173">
        <v>6</v>
      </c>
      <c r="I583" s="173" t="s">
        <v>1563</v>
      </c>
      <c r="J583" s="173" t="s">
        <v>14</v>
      </c>
      <c r="K583" s="173" t="s">
        <v>1417</v>
      </c>
      <c r="L583" s="173"/>
      <c r="M583" s="173" t="s">
        <v>210</v>
      </c>
      <c r="N583" s="173">
        <v>18125225</v>
      </c>
      <c r="O583" s="175">
        <v>3360504</v>
      </c>
      <c r="P583" s="7"/>
      <c r="Q583" s="16">
        <f>+IF(IFERROR(VLOOKUP(Tabla3[[#This Row],[Cliente factura]],Tabla4[[NIT]:[TOTAL CREDITO]],3,FALSE),0)="",0,IFERROR(VLOOKUP(Tabla3[[#This Row],[Cliente factura]],Tabla4[[NIT]:[TOTAL CREDITO]],3,FALSE),0))</f>
        <v>264217093</v>
      </c>
      <c r="R583" s="9">
        <f>+IFERROR(VLOOKUP(Tabla3[[#This Row],[Cliente factura]],Tabla4[[NIT]:[TOTAL CREDITO]],6,FALSE),0)</f>
        <v>852000000</v>
      </c>
      <c r="S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3" s="10" t="str">
        <f>VLOOKUP(Tabla3[[#This Row],[Razón social cliente factura]]&amp;Tabla3[[#This Row],[Desc. ciudad]],'Estandar de Rutas'!$C$1:$E$553,2,FALSE)</f>
        <v>5.2.B</v>
      </c>
      <c r="U583" s="130">
        <f>IFERROR(VLOOKUP(Tabla3[[#This Row],[Referencia]]&amp;Tabla3[[#This Row],[Desc detalle ext 1]],Tabla1[[Referencia-Color]:[Disponibilidad]],3,FALSE),0)</f>
        <v>24</v>
      </c>
      <c r="V583" s="13"/>
      <c r="W583" s="17">
        <f>+Tabla3[[#This Row],[Cant. Programada]]*Tabla3[[#This Row],[Precio unit]]</f>
        <v>0</v>
      </c>
      <c r="X583" s="8"/>
      <c r="Y583" s="8"/>
      <c r="Z583" s="8" t="str">
        <f>+Tabla3[[#This Row],[Referencia]]&amp;Tabla3[[#This Row],[Desc detalle ext 1]]</f>
        <v xml:space="preserve">*CB-110                                           GRIS MET </v>
      </c>
      <c r="AA583" s="128" t="e">
        <f>+VLOOKUP(Tabla3[[#This Row],[CODIGO2]],ESTANDAR!$B$3:$C$9,2,FALSE)</f>
        <v>#N/A</v>
      </c>
      <c r="AB583" s="128" t="str">
        <f>+MID(Tabla3[[#This Row],['# Viaje]],10,1)</f>
        <v/>
      </c>
    </row>
    <row r="584" spans="1:28" ht="15" hidden="1" customHeight="1">
      <c r="A584" s="173" t="s">
        <v>1562</v>
      </c>
      <c r="B584" s="174">
        <v>42948</v>
      </c>
      <c r="C584" s="173" t="s">
        <v>1231</v>
      </c>
      <c r="D584" s="173" t="s">
        <v>1237</v>
      </c>
      <c r="E584" s="173" t="s">
        <v>1479</v>
      </c>
      <c r="F584" s="173">
        <v>5</v>
      </c>
      <c r="G584" s="173" t="s">
        <v>69</v>
      </c>
      <c r="H584" s="173">
        <v>5</v>
      </c>
      <c r="I584" s="173" t="s">
        <v>1563</v>
      </c>
      <c r="J584" s="173" t="s">
        <v>14</v>
      </c>
      <c r="K584" s="173" t="s">
        <v>17</v>
      </c>
      <c r="L584" s="173"/>
      <c r="M584" s="173" t="s">
        <v>210</v>
      </c>
      <c r="N584" s="173">
        <v>18125225</v>
      </c>
      <c r="O584" s="175">
        <v>3360504</v>
      </c>
      <c r="P584" s="7"/>
      <c r="Q584" s="16">
        <f>+IF(IFERROR(VLOOKUP(Tabla3[[#This Row],[Cliente factura]],Tabla4[[NIT]:[TOTAL CREDITO]],3,FALSE),0)="",0,IFERROR(VLOOKUP(Tabla3[[#This Row],[Cliente factura]],Tabla4[[NIT]:[TOTAL CREDITO]],3,FALSE),0))</f>
        <v>264217093</v>
      </c>
      <c r="R584" s="9">
        <f>+IFERROR(VLOOKUP(Tabla3[[#This Row],[Cliente factura]],Tabla4[[NIT]:[TOTAL CREDITO]],6,FALSE),0)</f>
        <v>852000000</v>
      </c>
      <c r="S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4" s="10" t="str">
        <f>VLOOKUP(Tabla3[[#This Row],[Razón social cliente factura]]&amp;Tabla3[[#This Row],[Desc. ciudad]],'Estandar de Rutas'!$C$1:$E$553,2,FALSE)</f>
        <v>5.2.B</v>
      </c>
      <c r="U584" s="130">
        <f>IFERROR(VLOOKUP(Tabla3[[#This Row],[Referencia]]&amp;Tabla3[[#This Row],[Desc detalle ext 1]],Tabla1[[Referencia-Color]:[Disponibilidad]],3,FALSE),0)</f>
        <v>38</v>
      </c>
      <c r="V584" s="13"/>
      <c r="W584" s="17">
        <f>+Tabla3[[#This Row],[Cant. Programada]]*Tabla3[[#This Row],[Precio unit]]</f>
        <v>0</v>
      </c>
      <c r="X584" s="8"/>
      <c r="Y584" s="8"/>
      <c r="Z584" s="8" t="str">
        <f>+Tabla3[[#This Row],[Referencia]]&amp;Tabla3[[#This Row],[Desc detalle ext 1]]</f>
        <v>*CB-110                                           ROJO SPOR</v>
      </c>
      <c r="AA584" s="128" t="e">
        <f>+VLOOKUP(Tabla3[[#This Row],[CODIGO2]],ESTANDAR!$B$3:$C$9,2,FALSE)</f>
        <v>#N/A</v>
      </c>
      <c r="AB584" s="128" t="str">
        <f>+MID(Tabla3[[#This Row],['# Viaje]],10,1)</f>
        <v/>
      </c>
    </row>
    <row r="585" spans="1:28" ht="15" hidden="1" customHeight="1">
      <c r="A585" s="173" t="s">
        <v>1562</v>
      </c>
      <c r="B585" s="174">
        <v>42948</v>
      </c>
      <c r="C585" s="173" t="s">
        <v>1231</v>
      </c>
      <c r="D585" s="173" t="s">
        <v>1237</v>
      </c>
      <c r="E585" s="173" t="s">
        <v>1479</v>
      </c>
      <c r="F585" s="173">
        <v>5</v>
      </c>
      <c r="G585" s="173" t="s">
        <v>69</v>
      </c>
      <c r="H585" s="173">
        <v>5</v>
      </c>
      <c r="I585" s="173" t="s">
        <v>1563</v>
      </c>
      <c r="J585" s="173" t="s">
        <v>14</v>
      </c>
      <c r="K585" s="173" t="s">
        <v>16</v>
      </c>
      <c r="L585" s="173"/>
      <c r="M585" s="173" t="s">
        <v>210</v>
      </c>
      <c r="N585" s="173">
        <v>18125225</v>
      </c>
      <c r="O585" s="175">
        <v>3360504</v>
      </c>
      <c r="P585" s="7"/>
      <c r="Q585" s="16">
        <f>+IF(IFERROR(VLOOKUP(Tabla3[[#This Row],[Cliente factura]],Tabla4[[NIT]:[TOTAL CREDITO]],3,FALSE),0)="",0,IFERROR(VLOOKUP(Tabla3[[#This Row],[Cliente factura]],Tabla4[[NIT]:[TOTAL CREDITO]],3,FALSE),0))</f>
        <v>264217093</v>
      </c>
      <c r="R585" s="9">
        <f>+IFERROR(VLOOKUP(Tabla3[[#This Row],[Cliente factura]],Tabla4[[NIT]:[TOTAL CREDITO]],6,FALSE),0)</f>
        <v>852000000</v>
      </c>
      <c r="S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5" s="10" t="str">
        <f>VLOOKUP(Tabla3[[#This Row],[Razón social cliente factura]]&amp;Tabla3[[#This Row],[Desc. ciudad]],'Estandar de Rutas'!$C$1:$E$553,2,FALSE)</f>
        <v>5.2.B</v>
      </c>
      <c r="U585" s="130">
        <f>IFERROR(VLOOKUP(Tabla3[[#This Row],[Referencia]]&amp;Tabla3[[#This Row],[Desc detalle ext 1]],Tabla1[[Referencia-Color]:[Disponibilidad]],3,FALSE),0)</f>
        <v>83</v>
      </c>
      <c r="V585" s="13"/>
      <c r="W585" s="17">
        <f>+Tabla3[[#This Row],[Cant. Programada]]*Tabla3[[#This Row],[Precio unit]]</f>
        <v>0</v>
      </c>
      <c r="X585" s="8"/>
      <c r="Y585" s="8"/>
      <c r="Z585" s="8" t="str">
        <f>+Tabla3[[#This Row],[Referencia]]&amp;Tabla3[[#This Row],[Desc detalle ext 1]]</f>
        <v xml:space="preserve">*CB-110                                           NEGRO    </v>
      </c>
      <c r="AA585" s="128" t="e">
        <f>+VLOOKUP(Tabla3[[#This Row],[CODIGO2]],ESTANDAR!$B$3:$C$9,2,FALSE)</f>
        <v>#N/A</v>
      </c>
      <c r="AB585" s="128" t="str">
        <f>+MID(Tabla3[[#This Row],['# Viaje]],10,1)</f>
        <v/>
      </c>
    </row>
    <row r="586" spans="1:28" ht="15" hidden="1" customHeight="1">
      <c r="A586" s="173" t="s">
        <v>1562</v>
      </c>
      <c r="B586" s="174">
        <v>42948</v>
      </c>
      <c r="C586" s="173" t="s">
        <v>1231</v>
      </c>
      <c r="D586" s="173" t="s">
        <v>1237</v>
      </c>
      <c r="E586" s="173" t="s">
        <v>1479</v>
      </c>
      <c r="F586" s="173">
        <v>2</v>
      </c>
      <c r="G586" s="173" t="s">
        <v>69</v>
      </c>
      <c r="H586" s="173">
        <v>2</v>
      </c>
      <c r="I586" s="173" t="s">
        <v>1563</v>
      </c>
      <c r="J586" s="173" t="s">
        <v>14</v>
      </c>
      <c r="K586" s="173" t="s">
        <v>1418</v>
      </c>
      <c r="L586" s="173"/>
      <c r="M586" s="173" t="s">
        <v>210</v>
      </c>
      <c r="N586" s="173">
        <v>18125225</v>
      </c>
      <c r="O586" s="175">
        <v>3360504</v>
      </c>
      <c r="P586" s="7"/>
      <c r="Q586" s="16">
        <f>+IF(IFERROR(VLOOKUP(Tabla3[[#This Row],[Cliente factura]],Tabla4[[NIT]:[TOTAL CREDITO]],3,FALSE),0)="",0,IFERROR(VLOOKUP(Tabla3[[#This Row],[Cliente factura]],Tabla4[[NIT]:[TOTAL CREDITO]],3,FALSE),0))</f>
        <v>264217093</v>
      </c>
      <c r="R586" s="9">
        <f>+IFERROR(VLOOKUP(Tabla3[[#This Row],[Cliente factura]],Tabla4[[NIT]:[TOTAL CREDITO]],6,FALSE),0)</f>
        <v>852000000</v>
      </c>
      <c r="S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6" s="10" t="str">
        <f>VLOOKUP(Tabla3[[#This Row],[Razón social cliente factura]]&amp;Tabla3[[#This Row],[Desc. ciudad]],'Estandar de Rutas'!$C$1:$E$553,2,FALSE)</f>
        <v>5.2.B</v>
      </c>
      <c r="U586" s="130">
        <f>IFERROR(VLOOKUP(Tabla3[[#This Row],[Referencia]]&amp;Tabla3[[#This Row],[Desc detalle ext 1]],Tabla1[[Referencia-Color]:[Disponibilidad]],3,FALSE),0)</f>
        <v>0</v>
      </c>
      <c r="V586" s="13"/>
      <c r="W586" s="17">
        <f>+Tabla3[[#This Row],[Cant. Programada]]*Tabla3[[#This Row],[Precio unit]]</f>
        <v>0</v>
      </c>
      <c r="X586" s="8"/>
      <c r="Y586" s="8"/>
      <c r="Z586" s="8" t="str">
        <f>+Tabla3[[#This Row],[Referencia]]&amp;Tabla3[[#This Row],[Desc detalle ext 1]]</f>
        <v>*CB-110                                           VERDE CAN</v>
      </c>
      <c r="AA586" s="128" t="e">
        <f>+VLOOKUP(Tabla3[[#This Row],[CODIGO2]],ESTANDAR!$B$3:$C$9,2,FALSE)</f>
        <v>#N/A</v>
      </c>
      <c r="AB586" s="128" t="str">
        <f>+MID(Tabla3[[#This Row],['# Viaje]],10,1)</f>
        <v/>
      </c>
    </row>
    <row r="587" spans="1:28" ht="15" hidden="1" customHeight="1">
      <c r="A587" s="173" t="s">
        <v>1562</v>
      </c>
      <c r="B587" s="174">
        <v>42948</v>
      </c>
      <c r="C587" s="173" t="s">
        <v>1231</v>
      </c>
      <c r="D587" s="173" t="s">
        <v>1237</v>
      </c>
      <c r="E587" s="173" t="s">
        <v>1479</v>
      </c>
      <c r="F587" s="173">
        <v>2</v>
      </c>
      <c r="G587" s="173" t="s">
        <v>69</v>
      </c>
      <c r="H587" s="173">
        <v>2</v>
      </c>
      <c r="I587" s="173" t="s">
        <v>1563</v>
      </c>
      <c r="J587" s="173" t="s">
        <v>14</v>
      </c>
      <c r="K587" s="173" t="s">
        <v>15</v>
      </c>
      <c r="L587" s="173"/>
      <c r="M587" s="173" t="s">
        <v>210</v>
      </c>
      <c r="N587" s="173">
        <v>18125225</v>
      </c>
      <c r="O587" s="175">
        <v>3360504</v>
      </c>
      <c r="P587" s="7"/>
      <c r="Q587" s="16">
        <f>+IF(IFERROR(VLOOKUP(Tabla3[[#This Row],[Cliente factura]],Tabla4[[NIT]:[TOTAL CREDITO]],3,FALSE),0)="",0,IFERROR(VLOOKUP(Tabla3[[#This Row],[Cliente factura]],Tabla4[[NIT]:[TOTAL CREDITO]],3,FALSE),0))</f>
        <v>264217093</v>
      </c>
      <c r="R587" s="9">
        <f>+IFERROR(VLOOKUP(Tabla3[[#This Row],[Cliente factura]],Tabla4[[NIT]:[TOTAL CREDITO]],6,FALSE),0)</f>
        <v>852000000</v>
      </c>
      <c r="S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7" s="10" t="str">
        <f>VLOOKUP(Tabla3[[#This Row],[Razón social cliente factura]]&amp;Tabla3[[#This Row],[Desc. ciudad]],'Estandar de Rutas'!$C$1:$E$553,2,FALSE)</f>
        <v>5.2.B</v>
      </c>
      <c r="U587" s="130">
        <f>IFERROR(VLOOKUP(Tabla3[[#This Row],[Referencia]]&amp;Tabla3[[#This Row],[Desc detalle ext 1]],Tabla1[[Referencia-Color]:[Disponibilidad]],3,FALSE),0)</f>
        <v>99</v>
      </c>
      <c r="V587" s="13"/>
      <c r="W587" s="17">
        <f>+Tabla3[[#This Row],[Cant. Programada]]*Tabla3[[#This Row],[Precio unit]]</f>
        <v>0</v>
      </c>
      <c r="X587" s="8"/>
      <c r="Y587" s="8"/>
      <c r="Z587" s="8" t="str">
        <f>+Tabla3[[#This Row],[Referencia]]&amp;Tabla3[[#This Row],[Desc detalle ext 1]]</f>
        <v>*CB-110                                           AZUL FIJI</v>
      </c>
      <c r="AA587" s="128" t="e">
        <f>+VLOOKUP(Tabla3[[#This Row],[CODIGO2]],ESTANDAR!$B$3:$C$9,2,FALSE)</f>
        <v>#N/A</v>
      </c>
      <c r="AB587" s="128" t="str">
        <f>+MID(Tabla3[[#This Row],['# Viaje]],10,1)</f>
        <v/>
      </c>
    </row>
    <row r="588" spans="1:28" ht="15" hidden="1" customHeight="1">
      <c r="A588" s="173" t="s">
        <v>1562</v>
      </c>
      <c r="B588" s="174">
        <v>42948</v>
      </c>
      <c r="C588" s="173" t="s">
        <v>1231</v>
      </c>
      <c r="D588" s="173" t="s">
        <v>1237</v>
      </c>
      <c r="E588" s="173" t="s">
        <v>1479</v>
      </c>
      <c r="F588" s="173">
        <v>3</v>
      </c>
      <c r="G588" s="173" t="s">
        <v>69</v>
      </c>
      <c r="H588" s="173">
        <v>3</v>
      </c>
      <c r="I588" s="173" t="s">
        <v>1563</v>
      </c>
      <c r="J588" s="173" t="s">
        <v>27</v>
      </c>
      <c r="K588" s="173" t="s">
        <v>26</v>
      </c>
      <c r="L588" s="173"/>
      <c r="M588" s="173" t="s">
        <v>210</v>
      </c>
      <c r="N588" s="173">
        <v>18125225</v>
      </c>
      <c r="O588" s="175">
        <v>5789916</v>
      </c>
      <c r="P588" s="7"/>
      <c r="Q588" s="16">
        <f>+IF(IFERROR(VLOOKUP(Tabla3[[#This Row],[Cliente factura]],Tabla4[[NIT]:[TOTAL CREDITO]],3,FALSE),0)="",0,IFERROR(VLOOKUP(Tabla3[[#This Row],[Cliente factura]],Tabla4[[NIT]:[TOTAL CREDITO]],3,FALSE),0))</f>
        <v>264217093</v>
      </c>
      <c r="R588" s="9">
        <f>+IFERROR(VLOOKUP(Tabla3[[#This Row],[Cliente factura]],Tabla4[[NIT]:[TOTAL CREDITO]],6,FALSE),0)</f>
        <v>852000000</v>
      </c>
      <c r="S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8" s="10" t="str">
        <f>VLOOKUP(Tabla3[[#This Row],[Razón social cliente factura]]&amp;Tabla3[[#This Row],[Desc. ciudad]],'Estandar de Rutas'!$C$1:$E$553,2,FALSE)</f>
        <v>5.2.B</v>
      </c>
      <c r="U588" s="130">
        <f>IFERROR(VLOOKUP(Tabla3[[#This Row],[Referencia]]&amp;Tabla3[[#This Row],[Desc detalle ext 1]],Tabla1[[Referencia-Color]:[Disponibilidad]],3,FALSE),0)</f>
        <v>59</v>
      </c>
      <c r="V588" s="13"/>
      <c r="W588" s="17">
        <f>+Tabla3[[#This Row],[Cant. Programada]]*Tabla3[[#This Row],[Precio unit]]</f>
        <v>0</v>
      </c>
      <c r="X588" s="8"/>
      <c r="Y588" s="8"/>
      <c r="Z588" s="8" t="str">
        <f>+Tabla3[[#This Row],[Referencia]]&amp;Tabla3[[#This Row],[Desc detalle ext 1]]</f>
        <v>*XR 150L                                          NEGRO BLA</v>
      </c>
      <c r="AA588" s="128" t="e">
        <f>+VLOOKUP(Tabla3[[#This Row],[CODIGO2]],ESTANDAR!$B$3:$C$9,2,FALSE)</f>
        <v>#N/A</v>
      </c>
      <c r="AB588" s="128" t="str">
        <f>+MID(Tabla3[[#This Row],['# Viaje]],10,1)</f>
        <v/>
      </c>
    </row>
    <row r="589" spans="1:28" ht="15" hidden="1" customHeight="1">
      <c r="A589" s="173" t="s">
        <v>1562</v>
      </c>
      <c r="B589" s="174">
        <v>42948</v>
      </c>
      <c r="C589" s="173" t="s">
        <v>1231</v>
      </c>
      <c r="D589" s="173" t="s">
        <v>1237</v>
      </c>
      <c r="E589" s="173" t="s">
        <v>1479</v>
      </c>
      <c r="F589" s="173">
        <v>1</v>
      </c>
      <c r="G589" s="173" t="s">
        <v>69</v>
      </c>
      <c r="H589" s="173">
        <v>1</v>
      </c>
      <c r="I589" s="173" t="s">
        <v>1563</v>
      </c>
      <c r="J589" s="173" t="s">
        <v>354</v>
      </c>
      <c r="K589" s="173" t="s">
        <v>17</v>
      </c>
      <c r="L589" s="173"/>
      <c r="M589" s="173" t="s">
        <v>210</v>
      </c>
      <c r="N589" s="173">
        <v>18125225</v>
      </c>
      <c r="O589" s="175">
        <v>6133613</v>
      </c>
      <c r="P589" s="7"/>
      <c r="Q589" s="16">
        <f>+IF(IFERROR(VLOOKUP(Tabla3[[#This Row],[Cliente factura]],Tabla4[[NIT]:[TOTAL CREDITO]],3,FALSE),0)="",0,IFERROR(VLOOKUP(Tabla3[[#This Row],[Cliente factura]],Tabla4[[NIT]:[TOTAL CREDITO]],3,FALSE),0))</f>
        <v>264217093</v>
      </c>
      <c r="R589" s="9">
        <f>+IFERROR(VLOOKUP(Tabla3[[#This Row],[Cliente factura]],Tabla4[[NIT]:[TOTAL CREDITO]],6,FALSE),0)</f>
        <v>852000000</v>
      </c>
      <c r="S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9" s="10" t="str">
        <f>VLOOKUP(Tabla3[[#This Row],[Razón social cliente factura]]&amp;Tabla3[[#This Row],[Desc. ciudad]],'Estandar de Rutas'!$C$1:$E$553,2,FALSE)</f>
        <v>5.2.B</v>
      </c>
      <c r="U589" s="130">
        <f>IFERROR(VLOOKUP(Tabla3[[#This Row],[Referencia]]&amp;Tabla3[[#This Row],[Desc detalle ext 1]],Tabla1[[Referencia-Color]:[Disponibilidad]],3,FALSE),0)</f>
        <v>48</v>
      </c>
      <c r="V589" s="13"/>
      <c r="W589" s="17">
        <f>+Tabla3[[#This Row],[Cant. Programada]]*Tabla3[[#This Row],[Precio unit]]</f>
        <v>0</v>
      </c>
      <c r="X589" s="8"/>
      <c r="Y589" s="8"/>
      <c r="Z589" s="8" t="str">
        <f>+Tabla3[[#This Row],[Referencia]]&amp;Tabla3[[#This Row],[Desc detalle ext 1]]</f>
        <v>CB 160F DLX                                       ROJO SPOR</v>
      </c>
      <c r="AA589" s="128" t="e">
        <f>+VLOOKUP(Tabla3[[#This Row],[CODIGO2]],ESTANDAR!$B$3:$C$9,2,FALSE)</f>
        <v>#N/A</v>
      </c>
      <c r="AB589" s="128" t="str">
        <f>+MID(Tabla3[[#This Row],['# Viaje]],10,1)</f>
        <v/>
      </c>
    </row>
    <row r="590" spans="1:28" ht="15" hidden="1" customHeight="1">
      <c r="A590" s="173" t="s">
        <v>1562</v>
      </c>
      <c r="B590" s="174">
        <v>42948</v>
      </c>
      <c r="C590" s="173" t="s">
        <v>1231</v>
      </c>
      <c r="D590" s="173" t="s">
        <v>1237</v>
      </c>
      <c r="E590" s="173" t="s">
        <v>1479</v>
      </c>
      <c r="F590" s="173">
        <v>1</v>
      </c>
      <c r="G590" s="173" t="s">
        <v>69</v>
      </c>
      <c r="H590" s="173">
        <v>1</v>
      </c>
      <c r="I590" s="173" t="s">
        <v>1563</v>
      </c>
      <c r="J590" s="173" t="s">
        <v>354</v>
      </c>
      <c r="K590" s="173" t="s">
        <v>355</v>
      </c>
      <c r="L590" s="173"/>
      <c r="M590" s="173" t="s">
        <v>210</v>
      </c>
      <c r="N590" s="173">
        <v>18125225</v>
      </c>
      <c r="O590" s="175">
        <v>6133613</v>
      </c>
      <c r="P590" s="7"/>
      <c r="Q590" s="16">
        <f>+IF(IFERROR(VLOOKUP(Tabla3[[#This Row],[Cliente factura]],Tabla4[[NIT]:[TOTAL CREDITO]],3,FALSE),0)="",0,IFERROR(VLOOKUP(Tabla3[[#This Row],[Cliente factura]],Tabla4[[NIT]:[TOTAL CREDITO]],3,FALSE),0))</f>
        <v>264217093</v>
      </c>
      <c r="R590" s="9">
        <f>+IFERROR(VLOOKUP(Tabla3[[#This Row],[Cliente factura]],Tabla4[[NIT]:[TOTAL CREDITO]],6,FALSE),0)</f>
        <v>852000000</v>
      </c>
      <c r="S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0" s="10" t="str">
        <f>VLOOKUP(Tabla3[[#This Row],[Razón social cliente factura]]&amp;Tabla3[[#This Row],[Desc. ciudad]],'Estandar de Rutas'!$C$1:$E$553,2,FALSE)</f>
        <v>5.2.B</v>
      </c>
      <c r="U590" s="130">
        <f>IFERROR(VLOOKUP(Tabla3[[#This Row],[Referencia]]&amp;Tabla3[[#This Row],[Desc detalle ext 1]],Tabla1[[Referencia-Color]:[Disponibilidad]],3,FALSE),0)</f>
        <v>0</v>
      </c>
      <c r="V590" s="13"/>
      <c r="W590" s="17">
        <f>+Tabla3[[#This Row],[Cant. Programada]]*Tabla3[[#This Row],[Precio unit]]</f>
        <v>0</v>
      </c>
      <c r="X590" s="8"/>
      <c r="Y590" s="8"/>
      <c r="Z590" s="8" t="str">
        <f>+Tabla3[[#This Row],[Referencia]]&amp;Tabla3[[#This Row],[Desc detalle ext 1]]</f>
        <v>CB 160F DLX                                       NEGRO PER</v>
      </c>
      <c r="AA590" s="128" t="e">
        <f>+VLOOKUP(Tabla3[[#This Row],[CODIGO2]],ESTANDAR!$B$3:$C$9,2,FALSE)</f>
        <v>#N/A</v>
      </c>
      <c r="AB590" s="128" t="str">
        <f>+MID(Tabla3[[#This Row],['# Viaje]],10,1)</f>
        <v/>
      </c>
    </row>
    <row r="591" spans="1:28" ht="15" hidden="1" customHeight="1">
      <c r="A591" s="173" t="s">
        <v>1562</v>
      </c>
      <c r="B591" s="174">
        <v>42948</v>
      </c>
      <c r="C591" s="173" t="s">
        <v>1231</v>
      </c>
      <c r="D591" s="173" t="s">
        <v>1237</v>
      </c>
      <c r="E591" s="173" t="s">
        <v>1479</v>
      </c>
      <c r="F591" s="173">
        <v>2</v>
      </c>
      <c r="G591" s="173" t="s">
        <v>69</v>
      </c>
      <c r="H591" s="173">
        <v>2</v>
      </c>
      <c r="I591" s="173" t="s">
        <v>1563</v>
      </c>
      <c r="J591" s="173" t="s">
        <v>1234</v>
      </c>
      <c r="K591" s="173" t="s">
        <v>17</v>
      </c>
      <c r="L591" s="173"/>
      <c r="M591" s="173" t="s">
        <v>210</v>
      </c>
      <c r="N591" s="173">
        <v>18125225</v>
      </c>
      <c r="O591" s="175">
        <v>5453782</v>
      </c>
      <c r="P591" s="7"/>
      <c r="Q591" s="16">
        <f>+IF(IFERROR(VLOOKUP(Tabla3[[#This Row],[Cliente factura]],Tabla4[[NIT]:[TOTAL CREDITO]],3,FALSE),0)="",0,IFERROR(VLOOKUP(Tabla3[[#This Row],[Cliente factura]],Tabla4[[NIT]:[TOTAL CREDITO]],3,FALSE),0))</f>
        <v>264217093</v>
      </c>
      <c r="R591" s="9">
        <f>+IFERROR(VLOOKUP(Tabla3[[#This Row],[Cliente factura]],Tabla4[[NIT]:[TOTAL CREDITO]],6,FALSE),0)</f>
        <v>852000000</v>
      </c>
      <c r="S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1" s="10" t="str">
        <f>VLOOKUP(Tabla3[[#This Row],[Razón social cliente factura]]&amp;Tabla3[[#This Row],[Desc. ciudad]],'Estandar de Rutas'!$C$1:$E$553,2,FALSE)</f>
        <v>5.2.B</v>
      </c>
      <c r="U591" s="130">
        <f>IFERROR(VLOOKUP(Tabla3[[#This Row],[Referencia]]&amp;Tabla3[[#This Row],[Desc detalle ext 1]],Tabla1[[Referencia-Color]:[Disponibilidad]],3,FALSE),0)</f>
        <v>0</v>
      </c>
      <c r="V591" s="13"/>
      <c r="W591" s="17">
        <f>+Tabla3[[#This Row],[Cant. Programada]]*Tabla3[[#This Row],[Precio unit]]</f>
        <v>0</v>
      </c>
      <c r="X591" s="8"/>
      <c r="Y591" s="8"/>
      <c r="Z591" s="8" t="str">
        <f>+Tabla3[[#This Row],[Referencia]]&amp;Tabla3[[#This Row],[Desc detalle ext 1]]</f>
        <v>CB 160F STD                                       ROJO SPOR</v>
      </c>
      <c r="AA591" s="128" t="e">
        <f>+VLOOKUP(Tabla3[[#This Row],[CODIGO2]],ESTANDAR!$B$3:$C$9,2,FALSE)</f>
        <v>#N/A</v>
      </c>
      <c r="AB591" s="128" t="str">
        <f>+MID(Tabla3[[#This Row],['# Viaje]],10,1)</f>
        <v/>
      </c>
    </row>
    <row r="592" spans="1:28" ht="15" hidden="1" customHeight="1">
      <c r="A592" s="173" t="s">
        <v>1562</v>
      </c>
      <c r="B592" s="174">
        <v>42948</v>
      </c>
      <c r="C592" s="173" t="s">
        <v>1231</v>
      </c>
      <c r="D592" s="173" t="s">
        <v>1237</v>
      </c>
      <c r="E592" s="173" t="s">
        <v>1479</v>
      </c>
      <c r="F592" s="173">
        <v>2</v>
      </c>
      <c r="G592" s="173" t="s">
        <v>69</v>
      </c>
      <c r="H592" s="173">
        <v>2</v>
      </c>
      <c r="I592" s="173" t="s">
        <v>1563</v>
      </c>
      <c r="J592" s="173" t="s">
        <v>1234</v>
      </c>
      <c r="K592" s="173" t="s">
        <v>355</v>
      </c>
      <c r="L592" s="173"/>
      <c r="M592" s="173" t="s">
        <v>210</v>
      </c>
      <c r="N592" s="173">
        <v>18125225</v>
      </c>
      <c r="O592" s="175">
        <v>5453782</v>
      </c>
      <c r="P592" s="7"/>
      <c r="Q592" s="16">
        <f>+IF(IFERROR(VLOOKUP(Tabla3[[#This Row],[Cliente factura]],Tabla4[[NIT]:[TOTAL CREDITO]],3,FALSE),0)="",0,IFERROR(VLOOKUP(Tabla3[[#This Row],[Cliente factura]],Tabla4[[NIT]:[TOTAL CREDITO]],3,FALSE),0))</f>
        <v>264217093</v>
      </c>
      <c r="R592" s="9">
        <f>+IFERROR(VLOOKUP(Tabla3[[#This Row],[Cliente factura]],Tabla4[[NIT]:[TOTAL CREDITO]],6,FALSE),0)</f>
        <v>852000000</v>
      </c>
      <c r="S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2" s="10" t="str">
        <f>VLOOKUP(Tabla3[[#This Row],[Razón social cliente factura]]&amp;Tabla3[[#This Row],[Desc. ciudad]],'Estandar de Rutas'!$C$1:$E$553,2,FALSE)</f>
        <v>5.2.B</v>
      </c>
      <c r="U592" s="130">
        <f>IFERROR(VLOOKUP(Tabla3[[#This Row],[Referencia]]&amp;Tabla3[[#This Row],[Desc detalle ext 1]],Tabla1[[Referencia-Color]:[Disponibilidad]],3,FALSE),0)</f>
        <v>0</v>
      </c>
      <c r="V592" s="13"/>
      <c r="W592" s="17">
        <f>+Tabla3[[#This Row],[Cant. Programada]]*Tabla3[[#This Row],[Precio unit]]</f>
        <v>0</v>
      </c>
      <c r="X592" s="8"/>
      <c r="Y592" s="8"/>
      <c r="Z592" s="8" t="str">
        <f>+Tabla3[[#This Row],[Referencia]]&amp;Tabla3[[#This Row],[Desc detalle ext 1]]</f>
        <v>CB 160F STD                                       NEGRO PER</v>
      </c>
      <c r="AA592" s="128" t="e">
        <f>+VLOOKUP(Tabla3[[#This Row],[CODIGO2]],ESTANDAR!$B$3:$C$9,2,FALSE)</f>
        <v>#N/A</v>
      </c>
      <c r="AB592" s="128" t="str">
        <f>+MID(Tabla3[[#This Row],['# Viaje]],10,1)</f>
        <v/>
      </c>
    </row>
    <row r="593" spans="1:28" ht="15" hidden="1" customHeight="1">
      <c r="A593" s="173" t="s">
        <v>1562</v>
      </c>
      <c r="B593" s="174">
        <v>42948</v>
      </c>
      <c r="C593" s="173" t="s">
        <v>1231</v>
      </c>
      <c r="D593" s="173" t="s">
        <v>1237</v>
      </c>
      <c r="E593" s="173" t="s">
        <v>1479</v>
      </c>
      <c r="F593" s="173">
        <v>8</v>
      </c>
      <c r="G593" s="173" t="s">
        <v>69</v>
      </c>
      <c r="H593" s="173">
        <v>8</v>
      </c>
      <c r="I593" s="173" t="s">
        <v>1563</v>
      </c>
      <c r="J593" s="173" t="s">
        <v>1451</v>
      </c>
      <c r="K593" s="173" t="s">
        <v>1449</v>
      </c>
      <c r="L593" s="173"/>
      <c r="M593" s="173" t="s">
        <v>210</v>
      </c>
      <c r="N593" s="173">
        <v>18125225</v>
      </c>
      <c r="O593" s="175">
        <v>3696639</v>
      </c>
      <c r="P593" s="7"/>
      <c r="Q593" s="16">
        <f>+IF(IFERROR(VLOOKUP(Tabla3[[#This Row],[Cliente factura]],Tabla4[[NIT]:[TOTAL CREDITO]],3,FALSE),0)="",0,IFERROR(VLOOKUP(Tabla3[[#This Row],[Cliente factura]],Tabla4[[NIT]:[TOTAL CREDITO]],3,FALSE),0))</f>
        <v>264217093</v>
      </c>
      <c r="R593" s="9">
        <f>+IFERROR(VLOOKUP(Tabla3[[#This Row],[Cliente factura]],Tabla4[[NIT]:[TOTAL CREDITO]],6,FALSE),0)</f>
        <v>852000000</v>
      </c>
      <c r="S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3" s="10" t="str">
        <f>VLOOKUP(Tabla3[[#This Row],[Razón social cliente factura]]&amp;Tabla3[[#This Row],[Desc. ciudad]],'Estandar de Rutas'!$C$1:$E$553,2,FALSE)</f>
        <v>5.2.B</v>
      </c>
      <c r="U593" s="130">
        <f>IFERROR(VLOOKUP(Tabla3[[#This Row],[Referencia]]&amp;Tabla3[[#This Row],[Desc detalle ext 1]],Tabla1[[Referencia-Color]:[Disponibilidad]],3,FALSE),0)</f>
        <v>24</v>
      </c>
      <c r="V593" s="13"/>
      <c r="W593" s="17">
        <f>+Tabla3[[#This Row],[Cant. Programada]]*Tabla3[[#This Row],[Precio unit]]</f>
        <v>0</v>
      </c>
      <c r="X593" s="8"/>
      <c r="Y593" s="8"/>
      <c r="Z593" s="8" t="str">
        <f>+Tabla3[[#This Row],[Referencia]]&amp;Tabla3[[#This Row],[Desc detalle ext 1]]</f>
        <v xml:space="preserve">CB 110 DLX                                        GRIS     </v>
      </c>
      <c r="AA593" s="128" t="e">
        <f>+VLOOKUP(Tabla3[[#This Row],[CODIGO2]],ESTANDAR!$B$3:$C$9,2,FALSE)</f>
        <v>#N/A</v>
      </c>
      <c r="AB593" s="128" t="str">
        <f>+MID(Tabla3[[#This Row],['# Viaje]],10,1)</f>
        <v/>
      </c>
    </row>
    <row r="594" spans="1:28" ht="15" hidden="1" customHeight="1">
      <c r="A594" s="173" t="s">
        <v>1562</v>
      </c>
      <c r="B594" s="174">
        <v>42948</v>
      </c>
      <c r="C594" s="173" t="s">
        <v>1231</v>
      </c>
      <c r="D594" s="173" t="s">
        <v>1237</v>
      </c>
      <c r="E594" s="173" t="s">
        <v>1479</v>
      </c>
      <c r="F594" s="173">
        <v>12</v>
      </c>
      <c r="G594" s="173" t="s">
        <v>69</v>
      </c>
      <c r="H594" s="173">
        <v>12</v>
      </c>
      <c r="I594" s="173" t="s">
        <v>1563</v>
      </c>
      <c r="J594" s="173" t="s">
        <v>1451</v>
      </c>
      <c r="K594" s="173" t="s">
        <v>1452</v>
      </c>
      <c r="L594" s="173"/>
      <c r="M594" s="173" t="s">
        <v>210</v>
      </c>
      <c r="N594" s="173">
        <v>18125225</v>
      </c>
      <c r="O594" s="175">
        <v>3696639</v>
      </c>
      <c r="P594" s="7"/>
      <c r="Q594" s="16">
        <f>+IF(IFERROR(VLOOKUP(Tabla3[[#This Row],[Cliente factura]],Tabla4[[NIT]:[TOTAL CREDITO]],3,FALSE),0)="",0,IFERROR(VLOOKUP(Tabla3[[#This Row],[Cliente factura]],Tabla4[[NIT]:[TOTAL CREDITO]],3,FALSE),0))</f>
        <v>264217093</v>
      </c>
      <c r="R594" s="9">
        <f>+IFERROR(VLOOKUP(Tabla3[[#This Row],[Cliente factura]],Tabla4[[NIT]:[TOTAL CREDITO]],6,FALSE),0)</f>
        <v>852000000</v>
      </c>
      <c r="S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4" s="10" t="str">
        <f>VLOOKUP(Tabla3[[#This Row],[Razón social cliente factura]]&amp;Tabla3[[#This Row],[Desc. ciudad]],'Estandar de Rutas'!$C$1:$E$553,2,FALSE)</f>
        <v>5.2.B</v>
      </c>
      <c r="U594" s="130">
        <f>IFERROR(VLOOKUP(Tabla3[[#This Row],[Referencia]]&amp;Tabla3[[#This Row],[Desc detalle ext 1]],Tabla1[[Referencia-Color]:[Disponibilidad]],3,FALSE),0)</f>
        <v>21</v>
      </c>
      <c r="V594" s="13"/>
      <c r="W594" s="17">
        <f>+Tabla3[[#This Row],[Cant. Programada]]*Tabla3[[#This Row],[Precio unit]]</f>
        <v>0</v>
      </c>
      <c r="X594" s="8"/>
      <c r="Y594" s="8"/>
      <c r="Z594" s="8" t="str">
        <f>+Tabla3[[#This Row],[Referencia]]&amp;Tabla3[[#This Row],[Desc detalle ext 1]]</f>
        <v xml:space="preserve">CB 110 DLX                                        AZUL     </v>
      </c>
      <c r="AA594" s="128" t="e">
        <f>+VLOOKUP(Tabla3[[#This Row],[CODIGO2]],ESTANDAR!$B$3:$C$9,2,FALSE)</f>
        <v>#N/A</v>
      </c>
      <c r="AB594" s="128" t="str">
        <f>+MID(Tabla3[[#This Row],['# Viaje]],10,1)</f>
        <v/>
      </c>
    </row>
    <row r="595" spans="1:28" ht="15" hidden="1" customHeight="1">
      <c r="A595" s="173" t="s">
        <v>1562</v>
      </c>
      <c r="B595" s="174">
        <v>42948</v>
      </c>
      <c r="C595" s="173" t="s">
        <v>1231</v>
      </c>
      <c r="D595" s="173" t="s">
        <v>1237</v>
      </c>
      <c r="E595" s="173" t="s">
        <v>1479</v>
      </c>
      <c r="F595" s="173">
        <v>5</v>
      </c>
      <c r="G595" s="173" t="s">
        <v>69</v>
      </c>
      <c r="H595" s="173">
        <v>5</v>
      </c>
      <c r="I595" s="173" t="s">
        <v>1563</v>
      </c>
      <c r="J595" s="173" t="s">
        <v>1451</v>
      </c>
      <c r="K595" s="173" t="s">
        <v>1431</v>
      </c>
      <c r="L595" s="173"/>
      <c r="M595" s="173" t="s">
        <v>210</v>
      </c>
      <c r="N595" s="173">
        <v>18125225</v>
      </c>
      <c r="O595" s="175">
        <v>3696639</v>
      </c>
      <c r="P595" s="7"/>
      <c r="Q595" s="16">
        <f>+IF(IFERROR(VLOOKUP(Tabla3[[#This Row],[Cliente factura]],Tabla4[[NIT]:[TOTAL CREDITO]],3,FALSE),0)="",0,IFERROR(VLOOKUP(Tabla3[[#This Row],[Cliente factura]],Tabla4[[NIT]:[TOTAL CREDITO]],3,FALSE),0))</f>
        <v>264217093</v>
      </c>
      <c r="R595" s="9">
        <f>+IFERROR(VLOOKUP(Tabla3[[#This Row],[Cliente factura]],Tabla4[[NIT]:[TOTAL CREDITO]],6,FALSE),0)</f>
        <v>852000000</v>
      </c>
      <c r="S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5" s="10" t="str">
        <f>VLOOKUP(Tabla3[[#This Row],[Razón social cliente factura]]&amp;Tabla3[[#This Row],[Desc. ciudad]],'Estandar de Rutas'!$C$1:$E$553,2,FALSE)</f>
        <v>5.2.B</v>
      </c>
      <c r="U595" s="130">
        <f>IFERROR(VLOOKUP(Tabla3[[#This Row],[Referencia]]&amp;Tabla3[[#This Row],[Desc detalle ext 1]],Tabla1[[Referencia-Color]:[Disponibilidad]],3,FALSE),0)</f>
        <v>21</v>
      </c>
      <c r="V595" s="13"/>
      <c r="W595" s="17">
        <f>+Tabla3[[#This Row],[Cant. Programada]]*Tabla3[[#This Row],[Precio unit]]</f>
        <v>0</v>
      </c>
      <c r="X595" s="8"/>
      <c r="Y595" s="8"/>
      <c r="Z595" s="8" t="str">
        <f>+Tabla3[[#This Row],[Referencia]]&amp;Tabla3[[#This Row],[Desc detalle ext 1]]</f>
        <v xml:space="preserve">CB 110 DLX                                        ROJO     </v>
      </c>
      <c r="AA595" s="128" t="e">
        <f>+VLOOKUP(Tabla3[[#This Row],[CODIGO2]],ESTANDAR!$B$3:$C$9,2,FALSE)</f>
        <v>#N/A</v>
      </c>
      <c r="AB595" s="128" t="str">
        <f>+MID(Tabla3[[#This Row],['# Viaje]],10,1)</f>
        <v/>
      </c>
    </row>
    <row r="596" spans="1:28" ht="15" hidden="1" customHeight="1">
      <c r="A596" s="173" t="s">
        <v>1562</v>
      </c>
      <c r="B596" s="174">
        <v>42948</v>
      </c>
      <c r="C596" s="173" t="s">
        <v>1231</v>
      </c>
      <c r="D596" s="173" t="s">
        <v>1237</v>
      </c>
      <c r="E596" s="173" t="s">
        <v>1479</v>
      </c>
      <c r="F596" s="173">
        <v>20</v>
      </c>
      <c r="G596" s="173" t="s">
        <v>69</v>
      </c>
      <c r="H596" s="173">
        <v>20</v>
      </c>
      <c r="I596" s="173" t="s">
        <v>1563</v>
      </c>
      <c r="J596" s="173" t="s">
        <v>1451</v>
      </c>
      <c r="K596" s="173" t="s">
        <v>16</v>
      </c>
      <c r="L596" s="173"/>
      <c r="M596" s="173" t="s">
        <v>210</v>
      </c>
      <c r="N596" s="173">
        <v>18125225</v>
      </c>
      <c r="O596" s="175">
        <v>3696639</v>
      </c>
      <c r="P596" s="7"/>
      <c r="Q596" s="16">
        <f>+IF(IFERROR(VLOOKUP(Tabla3[[#This Row],[Cliente factura]],Tabla4[[NIT]:[TOTAL CREDITO]],3,FALSE),0)="",0,IFERROR(VLOOKUP(Tabla3[[#This Row],[Cliente factura]],Tabla4[[NIT]:[TOTAL CREDITO]],3,FALSE),0))</f>
        <v>264217093</v>
      </c>
      <c r="R596" s="9">
        <f>+IFERROR(VLOOKUP(Tabla3[[#This Row],[Cliente factura]],Tabla4[[NIT]:[TOTAL CREDITO]],6,FALSE),0)</f>
        <v>852000000</v>
      </c>
      <c r="S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6" s="10" t="str">
        <f>VLOOKUP(Tabla3[[#This Row],[Razón social cliente factura]]&amp;Tabla3[[#This Row],[Desc. ciudad]],'Estandar de Rutas'!$C$1:$E$553,2,FALSE)</f>
        <v>5.2.B</v>
      </c>
      <c r="U596" s="130">
        <f>IFERROR(VLOOKUP(Tabla3[[#This Row],[Referencia]]&amp;Tabla3[[#This Row],[Desc detalle ext 1]],Tabla1[[Referencia-Color]:[Disponibilidad]],3,FALSE),0)</f>
        <v>3</v>
      </c>
      <c r="V596" s="13"/>
      <c r="W596" s="17">
        <f>+Tabla3[[#This Row],[Cant. Programada]]*Tabla3[[#This Row],[Precio unit]]</f>
        <v>0</v>
      </c>
      <c r="X596" s="8"/>
      <c r="Y596" s="8"/>
      <c r="Z596" s="8" t="str">
        <f>+Tabla3[[#This Row],[Referencia]]&amp;Tabla3[[#This Row],[Desc detalle ext 1]]</f>
        <v xml:space="preserve">CB 110 DLX                                        NEGRO    </v>
      </c>
      <c r="AA596" s="128" t="e">
        <f>+VLOOKUP(Tabla3[[#This Row],[CODIGO2]],ESTANDAR!$B$3:$C$9,2,FALSE)</f>
        <v>#N/A</v>
      </c>
      <c r="AB596" s="128" t="str">
        <f>+MID(Tabla3[[#This Row],['# Viaje]],10,1)</f>
        <v/>
      </c>
    </row>
    <row r="597" spans="1:28" ht="15" hidden="1" customHeight="1">
      <c r="A597" s="173" t="s">
        <v>1564</v>
      </c>
      <c r="B597" s="174">
        <v>42948</v>
      </c>
      <c r="C597" s="173" t="s">
        <v>1231</v>
      </c>
      <c r="D597" s="173" t="s">
        <v>1487</v>
      </c>
      <c r="E597" s="173" t="s">
        <v>1479</v>
      </c>
      <c r="F597" s="173">
        <v>2</v>
      </c>
      <c r="G597" s="173" t="s">
        <v>182</v>
      </c>
      <c r="H597" s="173">
        <v>2</v>
      </c>
      <c r="I597" s="173" t="s">
        <v>1565</v>
      </c>
      <c r="J597" s="173" t="s">
        <v>14</v>
      </c>
      <c r="K597" s="173" t="s">
        <v>16</v>
      </c>
      <c r="L597" s="173"/>
      <c r="M597" s="173" t="s">
        <v>183</v>
      </c>
      <c r="N597" s="173">
        <v>802016654</v>
      </c>
      <c r="O597" s="175">
        <v>3360504</v>
      </c>
      <c r="P597" s="7"/>
      <c r="Q597" s="16">
        <f>+IF(IFERROR(VLOOKUP(Tabla3[[#This Row],[Cliente factura]],Tabla4[[NIT]:[TOTAL CREDITO]],3,FALSE),0)="",0,IFERROR(VLOOKUP(Tabla3[[#This Row],[Cliente factura]],Tabla4[[NIT]:[TOTAL CREDITO]],3,FALSE),0))</f>
        <v>1252965</v>
      </c>
      <c r="R597" s="9">
        <f>+IFERROR(VLOOKUP(Tabla3[[#This Row],[Cliente factura]],Tabla4[[NIT]:[TOTAL CREDITO]],6,FALSE),0)</f>
        <v>0</v>
      </c>
      <c r="S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7" s="10" t="str">
        <f>VLOOKUP(Tabla3[[#This Row],[Razón social cliente factura]]&amp;Tabla3[[#This Row],[Desc. ciudad]],'Estandar de Rutas'!$C$1:$E$553,2,FALSE)</f>
        <v>11.2</v>
      </c>
      <c r="U597" s="130">
        <f>IFERROR(VLOOKUP(Tabla3[[#This Row],[Referencia]]&amp;Tabla3[[#This Row],[Desc detalle ext 1]],Tabla1[[Referencia-Color]:[Disponibilidad]],3,FALSE),0)</f>
        <v>83</v>
      </c>
      <c r="V597" s="13"/>
      <c r="W597" s="17">
        <f>+Tabla3[[#This Row],[Cant. Programada]]*Tabla3[[#This Row],[Precio unit]]</f>
        <v>0</v>
      </c>
      <c r="X597" s="8"/>
      <c r="Y597" s="8"/>
      <c r="Z597" s="8" t="str">
        <f>+Tabla3[[#This Row],[Referencia]]&amp;Tabla3[[#This Row],[Desc detalle ext 1]]</f>
        <v xml:space="preserve">*CB-110                                           NEGRO    </v>
      </c>
      <c r="AA597" s="128" t="e">
        <f>+VLOOKUP(Tabla3[[#This Row],[CODIGO2]],ESTANDAR!$B$3:$C$9,2,FALSE)</f>
        <v>#N/A</v>
      </c>
      <c r="AB597" s="128" t="str">
        <f>+MID(Tabla3[[#This Row],['# Viaje]],10,1)</f>
        <v/>
      </c>
    </row>
    <row r="598" spans="1:28" ht="15" hidden="1" customHeight="1">
      <c r="A598" s="173" t="s">
        <v>1564</v>
      </c>
      <c r="B598" s="174">
        <v>42948</v>
      </c>
      <c r="C598" s="173" t="s">
        <v>1231</v>
      </c>
      <c r="D598" s="173" t="s">
        <v>1487</v>
      </c>
      <c r="E598" s="173" t="s">
        <v>1479</v>
      </c>
      <c r="F598" s="173">
        <v>2</v>
      </c>
      <c r="G598" s="173" t="s">
        <v>182</v>
      </c>
      <c r="H598" s="173">
        <v>2</v>
      </c>
      <c r="I598" s="173" t="s">
        <v>1565</v>
      </c>
      <c r="J598" s="173" t="s">
        <v>27</v>
      </c>
      <c r="K598" s="173" t="s">
        <v>26</v>
      </c>
      <c r="L598" s="173"/>
      <c r="M598" s="173" t="s">
        <v>183</v>
      </c>
      <c r="N598" s="173">
        <v>802016654</v>
      </c>
      <c r="O598" s="175">
        <v>5789916</v>
      </c>
      <c r="P598" s="7"/>
      <c r="Q598" s="16">
        <f>+IF(IFERROR(VLOOKUP(Tabla3[[#This Row],[Cliente factura]],Tabla4[[NIT]:[TOTAL CREDITO]],3,FALSE),0)="",0,IFERROR(VLOOKUP(Tabla3[[#This Row],[Cliente factura]],Tabla4[[NIT]:[TOTAL CREDITO]],3,FALSE),0))</f>
        <v>1252965</v>
      </c>
      <c r="R598" s="9">
        <f>+IFERROR(VLOOKUP(Tabla3[[#This Row],[Cliente factura]],Tabla4[[NIT]:[TOTAL CREDITO]],6,FALSE),0)</f>
        <v>0</v>
      </c>
      <c r="S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8" s="10" t="str">
        <f>VLOOKUP(Tabla3[[#This Row],[Razón social cliente factura]]&amp;Tabla3[[#This Row],[Desc. ciudad]],'Estandar de Rutas'!$C$1:$E$553,2,FALSE)</f>
        <v>11.2</v>
      </c>
      <c r="U598" s="130">
        <f>IFERROR(VLOOKUP(Tabla3[[#This Row],[Referencia]]&amp;Tabla3[[#This Row],[Desc detalle ext 1]],Tabla1[[Referencia-Color]:[Disponibilidad]],3,FALSE),0)</f>
        <v>59</v>
      </c>
      <c r="V598" s="13"/>
      <c r="W598" s="17">
        <f>+Tabla3[[#This Row],[Cant. Programada]]*Tabla3[[#This Row],[Precio unit]]</f>
        <v>0</v>
      </c>
      <c r="X598" s="8"/>
      <c r="Y598" s="8"/>
      <c r="Z598" s="8" t="str">
        <f>+Tabla3[[#This Row],[Referencia]]&amp;Tabla3[[#This Row],[Desc detalle ext 1]]</f>
        <v>*XR 150L                                          NEGRO BLA</v>
      </c>
      <c r="AA598" s="128" t="e">
        <f>+VLOOKUP(Tabla3[[#This Row],[CODIGO2]],ESTANDAR!$B$3:$C$9,2,FALSE)</f>
        <v>#N/A</v>
      </c>
      <c r="AB598" s="128" t="str">
        <f>+MID(Tabla3[[#This Row],['# Viaje]],10,1)</f>
        <v/>
      </c>
    </row>
    <row r="599" spans="1:28" ht="15" hidden="1" customHeight="1">
      <c r="A599" s="173" t="s">
        <v>1564</v>
      </c>
      <c r="B599" s="174">
        <v>42948</v>
      </c>
      <c r="C599" s="173" t="s">
        <v>1231</v>
      </c>
      <c r="D599" s="173" t="s">
        <v>1487</v>
      </c>
      <c r="E599" s="173" t="s">
        <v>1479</v>
      </c>
      <c r="F599" s="173">
        <v>2</v>
      </c>
      <c r="G599" s="173" t="s">
        <v>182</v>
      </c>
      <c r="H599" s="173">
        <v>2</v>
      </c>
      <c r="I599" s="173" t="s">
        <v>1565</v>
      </c>
      <c r="J599" s="173" t="s">
        <v>27</v>
      </c>
      <c r="K599" s="173" t="s">
        <v>16</v>
      </c>
      <c r="L599" s="173"/>
      <c r="M599" s="173" t="s">
        <v>183</v>
      </c>
      <c r="N599" s="173">
        <v>802016654</v>
      </c>
      <c r="O599" s="175">
        <v>5789916</v>
      </c>
      <c r="P599" s="7"/>
      <c r="Q599" s="16">
        <f>+IF(IFERROR(VLOOKUP(Tabla3[[#This Row],[Cliente factura]],Tabla4[[NIT]:[TOTAL CREDITO]],3,FALSE),0)="",0,IFERROR(VLOOKUP(Tabla3[[#This Row],[Cliente factura]],Tabla4[[NIT]:[TOTAL CREDITO]],3,FALSE),0))</f>
        <v>1252965</v>
      </c>
      <c r="R599" s="9">
        <f>+IFERROR(VLOOKUP(Tabla3[[#This Row],[Cliente factura]],Tabla4[[NIT]:[TOTAL CREDITO]],6,FALSE),0)</f>
        <v>0</v>
      </c>
      <c r="S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9" s="10" t="str">
        <f>VLOOKUP(Tabla3[[#This Row],[Razón social cliente factura]]&amp;Tabla3[[#This Row],[Desc. ciudad]],'Estandar de Rutas'!$C$1:$E$553,2,FALSE)</f>
        <v>11.2</v>
      </c>
      <c r="U599" s="130">
        <f>IFERROR(VLOOKUP(Tabla3[[#This Row],[Referencia]]&amp;Tabla3[[#This Row],[Desc detalle ext 1]],Tabla1[[Referencia-Color]:[Disponibilidad]],3,FALSE),0)</f>
        <v>3</v>
      </c>
      <c r="V599" s="13"/>
      <c r="W599" s="17">
        <f>+Tabla3[[#This Row],[Cant. Programada]]*Tabla3[[#This Row],[Precio unit]]</f>
        <v>0</v>
      </c>
      <c r="X599" s="8"/>
      <c r="Y599" s="8"/>
      <c r="Z599" s="8" t="str">
        <f>+Tabla3[[#This Row],[Referencia]]&amp;Tabla3[[#This Row],[Desc detalle ext 1]]</f>
        <v xml:space="preserve">*XR 150L                                          NEGRO    </v>
      </c>
      <c r="AA599" s="128" t="e">
        <f>+VLOOKUP(Tabla3[[#This Row],[CODIGO2]],ESTANDAR!$B$3:$C$9,2,FALSE)</f>
        <v>#N/A</v>
      </c>
      <c r="AB599" s="128" t="str">
        <f>+MID(Tabla3[[#This Row],['# Viaje]],10,1)</f>
        <v/>
      </c>
    </row>
    <row r="600" spans="1:28" ht="15" hidden="1" customHeight="1">
      <c r="A600" s="173" t="s">
        <v>1564</v>
      </c>
      <c r="B600" s="174">
        <v>42948</v>
      </c>
      <c r="C600" s="173" t="s">
        <v>1231</v>
      </c>
      <c r="D600" s="173" t="s">
        <v>1487</v>
      </c>
      <c r="E600" s="173" t="s">
        <v>1479</v>
      </c>
      <c r="F600" s="173">
        <v>2</v>
      </c>
      <c r="G600" s="173" t="s">
        <v>182</v>
      </c>
      <c r="H600" s="173">
        <v>2</v>
      </c>
      <c r="I600" s="173" t="s">
        <v>1565</v>
      </c>
      <c r="J600" s="173" t="s">
        <v>10</v>
      </c>
      <c r="K600" s="173" t="s">
        <v>11</v>
      </c>
      <c r="L600" s="173"/>
      <c r="M600" s="173" t="s">
        <v>183</v>
      </c>
      <c r="N600" s="173">
        <v>802016654</v>
      </c>
      <c r="O600" s="175">
        <v>7554622</v>
      </c>
      <c r="P600" s="7"/>
      <c r="Q600" s="16">
        <f>+IF(IFERROR(VLOOKUP(Tabla3[[#This Row],[Cliente factura]],Tabla4[[NIT]:[TOTAL CREDITO]],3,FALSE),0)="",0,IFERROR(VLOOKUP(Tabla3[[#This Row],[Cliente factura]],Tabla4[[NIT]:[TOTAL CREDITO]],3,FALSE),0))</f>
        <v>1252965</v>
      </c>
      <c r="R600" s="9">
        <f>+IFERROR(VLOOKUP(Tabla3[[#This Row],[Cliente factura]],Tabla4[[NIT]:[TOTAL CREDITO]],6,FALSE),0)</f>
        <v>0</v>
      </c>
      <c r="S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0" s="10" t="str">
        <f>VLOOKUP(Tabla3[[#This Row],[Razón social cliente factura]]&amp;Tabla3[[#This Row],[Desc. ciudad]],'Estandar de Rutas'!$C$1:$E$553,2,FALSE)</f>
        <v>11.2</v>
      </c>
      <c r="U600" s="130">
        <f>IFERROR(VLOOKUP(Tabla3[[#This Row],[Referencia]]&amp;Tabla3[[#This Row],[Desc detalle ext 1]],Tabla1[[Referencia-Color]:[Disponibilidad]],3,FALSE),0)</f>
        <v>0</v>
      </c>
      <c r="V600" s="13"/>
      <c r="W600" s="17">
        <f>+Tabla3[[#This Row],[Cant. Programada]]*Tabla3[[#This Row],[Precio unit]]</f>
        <v>0</v>
      </c>
      <c r="X600" s="130"/>
      <c r="Y600" s="8"/>
      <c r="Z600" s="8" t="str">
        <f>+Tabla3[[#This Row],[Referencia]]&amp;Tabla3[[#This Row],[Desc detalle ext 1]]</f>
        <v>CB 190R                                           NEGRO ONI</v>
      </c>
      <c r="AA600" s="128" t="e">
        <f>+VLOOKUP(Tabla3[[#This Row],[CODIGO2]],ESTANDAR!$B$3:$C$9,2,FALSE)</f>
        <v>#N/A</v>
      </c>
      <c r="AB600" s="128" t="str">
        <f>+MID(Tabla3[[#This Row],['# Viaje]],10,1)</f>
        <v/>
      </c>
    </row>
    <row r="601" spans="1:28" ht="15" hidden="1" customHeight="1">
      <c r="A601" s="173" t="s">
        <v>1566</v>
      </c>
      <c r="B601" s="174">
        <v>42948</v>
      </c>
      <c r="C601" s="173" t="s">
        <v>1231</v>
      </c>
      <c r="D601" s="173" t="s">
        <v>1487</v>
      </c>
      <c r="E601" s="173" t="s">
        <v>1479</v>
      </c>
      <c r="F601" s="173">
        <v>1</v>
      </c>
      <c r="G601" s="173" t="s">
        <v>197</v>
      </c>
      <c r="H601" s="173">
        <v>1</v>
      </c>
      <c r="I601" s="173" t="s">
        <v>197</v>
      </c>
      <c r="J601" s="173" t="s">
        <v>27</v>
      </c>
      <c r="K601" s="173" t="s">
        <v>32</v>
      </c>
      <c r="L601" s="173"/>
      <c r="M601" s="173" t="s">
        <v>198</v>
      </c>
      <c r="N601" s="173">
        <v>9261453</v>
      </c>
      <c r="O601" s="175">
        <v>5789916</v>
      </c>
      <c r="P601" s="7"/>
      <c r="Q601" s="16">
        <f>+IF(IFERROR(VLOOKUP(Tabla3[[#This Row],[Cliente factura]],Tabla4[[NIT]:[TOTAL CREDITO]],3,FALSE),0)="",0,IFERROR(VLOOKUP(Tabla3[[#This Row],[Cliente factura]],Tabla4[[NIT]:[TOTAL CREDITO]],3,FALSE),0))</f>
        <v>20000000</v>
      </c>
      <c r="R601" s="9">
        <f>+IFERROR(VLOOKUP(Tabla3[[#This Row],[Cliente factura]],Tabla4[[NIT]:[TOTAL CREDITO]],6,FALSE),0)</f>
        <v>48000000</v>
      </c>
      <c r="S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1" s="10" t="str">
        <f>VLOOKUP(Tabla3[[#This Row],[Razón social cliente factura]]&amp;Tabla3[[#This Row],[Desc. ciudad]],'Estandar de Rutas'!$C$1:$E$553,2,FALSE)</f>
        <v>10.2</v>
      </c>
      <c r="U601" s="130">
        <f>IFERROR(VLOOKUP(Tabla3[[#This Row],[Referencia]]&amp;Tabla3[[#This Row],[Desc detalle ext 1]],Tabla1[[Referencia-Color]:[Disponibilidad]],3,FALSE),0)</f>
        <v>7</v>
      </c>
      <c r="V601" s="13"/>
      <c r="W601" s="17">
        <f>+Tabla3[[#This Row],[Cant. Programada]]*Tabla3[[#This Row],[Precio unit]]</f>
        <v>0</v>
      </c>
      <c r="X601" s="8"/>
      <c r="Y601" s="8"/>
      <c r="Z601" s="8" t="str">
        <f>+Tabla3[[#This Row],[Referencia]]&amp;Tabla3[[#This Row],[Desc detalle ext 1]]</f>
        <v>*XR 150L                                          NEGRO ROJ</v>
      </c>
      <c r="AA601" s="128" t="e">
        <f>+VLOOKUP(Tabla3[[#This Row],[CODIGO2]],ESTANDAR!$B$3:$C$9,2,FALSE)</f>
        <v>#N/A</v>
      </c>
      <c r="AB601" s="128" t="str">
        <f>+MID(Tabla3[[#This Row],['# Viaje]],10,1)</f>
        <v/>
      </c>
    </row>
    <row r="602" spans="1:28" ht="15" hidden="1" customHeight="1">
      <c r="A602" s="173" t="s">
        <v>1566</v>
      </c>
      <c r="B602" s="174">
        <v>42948</v>
      </c>
      <c r="C602" s="173" t="s">
        <v>1231</v>
      </c>
      <c r="D602" s="173" t="s">
        <v>1487</v>
      </c>
      <c r="E602" s="173" t="s">
        <v>1479</v>
      </c>
      <c r="F602" s="173">
        <v>2</v>
      </c>
      <c r="G602" s="173" t="s">
        <v>197</v>
      </c>
      <c r="H602" s="173">
        <v>2</v>
      </c>
      <c r="I602" s="173" t="s">
        <v>197</v>
      </c>
      <c r="J602" s="173" t="s">
        <v>27</v>
      </c>
      <c r="K602" s="173" t="s">
        <v>26</v>
      </c>
      <c r="L602" s="173"/>
      <c r="M602" s="173" t="s">
        <v>198</v>
      </c>
      <c r="N602" s="173">
        <v>9261453</v>
      </c>
      <c r="O602" s="175">
        <v>5789916</v>
      </c>
      <c r="P602" s="7"/>
      <c r="Q602" s="16">
        <f>+IF(IFERROR(VLOOKUP(Tabla3[[#This Row],[Cliente factura]],Tabla4[[NIT]:[TOTAL CREDITO]],3,FALSE),0)="",0,IFERROR(VLOOKUP(Tabla3[[#This Row],[Cliente factura]],Tabla4[[NIT]:[TOTAL CREDITO]],3,FALSE),0))</f>
        <v>20000000</v>
      </c>
      <c r="R602" s="9">
        <f>+IFERROR(VLOOKUP(Tabla3[[#This Row],[Cliente factura]],Tabla4[[NIT]:[TOTAL CREDITO]],6,FALSE),0)</f>
        <v>48000000</v>
      </c>
      <c r="S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2" s="10" t="str">
        <f>VLOOKUP(Tabla3[[#This Row],[Razón social cliente factura]]&amp;Tabla3[[#This Row],[Desc. ciudad]],'Estandar de Rutas'!$C$1:$E$553,2,FALSE)</f>
        <v>10.2</v>
      </c>
      <c r="U602" s="130">
        <f>IFERROR(VLOOKUP(Tabla3[[#This Row],[Referencia]]&amp;Tabla3[[#This Row],[Desc detalle ext 1]],Tabla1[[Referencia-Color]:[Disponibilidad]],3,FALSE),0)</f>
        <v>59</v>
      </c>
      <c r="V602" s="13"/>
      <c r="W602" s="17">
        <f>+Tabla3[[#This Row],[Cant. Programada]]*Tabla3[[#This Row],[Precio unit]]</f>
        <v>0</v>
      </c>
      <c r="X602" s="8"/>
      <c r="Y602" s="8"/>
      <c r="Z602" s="8" t="str">
        <f>+Tabla3[[#This Row],[Referencia]]&amp;Tabla3[[#This Row],[Desc detalle ext 1]]</f>
        <v>*XR 150L                                          NEGRO BLA</v>
      </c>
      <c r="AA602" s="128" t="e">
        <f>+VLOOKUP(Tabla3[[#This Row],[CODIGO2]],ESTANDAR!$B$3:$C$9,2,FALSE)</f>
        <v>#N/A</v>
      </c>
      <c r="AB602" s="128" t="str">
        <f>+MID(Tabla3[[#This Row],['# Viaje]],10,1)</f>
        <v/>
      </c>
    </row>
    <row r="603" spans="1:28" ht="15" hidden="1" customHeight="1">
      <c r="A603" s="173" t="s">
        <v>1566</v>
      </c>
      <c r="B603" s="174">
        <v>42948</v>
      </c>
      <c r="C603" s="173" t="s">
        <v>1231</v>
      </c>
      <c r="D603" s="173" t="s">
        <v>1487</v>
      </c>
      <c r="E603" s="173" t="s">
        <v>1479</v>
      </c>
      <c r="F603" s="173">
        <v>1</v>
      </c>
      <c r="G603" s="173" t="s">
        <v>197</v>
      </c>
      <c r="H603" s="173">
        <v>1</v>
      </c>
      <c r="I603" s="173" t="s">
        <v>197</v>
      </c>
      <c r="J603" s="173" t="s">
        <v>1433</v>
      </c>
      <c r="K603" s="173" t="s">
        <v>1431</v>
      </c>
      <c r="L603" s="173"/>
      <c r="M603" s="173" t="s">
        <v>198</v>
      </c>
      <c r="N603" s="173">
        <v>9261453</v>
      </c>
      <c r="O603" s="175">
        <v>3521008</v>
      </c>
      <c r="P603" s="7"/>
      <c r="Q603" s="16">
        <f>+IF(IFERROR(VLOOKUP(Tabla3[[#This Row],[Cliente factura]],Tabla4[[NIT]:[TOTAL CREDITO]],3,FALSE),0)="",0,IFERROR(VLOOKUP(Tabla3[[#This Row],[Cliente factura]],Tabla4[[NIT]:[TOTAL CREDITO]],3,FALSE),0))</f>
        <v>20000000</v>
      </c>
      <c r="R603" s="9">
        <f>+IFERROR(VLOOKUP(Tabla3[[#This Row],[Cliente factura]],Tabla4[[NIT]:[TOTAL CREDITO]],6,FALSE),0)</f>
        <v>48000000</v>
      </c>
      <c r="S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3" s="10" t="str">
        <f>VLOOKUP(Tabla3[[#This Row],[Razón social cliente factura]]&amp;Tabla3[[#This Row],[Desc. ciudad]],'Estandar de Rutas'!$C$1:$E$553,2,FALSE)</f>
        <v>10.2</v>
      </c>
      <c r="U603" s="130">
        <f>IFERROR(VLOOKUP(Tabla3[[#This Row],[Referencia]]&amp;Tabla3[[#This Row],[Desc detalle ext 1]],Tabla1[[Referencia-Color]:[Disponibilidad]],3,FALSE),0)</f>
        <v>0</v>
      </c>
      <c r="V603" s="13"/>
      <c r="W603" s="17">
        <f>+Tabla3[[#This Row],[Cant. Programada]]*Tabla3[[#This Row],[Precio unit]]</f>
        <v>0</v>
      </c>
      <c r="X603" s="8"/>
      <c r="Y603" s="8"/>
      <c r="Z603" s="8" t="str">
        <f>+Tabla3[[#This Row],[Referencia]]&amp;Tabla3[[#This Row],[Desc detalle ext 1]]</f>
        <v xml:space="preserve">DIO  110                                          ROJO     </v>
      </c>
      <c r="AA603" s="128" t="e">
        <f>+VLOOKUP(Tabla3[[#This Row],[CODIGO2]],ESTANDAR!$B$3:$C$9,2,FALSE)</f>
        <v>#N/A</v>
      </c>
      <c r="AB603" s="128" t="str">
        <f>+MID(Tabla3[[#This Row],['# Viaje]],10,1)</f>
        <v/>
      </c>
    </row>
    <row r="604" spans="1:28" ht="15" hidden="1" customHeight="1">
      <c r="A604" s="173" t="s">
        <v>1566</v>
      </c>
      <c r="B604" s="174">
        <v>42948</v>
      </c>
      <c r="C604" s="173" t="s">
        <v>1231</v>
      </c>
      <c r="D604" s="173" t="s">
        <v>1487</v>
      </c>
      <c r="E604" s="173" t="s">
        <v>1479</v>
      </c>
      <c r="F604" s="173">
        <v>1</v>
      </c>
      <c r="G604" s="173" t="s">
        <v>197</v>
      </c>
      <c r="H604" s="173">
        <v>1</v>
      </c>
      <c r="I604" s="173" t="s">
        <v>197</v>
      </c>
      <c r="J604" s="173" t="s">
        <v>1433</v>
      </c>
      <c r="K604" s="173" t="s">
        <v>1452</v>
      </c>
      <c r="L604" s="173"/>
      <c r="M604" s="173" t="s">
        <v>198</v>
      </c>
      <c r="N604" s="173">
        <v>9261453</v>
      </c>
      <c r="O604" s="175">
        <v>3521008</v>
      </c>
      <c r="P604" s="7"/>
      <c r="Q604" s="16">
        <f>+IF(IFERROR(VLOOKUP(Tabla3[[#This Row],[Cliente factura]],Tabla4[[NIT]:[TOTAL CREDITO]],3,FALSE),0)="",0,IFERROR(VLOOKUP(Tabla3[[#This Row],[Cliente factura]],Tabla4[[NIT]:[TOTAL CREDITO]],3,FALSE),0))</f>
        <v>20000000</v>
      </c>
      <c r="R604" s="9">
        <f>+IFERROR(VLOOKUP(Tabla3[[#This Row],[Cliente factura]],Tabla4[[NIT]:[TOTAL CREDITO]],6,FALSE),0)</f>
        <v>48000000</v>
      </c>
      <c r="S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4" s="10" t="str">
        <f>VLOOKUP(Tabla3[[#This Row],[Razón social cliente factura]]&amp;Tabla3[[#This Row],[Desc. ciudad]],'Estandar de Rutas'!$C$1:$E$553,2,FALSE)</f>
        <v>10.2</v>
      </c>
      <c r="U604" s="130">
        <f>IFERROR(VLOOKUP(Tabla3[[#This Row],[Referencia]]&amp;Tabla3[[#This Row],[Desc detalle ext 1]],Tabla1[[Referencia-Color]:[Disponibilidad]],3,FALSE),0)</f>
        <v>0</v>
      </c>
      <c r="V604" s="13"/>
      <c r="W604" s="17">
        <f>+Tabla3[[#This Row],[Cant. Programada]]*Tabla3[[#This Row],[Precio unit]]</f>
        <v>0</v>
      </c>
      <c r="X604" s="8"/>
      <c r="Y604" s="8"/>
      <c r="Z604" s="8" t="str">
        <f>+Tabla3[[#This Row],[Referencia]]&amp;Tabla3[[#This Row],[Desc detalle ext 1]]</f>
        <v xml:space="preserve">DIO  110                                          AZUL     </v>
      </c>
      <c r="AA604" s="128" t="e">
        <f>+VLOOKUP(Tabla3[[#This Row],[CODIGO2]],ESTANDAR!$B$3:$C$9,2,FALSE)</f>
        <v>#N/A</v>
      </c>
      <c r="AB604" s="128" t="str">
        <f>+MID(Tabla3[[#This Row],['# Viaje]],10,1)</f>
        <v/>
      </c>
    </row>
    <row r="605" spans="1:28" ht="15" hidden="1" customHeight="1">
      <c r="A605" s="173" t="s">
        <v>1566</v>
      </c>
      <c r="B605" s="174">
        <v>42948</v>
      </c>
      <c r="C605" s="173" t="s">
        <v>1231</v>
      </c>
      <c r="D605" s="173" t="s">
        <v>1487</v>
      </c>
      <c r="E605" s="173" t="s">
        <v>1479</v>
      </c>
      <c r="F605" s="173">
        <v>1</v>
      </c>
      <c r="G605" s="173" t="s">
        <v>197</v>
      </c>
      <c r="H605" s="173">
        <v>1</v>
      </c>
      <c r="I605" s="173" t="s">
        <v>197</v>
      </c>
      <c r="J605" s="173" t="s">
        <v>1428</v>
      </c>
      <c r="K605" s="173" t="s">
        <v>1429</v>
      </c>
      <c r="L605" s="173"/>
      <c r="M605" s="173" t="s">
        <v>198</v>
      </c>
      <c r="N605" s="173">
        <v>9261453</v>
      </c>
      <c r="O605" s="175">
        <v>3067227</v>
      </c>
      <c r="P605" s="7"/>
      <c r="Q605" s="16">
        <f>+IF(IFERROR(VLOOKUP(Tabla3[[#This Row],[Cliente factura]],Tabla4[[NIT]:[TOTAL CREDITO]],3,FALSE),0)="",0,IFERROR(VLOOKUP(Tabla3[[#This Row],[Cliente factura]],Tabla4[[NIT]:[TOTAL CREDITO]],3,FALSE),0))</f>
        <v>20000000</v>
      </c>
      <c r="R605" s="9">
        <f>+IFERROR(VLOOKUP(Tabla3[[#This Row],[Cliente factura]],Tabla4[[NIT]:[TOTAL CREDITO]],6,FALSE),0)</f>
        <v>48000000</v>
      </c>
      <c r="S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5" s="10" t="str">
        <f>VLOOKUP(Tabla3[[#This Row],[Razón social cliente factura]]&amp;Tabla3[[#This Row],[Desc. ciudad]],'Estandar de Rutas'!$C$1:$E$553,2,FALSE)</f>
        <v>10.2</v>
      </c>
      <c r="U605" s="130">
        <f>IFERROR(VLOOKUP(Tabla3[[#This Row],[Referencia]]&amp;Tabla3[[#This Row],[Desc detalle ext 1]],Tabla1[[Referencia-Color]:[Disponibilidad]],3,FALSE),0)</f>
        <v>0</v>
      </c>
      <c r="V605" s="13"/>
      <c r="W605" s="17">
        <f>+Tabla3[[#This Row],[Cant. Programada]]*Tabla3[[#This Row],[Precio unit]]</f>
        <v>0</v>
      </c>
      <c r="X605" s="8"/>
      <c r="Y605" s="8"/>
      <c r="Z605" s="8" t="str">
        <f>+Tabla3[[#This Row],[Referencia]]&amp;Tabla3[[#This Row],[Desc detalle ext 1]]</f>
        <v>DREAM  NEO                                        NEGRO AZU</v>
      </c>
      <c r="AA605" s="128" t="e">
        <f>+VLOOKUP(Tabla3[[#This Row],[CODIGO2]],ESTANDAR!$B$3:$C$9,2,FALSE)</f>
        <v>#N/A</v>
      </c>
      <c r="AB605" s="128" t="str">
        <f>+MID(Tabla3[[#This Row],['# Viaje]],10,1)</f>
        <v/>
      </c>
    </row>
    <row r="606" spans="1:28" ht="15" hidden="1" customHeight="1">
      <c r="A606" s="173" t="s">
        <v>1566</v>
      </c>
      <c r="B606" s="174">
        <v>42948</v>
      </c>
      <c r="C606" s="173" t="s">
        <v>1231</v>
      </c>
      <c r="D606" s="173" t="s">
        <v>1487</v>
      </c>
      <c r="E606" s="173" t="s">
        <v>1479</v>
      </c>
      <c r="F606" s="173">
        <v>1</v>
      </c>
      <c r="G606" s="173" t="s">
        <v>197</v>
      </c>
      <c r="H606" s="173">
        <v>1</v>
      </c>
      <c r="I606" s="173" t="s">
        <v>197</v>
      </c>
      <c r="J606" s="173" t="s">
        <v>1428</v>
      </c>
      <c r="K606" s="173" t="s">
        <v>1461</v>
      </c>
      <c r="L606" s="173"/>
      <c r="M606" s="173" t="s">
        <v>198</v>
      </c>
      <c r="N606" s="173">
        <v>9261453</v>
      </c>
      <c r="O606" s="175">
        <v>3067227</v>
      </c>
      <c r="P606" s="7"/>
      <c r="Q606" s="16">
        <f>+IF(IFERROR(VLOOKUP(Tabla3[[#This Row],[Cliente factura]],Tabla4[[NIT]:[TOTAL CREDITO]],3,FALSE),0)="",0,IFERROR(VLOOKUP(Tabla3[[#This Row],[Cliente factura]],Tabla4[[NIT]:[TOTAL CREDITO]],3,FALSE),0))</f>
        <v>20000000</v>
      </c>
      <c r="R606" s="9">
        <f>+IFERROR(VLOOKUP(Tabla3[[#This Row],[Cliente factura]],Tabla4[[NIT]:[TOTAL CREDITO]],6,FALSE),0)</f>
        <v>48000000</v>
      </c>
      <c r="S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6" s="10" t="str">
        <f>VLOOKUP(Tabla3[[#This Row],[Razón social cliente factura]]&amp;Tabla3[[#This Row],[Desc. ciudad]],'Estandar de Rutas'!$C$1:$E$553,2,FALSE)</f>
        <v>10.2</v>
      </c>
      <c r="U606" s="130">
        <f>IFERROR(VLOOKUP(Tabla3[[#This Row],[Referencia]]&amp;Tabla3[[#This Row],[Desc detalle ext 1]],Tabla1[[Referencia-Color]:[Disponibilidad]],3,FALSE),0)</f>
        <v>0</v>
      </c>
      <c r="V606" s="13"/>
      <c r="W606" s="17">
        <f>+Tabla3[[#This Row],[Cant. Programada]]*Tabla3[[#This Row],[Precio unit]]</f>
        <v>0</v>
      </c>
      <c r="X606" s="8"/>
      <c r="Y606" s="8"/>
      <c r="Z606" s="8" t="str">
        <f>+Tabla3[[#This Row],[Referencia]]&amp;Tabla3[[#This Row],[Desc detalle ext 1]]</f>
        <v>DREAM  NEO                                        ROJO ALFA</v>
      </c>
      <c r="AA606" s="128" t="e">
        <f>+VLOOKUP(Tabla3[[#This Row],[CODIGO2]],ESTANDAR!$B$3:$C$9,2,FALSE)</f>
        <v>#N/A</v>
      </c>
      <c r="AB606" s="128" t="str">
        <f>+MID(Tabla3[[#This Row],['# Viaje]],10,1)</f>
        <v/>
      </c>
    </row>
    <row r="607" spans="1:28" ht="15" hidden="1" customHeight="1">
      <c r="A607" s="173" t="s">
        <v>1567</v>
      </c>
      <c r="B607" s="174">
        <v>42948</v>
      </c>
      <c r="C607" s="173" t="s">
        <v>1231</v>
      </c>
      <c r="D607" s="173" t="s">
        <v>1487</v>
      </c>
      <c r="E607" s="173" t="s">
        <v>1479</v>
      </c>
      <c r="F607" s="173">
        <v>1</v>
      </c>
      <c r="G607" s="173" t="s">
        <v>195</v>
      </c>
      <c r="H607" s="173">
        <v>1</v>
      </c>
      <c r="I607" s="173" t="s">
        <v>195</v>
      </c>
      <c r="J607" s="173" t="s">
        <v>14</v>
      </c>
      <c r="K607" s="173" t="s">
        <v>16</v>
      </c>
      <c r="L607" s="173"/>
      <c r="M607" s="173" t="s">
        <v>196</v>
      </c>
      <c r="N607" s="173">
        <v>900202461</v>
      </c>
      <c r="O607" s="175">
        <v>3360504</v>
      </c>
      <c r="P607" s="7"/>
      <c r="Q607" s="16">
        <f>+IF(IFERROR(VLOOKUP(Tabla3[[#This Row],[Cliente factura]],Tabla4[[NIT]:[TOTAL CREDITO]],3,FALSE),0)="",0,IFERROR(VLOOKUP(Tabla3[[#This Row],[Cliente factura]],Tabla4[[NIT]:[TOTAL CREDITO]],3,FALSE),0))</f>
        <v>31262</v>
      </c>
      <c r="R607" s="9">
        <f>+IFERROR(VLOOKUP(Tabla3[[#This Row],[Cliente factura]],Tabla4[[NIT]:[TOTAL CREDITO]],6,FALSE),0)</f>
        <v>0</v>
      </c>
      <c r="S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7" s="10" t="str">
        <f>VLOOKUP(Tabla3[[#This Row],[Razón social cliente factura]]&amp;Tabla3[[#This Row],[Desc. ciudad]],'Estandar de Rutas'!$C$1:$E$553,2,FALSE)</f>
        <v>10.2</v>
      </c>
      <c r="U607" s="130">
        <f>IFERROR(VLOOKUP(Tabla3[[#This Row],[Referencia]]&amp;Tabla3[[#This Row],[Desc detalle ext 1]],Tabla1[[Referencia-Color]:[Disponibilidad]],3,FALSE),0)</f>
        <v>83</v>
      </c>
      <c r="V607" s="13"/>
      <c r="W607" s="17">
        <f>+Tabla3[[#This Row],[Cant. Programada]]*Tabla3[[#This Row],[Precio unit]]</f>
        <v>0</v>
      </c>
      <c r="X607" s="8"/>
      <c r="Y607" s="8"/>
      <c r="Z607" s="8" t="str">
        <f>+Tabla3[[#This Row],[Referencia]]&amp;Tabla3[[#This Row],[Desc detalle ext 1]]</f>
        <v xml:space="preserve">*CB-110                                           NEGRO    </v>
      </c>
      <c r="AA607" s="128" t="e">
        <f>+VLOOKUP(Tabla3[[#This Row],[CODIGO2]],ESTANDAR!$B$3:$C$9,2,FALSE)</f>
        <v>#N/A</v>
      </c>
      <c r="AB607" s="128" t="str">
        <f>+MID(Tabla3[[#This Row],['# Viaje]],10,1)</f>
        <v/>
      </c>
    </row>
    <row r="608" spans="1:28" ht="15" hidden="1" customHeight="1">
      <c r="A608" s="173" t="s">
        <v>1567</v>
      </c>
      <c r="B608" s="174">
        <v>42948</v>
      </c>
      <c r="C608" s="173" t="s">
        <v>1231</v>
      </c>
      <c r="D608" s="173" t="s">
        <v>1487</v>
      </c>
      <c r="E608" s="173" t="s">
        <v>1479</v>
      </c>
      <c r="F608" s="173">
        <v>2</v>
      </c>
      <c r="G608" s="173" t="s">
        <v>195</v>
      </c>
      <c r="H608" s="173">
        <v>2</v>
      </c>
      <c r="I608" s="173" t="s">
        <v>195</v>
      </c>
      <c r="J608" s="173" t="s">
        <v>27</v>
      </c>
      <c r="K608" s="173" t="s">
        <v>32</v>
      </c>
      <c r="L608" s="173"/>
      <c r="M608" s="173" t="s">
        <v>196</v>
      </c>
      <c r="N608" s="173">
        <v>900202461</v>
      </c>
      <c r="O608" s="175">
        <v>5789916</v>
      </c>
      <c r="P608" s="7"/>
      <c r="Q608" s="16">
        <f>+IF(IFERROR(VLOOKUP(Tabla3[[#This Row],[Cliente factura]],Tabla4[[NIT]:[TOTAL CREDITO]],3,FALSE),0)="",0,IFERROR(VLOOKUP(Tabla3[[#This Row],[Cliente factura]],Tabla4[[NIT]:[TOTAL CREDITO]],3,FALSE),0))</f>
        <v>31262</v>
      </c>
      <c r="R608" s="9">
        <f>+IFERROR(VLOOKUP(Tabla3[[#This Row],[Cliente factura]],Tabla4[[NIT]:[TOTAL CREDITO]],6,FALSE),0)</f>
        <v>0</v>
      </c>
      <c r="S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8" s="10" t="str">
        <f>VLOOKUP(Tabla3[[#This Row],[Razón social cliente factura]]&amp;Tabla3[[#This Row],[Desc. ciudad]],'Estandar de Rutas'!$C$1:$E$553,2,FALSE)</f>
        <v>10.2</v>
      </c>
      <c r="U608" s="130">
        <f>IFERROR(VLOOKUP(Tabla3[[#This Row],[Referencia]]&amp;Tabla3[[#This Row],[Desc detalle ext 1]],Tabla1[[Referencia-Color]:[Disponibilidad]],3,FALSE),0)</f>
        <v>7</v>
      </c>
      <c r="V608" s="13"/>
      <c r="W608" s="17">
        <f>+Tabla3[[#This Row],[Cant. Programada]]*Tabla3[[#This Row],[Precio unit]]</f>
        <v>0</v>
      </c>
      <c r="X608" s="8"/>
      <c r="Y608" s="8"/>
      <c r="Z608" s="8" t="str">
        <f>+Tabla3[[#This Row],[Referencia]]&amp;Tabla3[[#This Row],[Desc detalle ext 1]]</f>
        <v>*XR 150L                                          NEGRO ROJ</v>
      </c>
      <c r="AA608" s="128" t="e">
        <f>+VLOOKUP(Tabla3[[#This Row],[CODIGO2]],ESTANDAR!$B$3:$C$9,2,FALSE)</f>
        <v>#N/A</v>
      </c>
      <c r="AB608" s="128" t="str">
        <f>+MID(Tabla3[[#This Row],['# Viaje]],10,1)</f>
        <v/>
      </c>
    </row>
    <row r="609" spans="1:28" ht="15" hidden="1" customHeight="1">
      <c r="A609" s="173" t="s">
        <v>1567</v>
      </c>
      <c r="B609" s="174">
        <v>42948</v>
      </c>
      <c r="C609" s="173" t="s">
        <v>1231</v>
      </c>
      <c r="D609" s="173" t="s">
        <v>1487</v>
      </c>
      <c r="E609" s="173" t="s">
        <v>1479</v>
      </c>
      <c r="F609" s="173">
        <v>1</v>
      </c>
      <c r="G609" s="173" t="s">
        <v>195</v>
      </c>
      <c r="H609" s="173">
        <v>1</v>
      </c>
      <c r="I609" s="173" t="s">
        <v>195</v>
      </c>
      <c r="J609" s="173" t="s">
        <v>27</v>
      </c>
      <c r="K609" s="173" t="s">
        <v>26</v>
      </c>
      <c r="L609" s="173"/>
      <c r="M609" s="173" t="s">
        <v>196</v>
      </c>
      <c r="N609" s="173">
        <v>900202461</v>
      </c>
      <c r="O609" s="175">
        <v>5789916</v>
      </c>
      <c r="P609" s="7"/>
      <c r="Q609" s="16">
        <f>+IF(IFERROR(VLOOKUP(Tabla3[[#This Row],[Cliente factura]],Tabla4[[NIT]:[TOTAL CREDITO]],3,FALSE),0)="",0,IFERROR(VLOOKUP(Tabla3[[#This Row],[Cliente factura]],Tabla4[[NIT]:[TOTAL CREDITO]],3,FALSE),0))</f>
        <v>31262</v>
      </c>
      <c r="R609" s="9">
        <f>+IFERROR(VLOOKUP(Tabla3[[#This Row],[Cliente factura]],Tabla4[[NIT]:[TOTAL CREDITO]],6,FALSE),0)</f>
        <v>0</v>
      </c>
      <c r="S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9" s="10" t="str">
        <f>VLOOKUP(Tabla3[[#This Row],[Razón social cliente factura]]&amp;Tabla3[[#This Row],[Desc. ciudad]],'Estandar de Rutas'!$C$1:$E$553,2,FALSE)</f>
        <v>10.2</v>
      </c>
      <c r="U609" s="130">
        <f>IFERROR(VLOOKUP(Tabla3[[#This Row],[Referencia]]&amp;Tabla3[[#This Row],[Desc detalle ext 1]],Tabla1[[Referencia-Color]:[Disponibilidad]],3,FALSE),0)</f>
        <v>59</v>
      </c>
      <c r="V609" s="13"/>
      <c r="W609" s="17">
        <f>+Tabla3[[#This Row],[Cant. Programada]]*Tabla3[[#This Row],[Precio unit]]</f>
        <v>0</v>
      </c>
      <c r="X609" s="8"/>
      <c r="Y609" s="8"/>
      <c r="Z609" s="8" t="str">
        <f>+Tabla3[[#This Row],[Referencia]]&amp;Tabla3[[#This Row],[Desc detalle ext 1]]</f>
        <v>*XR 150L                                          NEGRO BLA</v>
      </c>
      <c r="AA609" s="128" t="e">
        <f>+VLOOKUP(Tabla3[[#This Row],[CODIGO2]],ESTANDAR!$B$3:$C$9,2,FALSE)</f>
        <v>#N/A</v>
      </c>
      <c r="AB609" s="128" t="str">
        <f>+MID(Tabla3[[#This Row],['# Viaje]],10,1)</f>
        <v/>
      </c>
    </row>
    <row r="610" spans="1:28" ht="15" hidden="1" customHeight="1">
      <c r="A610" s="173" t="s">
        <v>1567</v>
      </c>
      <c r="B610" s="174">
        <v>42948</v>
      </c>
      <c r="C610" s="173" t="s">
        <v>1231</v>
      </c>
      <c r="D610" s="173" t="s">
        <v>1487</v>
      </c>
      <c r="E610" s="173" t="s">
        <v>1479</v>
      </c>
      <c r="F610" s="173">
        <v>1</v>
      </c>
      <c r="G610" s="173" t="s">
        <v>195</v>
      </c>
      <c r="H610" s="173">
        <v>1</v>
      </c>
      <c r="I610" s="173" t="s">
        <v>195</v>
      </c>
      <c r="J610" s="173" t="s">
        <v>1433</v>
      </c>
      <c r="K610" s="173" t="s">
        <v>1431</v>
      </c>
      <c r="L610" s="173"/>
      <c r="M610" s="173" t="s">
        <v>196</v>
      </c>
      <c r="N610" s="173">
        <v>900202461</v>
      </c>
      <c r="O610" s="175">
        <v>3521008</v>
      </c>
      <c r="P610" s="7"/>
      <c r="Q610" s="16">
        <f>+IF(IFERROR(VLOOKUP(Tabla3[[#This Row],[Cliente factura]],Tabla4[[NIT]:[TOTAL CREDITO]],3,FALSE),0)="",0,IFERROR(VLOOKUP(Tabla3[[#This Row],[Cliente factura]],Tabla4[[NIT]:[TOTAL CREDITO]],3,FALSE),0))</f>
        <v>31262</v>
      </c>
      <c r="R610" s="9">
        <f>+IFERROR(VLOOKUP(Tabla3[[#This Row],[Cliente factura]],Tabla4[[NIT]:[TOTAL CREDITO]],6,FALSE),0)</f>
        <v>0</v>
      </c>
      <c r="S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0" s="10" t="str">
        <f>VLOOKUP(Tabla3[[#This Row],[Razón social cliente factura]]&amp;Tabla3[[#This Row],[Desc. ciudad]],'Estandar de Rutas'!$C$1:$E$553,2,FALSE)</f>
        <v>10.2</v>
      </c>
      <c r="U610" s="130">
        <f>IFERROR(VLOOKUP(Tabla3[[#This Row],[Referencia]]&amp;Tabla3[[#This Row],[Desc detalle ext 1]],Tabla1[[Referencia-Color]:[Disponibilidad]],3,FALSE),0)</f>
        <v>0</v>
      </c>
      <c r="V610" s="13"/>
      <c r="W610" s="17">
        <f>+Tabla3[[#This Row],[Cant. Programada]]*Tabla3[[#This Row],[Precio unit]]</f>
        <v>0</v>
      </c>
      <c r="X610" s="8"/>
      <c r="Y610" s="8"/>
      <c r="Z610" s="8" t="str">
        <f>+Tabla3[[#This Row],[Referencia]]&amp;Tabla3[[#This Row],[Desc detalle ext 1]]</f>
        <v xml:space="preserve">DIO  110                                          ROJO     </v>
      </c>
      <c r="AA610" s="128" t="e">
        <f>+VLOOKUP(Tabla3[[#This Row],[CODIGO2]],ESTANDAR!$B$3:$C$9,2,FALSE)</f>
        <v>#N/A</v>
      </c>
      <c r="AB610" s="128" t="str">
        <f>+MID(Tabla3[[#This Row],['# Viaje]],10,1)</f>
        <v/>
      </c>
    </row>
    <row r="611" spans="1:28" ht="15" hidden="1" customHeight="1">
      <c r="A611" s="173" t="s">
        <v>1567</v>
      </c>
      <c r="B611" s="174">
        <v>42948</v>
      </c>
      <c r="C611" s="173" t="s">
        <v>1231</v>
      </c>
      <c r="D611" s="173" t="s">
        <v>1487</v>
      </c>
      <c r="E611" s="173" t="s">
        <v>1479</v>
      </c>
      <c r="F611" s="173">
        <v>1</v>
      </c>
      <c r="G611" s="173" t="s">
        <v>195</v>
      </c>
      <c r="H611" s="173">
        <v>1</v>
      </c>
      <c r="I611" s="173" t="s">
        <v>195</v>
      </c>
      <c r="J611" s="173" t="s">
        <v>1433</v>
      </c>
      <c r="K611" s="173" t="s">
        <v>1452</v>
      </c>
      <c r="L611" s="173"/>
      <c r="M611" s="173" t="s">
        <v>196</v>
      </c>
      <c r="N611" s="173">
        <v>900202461</v>
      </c>
      <c r="O611" s="175">
        <v>3521008</v>
      </c>
      <c r="P611" s="7"/>
      <c r="Q611" s="16">
        <f>+IF(IFERROR(VLOOKUP(Tabla3[[#This Row],[Cliente factura]],Tabla4[[NIT]:[TOTAL CREDITO]],3,FALSE),0)="",0,IFERROR(VLOOKUP(Tabla3[[#This Row],[Cliente factura]],Tabla4[[NIT]:[TOTAL CREDITO]],3,FALSE),0))</f>
        <v>31262</v>
      </c>
      <c r="R611" s="9">
        <f>+IFERROR(VLOOKUP(Tabla3[[#This Row],[Cliente factura]],Tabla4[[NIT]:[TOTAL CREDITO]],6,FALSE),0)</f>
        <v>0</v>
      </c>
      <c r="S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1" s="10" t="str">
        <f>VLOOKUP(Tabla3[[#This Row],[Razón social cliente factura]]&amp;Tabla3[[#This Row],[Desc. ciudad]],'Estandar de Rutas'!$C$1:$E$553,2,FALSE)</f>
        <v>10.2</v>
      </c>
      <c r="U611" s="130">
        <f>IFERROR(VLOOKUP(Tabla3[[#This Row],[Referencia]]&amp;Tabla3[[#This Row],[Desc detalle ext 1]],Tabla1[[Referencia-Color]:[Disponibilidad]],3,FALSE),0)</f>
        <v>0</v>
      </c>
      <c r="V611" s="13"/>
      <c r="W611" s="17">
        <f>+Tabla3[[#This Row],[Cant. Programada]]*Tabla3[[#This Row],[Precio unit]]</f>
        <v>0</v>
      </c>
      <c r="X611" s="8"/>
      <c r="Y611" s="8"/>
      <c r="Z611" s="8" t="str">
        <f>+Tabla3[[#This Row],[Referencia]]&amp;Tabla3[[#This Row],[Desc detalle ext 1]]</f>
        <v xml:space="preserve">DIO  110                                          AZUL     </v>
      </c>
      <c r="AA611" s="128" t="e">
        <f>+VLOOKUP(Tabla3[[#This Row],[CODIGO2]],ESTANDAR!$B$3:$C$9,2,FALSE)</f>
        <v>#N/A</v>
      </c>
      <c r="AB611" s="128" t="str">
        <f>+MID(Tabla3[[#This Row],['# Viaje]],10,1)</f>
        <v/>
      </c>
    </row>
    <row r="612" spans="1:28" ht="15" hidden="1" customHeight="1">
      <c r="A612" s="173" t="s">
        <v>1568</v>
      </c>
      <c r="B612" s="174">
        <v>42948</v>
      </c>
      <c r="C612" s="173" t="s">
        <v>1231</v>
      </c>
      <c r="D612" s="173" t="s">
        <v>1237</v>
      </c>
      <c r="E612" s="173" t="s">
        <v>1479</v>
      </c>
      <c r="F612" s="173">
        <v>3</v>
      </c>
      <c r="G612" s="173" t="s">
        <v>69</v>
      </c>
      <c r="H612" s="173">
        <v>3</v>
      </c>
      <c r="I612" s="173" t="s">
        <v>1569</v>
      </c>
      <c r="J612" s="173" t="s">
        <v>27</v>
      </c>
      <c r="K612" s="173" t="s">
        <v>26</v>
      </c>
      <c r="L612" s="173"/>
      <c r="M612" s="173" t="s">
        <v>214</v>
      </c>
      <c r="N612" s="173">
        <v>18125225</v>
      </c>
      <c r="O612" s="175">
        <v>5789916</v>
      </c>
      <c r="P612" s="7"/>
      <c r="Q612" s="16">
        <f>+IF(IFERROR(VLOOKUP(Tabla3[[#This Row],[Cliente factura]],Tabla4[[NIT]:[TOTAL CREDITO]],3,FALSE),0)="",0,IFERROR(VLOOKUP(Tabla3[[#This Row],[Cliente factura]],Tabla4[[NIT]:[TOTAL CREDITO]],3,FALSE),0))</f>
        <v>264217093</v>
      </c>
      <c r="R612" s="9">
        <f>+IFERROR(VLOOKUP(Tabla3[[#This Row],[Cliente factura]],Tabla4[[NIT]:[TOTAL CREDITO]],6,FALSE),0)</f>
        <v>852000000</v>
      </c>
      <c r="S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2" s="10" t="str">
        <f>VLOOKUP(Tabla3[[#This Row],[Razón social cliente factura]]&amp;Tabla3[[#This Row],[Desc. ciudad]],'Estandar de Rutas'!$C$1:$E$553,2,FALSE)</f>
        <v>5.2.B</v>
      </c>
      <c r="U612" s="130">
        <f>IFERROR(VLOOKUP(Tabla3[[#This Row],[Referencia]]&amp;Tabla3[[#This Row],[Desc detalle ext 1]],Tabla1[[Referencia-Color]:[Disponibilidad]],3,FALSE),0)</f>
        <v>59</v>
      </c>
      <c r="V612" s="13"/>
      <c r="W612" s="17">
        <f>+Tabla3[[#This Row],[Cant. Programada]]*Tabla3[[#This Row],[Precio unit]]</f>
        <v>0</v>
      </c>
      <c r="X612" s="8"/>
      <c r="Y612" s="8"/>
      <c r="Z612" s="8" t="str">
        <f>+Tabla3[[#This Row],[Referencia]]&amp;Tabla3[[#This Row],[Desc detalle ext 1]]</f>
        <v>*XR 150L                                          NEGRO BLA</v>
      </c>
      <c r="AA612" s="128" t="e">
        <f>+VLOOKUP(Tabla3[[#This Row],[CODIGO2]],ESTANDAR!$B$3:$C$9,2,FALSE)</f>
        <v>#N/A</v>
      </c>
      <c r="AB612" s="128" t="str">
        <f>+MID(Tabla3[[#This Row],['# Viaje]],10,1)</f>
        <v/>
      </c>
    </row>
    <row r="613" spans="1:28" ht="15" hidden="1" customHeight="1">
      <c r="A613" s="173" t="s">
        <v>1568</v>
      </c>
      <c r="B613" s="174">
        <v>42948</v>
      </c>
      <c r="C613" s="173" t="s">
        <v>1231</v>
      </c>
      <c r="D613" s="173" t="s">
        <v>1237</v>
      </c>
      <c r="E613" s="173" t="s">
        <v>1479</v>
      </c>
      <c r="F613" s="173">
        <v>1</v>
      </c>
      <c r="G613" s="173" t="s">
        <v>69</v>
      </c>
      <c r="H613" s="173">
        <v>1</v>
      </c>
      <c r="I613" s="173" t="s">
        <v>1569</v>
      </c>
      <c r="J613" s="173" t="s">
        <v>1234</v>
      </c>
      <c r="K613" s="173" t="s">
        <v>355</v>
      </c>
      <c r="L613" s="173"/>
      <c r="M613" s="173" t="s">
        <v>214</v>
      </c>
      <c r="N613" s="173">
        <v>18125225</v>
      </c>
      <c r="O613" s="175">
        <v>5453782</v>
      </c>
      <c r="P613" s="7"/>
      <c r="Q613" s="16">
        <f>+IF(IFERROR(VLOOKUP(Tabla3[[#This Row],[Cliente factura]],Tabla4[[NIT]:[TOTAL CREDITO]],3,FALSE),0)="",0,IFERROR(VLOOKUP(Tabla3[[#This Row],[Cliente factura]],Tabla4[[NIT]:[TOTAL CREDITO]],3,FALSE),0))</f>
        <v>264217093</v>
      </c>
      <c r="R613" s="9">
        <f>+IFERROR(VLOOKUP(Tabla3[[#This Row],[Cliente factura]],Tabla4[[NIT]:[TOTAL CREDITO]],6,FALSE),0)</f>
        <v>852000000</v>
      </c>
      <c r="S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3" s="10" t="str">
        <f>VLOOKUP(Tabla3[[#This Row],[Razón social cliente factura]]&amp;Tabla3[[#This Row],[Desc. ciudad]],'Estandar de Rutas'!$C$1:$E$553,2,FALSE)</f>
        <v>5.2.B</v>
      </c>
      <c r="U613" s="130">
        <f>IFERROR(VLOOKUP(Tabla3[[#This Row],[Referencia]]&amp;Tabla3[[#This Row],[Desc detalle ext 1]],Tabla1[[Referencia-Color]:[Disponibilidad]],3,FALSE),0)</f>
        <v>0</v>
      </c>
      <c r="V613" s="13"/>
      <c r="W613" s="17">
        <f>+Tabla3[[#This Row],[Cant. Programada]]*Tabla3[[#This Row],[Precio unit]]</f>
        <v>0</v>
      </c>
      <c r="X613" s="8"/>
      <c r="Y613" s="8"/>
      <c r="Z613" s="8" t="str">
        <f>+Tabla3[[#This Row],[Referencia]]&amp;Tabla3[[#This Row],[Desc detalle ext 1]]</f>
        <v>CB 160F STD                                       NEGRO PER</v>
      </c>
      <c r="AA613" s="128" t="e">
        <f>+VLOOKUP(Tabla3[[#This Row],[CODIGO2]],ESTANDAR!$B$3:$C$9,2,FALSE)</f>
        <v>#N/A</v>
      </c>
      <c r="AB613" s="128" t="str">
        <f>+MID(Tabla3[[#This Row],['# Viaje]],10,1)</f>
        <v/>
      </c>
    </row>
    <row r="614" spans="1:28" ht="15" hidden="1" customHeight="1">
      <c r="A614" s="173" t="s">
        <v>1568</v>
      </c>
      <c r="B614" s="174">
        <v>42948</v>
      </c>
      <c r="C614" s="173" t="s">
        <v>1231</v>
      </c>
      <c r="D614" s="173" t="s">
        <v>1237</v>
      </c>
      <c r="E614" s="173" t="s">
        <v>1479</v>
      </c>
      <c r="F614" s="173">
        <v>4</v>
      </c>
      <c r="G614" s="173" t="s">
        <v>69</v>
      </c>
      <c r="H614" s="173">
        <v>4</v>
      </c>
      <c r="I614" s="173" t="s">
        <v>1569</v>
      </c>
      <c r="J614" s="173" t="s">
        <v>1451</v>
      </c>
      <c r="K614" s="173" t="s">
        <v>1452</v>
      </c>
      <c r="L614" s="173"/>
      <c r="M614" s="173" t="s">
        <v>214</v>
      </c>
      <c r="N614" s="173">
        <v>18125225</v>
      </c>
      <c r="O614" s="175">
        <v>3696639</v>
      </c>
      <c r="P614" s="7"/>
      <c r="Q614" s="16">
        <f>+IF(IFERROR(VLOOKUP(Tabla3[[#This Row],[Cliente factura]],Tabla4[[NIT]:[TOTAL CREDITO]],3,FALSE),0)="",0,IFERROR(VLOOKUP(Tabla3[[#This Row],[Cliente factura]],Tabla4[[NIT]:[TOTAL CREDITO]],3,FALSE),0))</f>
        <v>264217093</v>
      </c>
      <c r="R614" s="9">
        <f>+IFERROR(VLOOKUP(Tabla3[[#This Row],[Cliente factura]],Tabla4[[NIT]:[TOTAL CREDITO]],6,FALSE),0)</f>
        <v>852000000</v>
      </c>
      <c r="S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4" s="10" t="str">
        <f>VLOOKUP(Tabla3[[#This Row],[Razón social cliente factura]]&amp;Tabla3[[#This Row],[Desc. ciudad]],'Estandar de Rutas'!$C$1:$E$553,2,FALSE)</f>
        <v>5.2.B</v>
      </c>
      <c r="U614" s="130">
        <f>IFERROR(VLOOKUP(Tabla3[[#This Row],[Referencia]]&amp;Tabla3[[#This Row],[Desc detalle ext 1]],Tabla1[[Referencia-Color]:[Disponibilidad]],3,FALSE),0)</f>
        <v>21</v>
      </c>
      <c r="V614" s="13"/>
      <c r="W614" s="17">
        <f>+Tabla3[[#This Row],[Cant. Programada]]*Tabla3[[#This Row],[Precio unit]]</f>
        <v>0</v>
      </c>
      <c r="X614" s="8"/>
      <c r="Y614" s="8"/>
      <c r="Z614" s="8" t="str">
        <f>+Tabla3[[#This Row],[Referencia]]&amp;Tabla3[[#This Row],[Desc detalle ext 1]]</f>
        <v xml:space="preserve">CB 110 DLX                                        AZUL     </v>
      </c>
      <c r="AA614" s="128" t="e">
        <f>+VLOOKUP(Tabla3[[#This Row],[CODIGO2]],ESTANDAR!$B$3:$C$9,2,FALSE)</f>
        <v>#N/A</v>
      </c>
      <c r="AB614" s="128" t="str">
        <f>+MID(Tabla3[[#This Row],['# Viaje]],10,1)</f>
        <v/>
      </c>
    </row>
    <row r="615" spans="1:28" ht="15" hidden="1" customHeight="1">
      <c r="A615" s="173" t="s">
        <v>1568</v>
      </c>
      <c r="B615" s="174">
        <v>42948</v>
      </c>
      <c r="C615" s="173" t="s">
        <v>1231</v>
      </c>
      <c r="D615" s="173" t="s">
        <v>1237</v>
      </c>
      <c r="E615" s="173" t="s">
        <v>1479</v>
      </c>
      <c r="F615" s="173">
        <v>4</v>
      </c>
      <c r="G615" s="173" t="s">
        <v>69</v>
      </c>
      <c r="H615" s="173">
        <v>4</v>
      </c>
      <c r="I615" s="173" t="s">
        <v>1569</v>
      </c>
      <c r="J615" s="173" t="s">
        <v>1451</v>
      </c>
      <c r="K615" s="173" t="s">
        <v>16</v>
      </c>
      <c r="L615" s="173"/>
      <c r="M615" s="173" t="s">
        <v>214</v>
      </c>
      <c r="N615" s="173">
        <v>18125225</v>
      </c>
      <c r="O615" s="175">
        <v>3696639</v>
      </c>
      <c r="P615" s="7"/>
      <c r="Q615" s="16">
        <f>+IF(IFERROR(VLOOKUP(Tabla3[[#This Row],[Cliente factura]],Tabla4[[NIT]:[TOTAL CREDITO]],3,FALSE),0)="",0,IFERROR(VLOOKUP(Tabla3[[#This Row],[Cliente factura]],Tabla4[[NIT]:[TOTAL CREDITO]],3,FALSE),0))</f>
        <v>264217093</v>
      </c>
      <c r="R615" s="9">
        <f>+IFERROR(VLOOKUP(Tabla3[[#This Row],[Cliente factura]],Tabla4[[NIT]:[TOTAL CREDITO]],6,FALSE),0)</f>
        <v>852000000</v>
      </c>
      <c r="S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5" s="10" t="str">
        <f>VLOOKUP(Tabla3[[#This Row],[Razón social cliente factura]]&amp;Tabla3[[#This Row],[Desc. ciudad]],'Estandar de Rutas'!$C$1:$E$553,2,FALSE)</f>
        <v>5.2.B</v>
      </c>
      <c r="U615" s="130">
        <f>IFERROR(VLOOKUP(Tabla3[[#This Row],[Referencia]]&amp;Tabla3[[#This Row],[Desc detalle ext 1]],Tabla1[[Referencia-Color]:[Disponibilidad]],3,FALSE),0)</f>
        <v>3</v>
      </c>
      <c r="V615" s="13"/>
      <c r="W615" s="17">
        <f>+Tabla3[[#This Row],[Cant. Programada]]*Tabla3[[#This Row],[Precio unit]]</f>
        <v>0</v>
      </c>
      <c r="X615" s="8"/>
      <c r="Y615" s="8"/>
      <c r="Z615" s="8" t="str">
        <f>+Tabla3[[#This Row],[Referencia]]&amp;Tabla3[[#This Row],[Desc detalle ext 1]]</f>
        <v xml:space="preserve">CB 110 DLX                                        NEGRO    </v>
      </c>
      <c r="AA615" s="128" t="e">
        <f>+VLOOKUP(Tabla3[[#This Row],[CODIGO2]],ESTANDAR!$B$3:$C$9,2,FALSE)</f>
        <v>#N/A</v>
      </c>
      <c r="AB615" s="128" t="str">
        <f>+MID(Tabla3[[#This Row],['# Viaje]],10,1)</f>
        <v/>
      </c>
    </row>
    <row r="616" spans="1:28" ht="15" hidden="1" customHeight="1">
      <c r="A616" s="173" t="s">
        <v>1570</v>
      </c>
      <c r="B616" s="174">
        <v>42948</v>
      </c>
      <c r="C616" s="173" t="s">
        <v>1477</v>
      </c>
      <c r="D616" s="173" t="s">
        <v>1487</v>
      </c>
      <c r="E616" s="173" t="s">
        <v>1479</v>
      </c>
      <c r="F616" s="173">
        <v>1</v>
      </c>
      <c r="G616" s="173" t="s">
        <v>89</v>
      </c>
      <c r="H616" s="173">
        <v>1</v>
      </c>
      <c r="I616" s="173" t="s">
        <v>89</v>
      </c>
      <c r="J616" s="173" t="s">
        <v>14</v>
      </c>
      <c r="K616" s="173" t="s">
        <v>16</v>
      </c>
      <c r="L616" s="173"/>
      <c r="M616" s="173" t="s">
        <v>90</v>
      </c>
      <c r="N616" s="173">
        <v>900661269</v>
      </c>
      <c r="O616" s="175">
        <v>3360504</v>
      </c>
      <c r="P616" s="7"/>
      <c r="Q616" s="16">
        <f>+IF(IFERROR(VLOOKUP(Tabla3[[#This Row],[Cliente factura]],Tabla4[[NIT]:[TOTAL CREDITO]],3,FALSE),0)="",0,IFERROR(VLOOKUP(Tabla3[[#This Row],[Cliente factura]],Tabla4[[NIT]:[TOTAL CREDITO]],3,FALSE),0))</f>
        <v>27383871</v>
      </c>
      <c r="R616" s="9">
        <f>+IFERROR(VLOOKUP(Tabla3[[#This Row],[Cliente factura]],Tabla4[[NIT]:[TOTAL CREDITO]],6,FALSE),0)</f>
        <v>0</v>
      </c>
      <c r="S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6" s="10" t="str">
        <f>VLOOKUP(Tabla3[[#This Row],[Razón social cliente factura]]&amp;Tabla3[[#This Row],[Desc. ciudad]],'Estandar de Rutas'!$C$1:$E$553,2,FALSE)</f>
        <v>11.2</v>
      </c>
      <c r="U616" s="130">
        <f>IFERROR(VLOOKUP(Tabla3[[#This Row],[Referencia]]&amp;Tabla3[[#This Row],[Desc detalle ext 1]],Tabla1[[Referencia-Color]:[Disponibilidad]],3,FALSE),0)</f>
        <v>83</v>
      </c>
      <c r="V616" s="13"/>
      <c r="W616" s="17">
        <f>+Tabla3[[#This Row],[Cant. Programada]]*Tabla3[[#This Row],[Precio unit]]</f>
        <v>0</v>
      </c>
      <c r="X616" s="8"/>
      <c r="Y616" s="8"/>
      <c r="Z616" s="8" t="str">
        <f>+Tabla3[[#This Row],[Referencia]]&amp;Tabla3[[#This Row],[Desc detalle ext 1]]</f>
        <v xml:space="preserve">*CB-110                                           NEGRO    </v>
      </c>
      <c r="AA616" s="128" t="e">
        <f>+VLOOKUP(Tabla3[[#This Row],[CODIGO2]],ESTANDAR!$B$3:$C$9,2,FALSE)</f>
        <v>#N/A</v>
      </c>
      <c r="AB616" s="128" t="str">
        <f>+MID(Tabla3[[#This Row],['# Viaje]],10,1)</f>
        <v/>
      </c>
    </row>
    <row r="617" spans="1:28" ht="15" hidden="1" customHeight="1">
      <c r="A617" s="173" t="s">
        <v>1570</v>
      </c>
      <c r="B617" s="174">
        <v>42948</v>
      </c>
      <c r="C617" s="173" t="s">
        <v>1477</v>
      </c>
      <c r="D617" s="173" t="s">
        <v>1487</v>
      </c>
      <c r="E617" s="173" t="s">
        <v>1479</v>
      </c>
      <c r="F617" s="173">
        <v>1</v>
      </c>
      <c r="G617" s="173" t="s">
        <v>89</v>
      </c>
      <c r="H617" s="173">
        <v>1</v>
      </c>
      <c r="I617" s="173" t="s">
        <v>89</v>
      </c>
      <c r="J617" s="173" t="s">
        <v>14</v>
      </c>
      <c r="K617" s="173" t="s">
        <v>15</v>
      </c>
      <c r="L617" s="173"/>
      <c r="M617" s="173" t="s">
        <v>90</v>
      </c>
      <c r="N617" s="173">
        <v>900661269</v>
      </c>
      <c r="O617" s="175">
        <v>3360504</v>
      </c>
      <c r="P617" s="7"/>
      <c r="Q617" s="16">
        <f>+IF(IFERROR(VLOOKUP(Tabla3[[#This Row],[Cliente factura]],Tabla4[[NIT]:[TOTAL CREDITO]],3,FALSE),0)="",0,IFERROR(VLOOKUP(Tabla3[[#This Row],[Cliente factura]],Tabla4[[NIT]:[TOTAL CREDITO]],3,FALSE),0))</f>
        <v>27383871</v>
      </c>
      <c r="R617" s="9">
        <f>+IFERROR(VLOOKUP(Tabla3[[#This Row],[Cliente factura]],Tabla4[[NIT]:[TOTAL CREDITO]],6,FALSE),0)</f>
        <v>0</v>
      </c>
      <c r="S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7" s="10" t="str">
        <f>VLOOKUP(Tabla3[[#This Row],[Razón social cliente factura]]&amp;Tabla3[[#This Row],[Desc. ciudad]],'Estandar de Rutas'!$C$1:$E$553,2,FALSE)</f>
        <v>11.2</v>
      </c>
      <c r="U617" s="130">
        <f>IFERROR(VLOOKUP(Tabla3[[#This Row],[Referencia]]&amp;Tabla3[[#This Row],[Desc detalle ext 1]],Tabla1[[Referencia-Color]:[Disponibilidad]],3,FALSE),0)</f>
        <v>99</v>
      </c>
      <c r="V617" s="13"/>
      <c r="W617" s="17">
        <f>+Tabla3[[#This Row],[Cant. Programada]]*Tabla3[[#This Row],[Precio unit]]</f>
        <v>0</v>
      </c>
      <c r="X617" s="8"/>
      <c r="Y617" s="8"/>
      <c r="Z617" s="8" t="str">
        <f>+Tabla3[[#This Row],[Referencia]]&amp;Tabla3[[#This Row],[Desc detalle ext 1]]</f>
        <v>*CB-110                                           AZUL FIJI</v>
      </c>
      <c r="AA617" s="128" t="e">
        <f>+VLOOKUP(Tabla3[[#This Row],[CODIGO2]],ESTANDAR!$B$3:$C$9,2,FALSE)</f>
        <v>#N/A</v>
      </c>
      <c r="AB617" s="128" t="str">
        <f>+MID(Tabla3[[#This Row],['# Viaje]],10,1)</f>
        <v/>
      </c>
    </row>
    <row r="618" spans="1:28" ht="15" hidden="1" customHeight="1">
      <c r="A618" s="173" t="s">
        <v>1570</v>
      </c>
      <c r="B618" s="174">
        <v>42948</v>
      </c>
      <c r="C618" s="173" t="s">
        <v>1477</v>
      </c>
      <c r="D618" s="173" t="s">
        <v>1487</v>
      </c>
      <c r="E618" s="173" t="s">
        <v>1479</v>
      </c>
      <c r="F618" s="173">
        <v>2</v>
      </c>
      <c r="G618" s="173" t="s">
        <v>89</v>
      </c>
      <c r="H618" s="173">
        <v>2</v>
      </c>
      <c r="I618" s="173" t="s">
        <v>89</v>
      </c>
      <c r="J618" s="173" t="s">
        <v>27</v>
      </c>
      <c r="K618" s="173" t="s">
        <v>32</v>
      </c>
      <c r="L618" s="173"/>
      <c r="M618" s="173" t="s">
        <v>90</v>
      </c>
      <c r="N618" s="173">
        <v>900661269</v>
      </c>
      <c r="O618" s="175">
        <v>5789916</v>
      </c>
      <c r="P618" s="7"/>
      <c r="Q618" s="16">
        <f>+IF(IFERROR(VLOOKUP(Tabla3[[#This Row],[Cliente factura]],Tabla4[[NIT]:[TOTAL CREDITO]],3,FALSE),0)="",0,IFERROR(VLOOKUP(Tabla3[[#This Row],[Cliente factura]],Tabla4[[NIT]:[TOTAL CREDITO]],3,FALSE),0))</f>
        <v>27383871</v>
      </c>
      <c r="R618" s="9">
        <f>+IFERROR(VLOOKUP(Tabla3[[#This Row],[Cliente factura]],Tabla4[[NIT]:[TOTAL CREDITO]],6,FALSE),0)</f>
        <v>0</v>
      </c>
      <c r="S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8" s="10" t="str">
        <f>VLOOKUP(Tabla3[[#This Row],[Razón social cliente factura]]&amp;Tabla3[[#This Row],[Desc. ciudad]],'Estandar de Rutas'!$C$1:$E$553,2,FALSE)</f>
        <v>11.2</v>
      </c>
      <c r="U618" s="130">
        <f>IFERROR(VLOOKUP(Tabla3[[#This Row],[Referencia]]&amp;Tabla3[[#This Row],[Desc detalle ext 1]],Tabla1[[Referencia-Color]:[Disponibilidad]],3,FALSE),0)</f>
        <v>7</v>
      </c>
      <c r="V618" s="13"/>
      <c r="W618" s="17">
        <f>+Tabla3[[#This Row],[Cant. Programada]]*Tabla3[[#This Row],[Precio unit]]</f>
        <v>0</v>
      </c>
      <c r="X618" s="8"/>
      <c r="Y618" s="8"/>
      <c r="Z618" s="8" t="str">
        <f>+Tabla3[[#This Row],[Referencia]]&amp;Tabla3[[#This Row],[Desc detalle ext 1]]</f>
        <v>*XR 150L                                          NEGRO ROJ</v>
      </c>
      <c r="AA618" s="128" t="e">
        <f>+VLOOKUP(Tabla3[[#This Row],[CODIGO2]],ESTANDAR!$B$3:$C$9,2,FALSE)</f>
        <v>#N/A</v>
      </c>
      <c r="AB618" s="128" t="str">
        <f>+MID(Tabla3[[#This Row],['# Viaje]],10,1)</f>
        <v/>
      </c>
    </row>
    <row r="619" spans="1:28" ht="15" hidden="1" customHeight="1">
      <c r="A619" s="173" t="s">
        <v>1570</v>
      </c>
      <c r="B619" s="174">
        <v>42948</v>
      </c>
      <c r="C619" s="173" t="s">
        <v>1477</v>
      </c>
      <c r="D619" s="173" t="s">
        <v>1487</v>
      </c>
      <c r="E619" s="173" t="s">
        <v>1479</v>
      </c>
      <c r="F619" s="173">
        <v>2</v>
      </c>
      <c r="G619" s="173" t="s">
        <v>89</v>
      </c>
      <c r="H619" s="173">
        <v>2</v>
      </c>
      <c r="I619" s="173" t="s">
        <v>89</v>
      </c>
      <c r="J619" s="173" t="s">
        <v>27</v>
      </c>
      <c r="K619" s="173" t="s">
        <v>26</v>
      </c>
      <c r="L619" s="173"/>
      <c r="M619" s="173" t="s">
        <v>90</v>
      </c>
      <c r="N619" s="173">
        <v>900661269</v>
      </c>
      <c r="O619" s="175">
        <v>5789916</v>
      </c>
      <c r="P619" s="7"/>
      <c r="Q619" s="16">
        <f>+IF(IFERROR(VLOOKUP(Tabla3[[#This Row],[Cliente factura]],Tabla4[[NIT]:[TOTAL CREDITO]],3,FALSE),0)="",0,IFERROR(VLOOKUP(Tabla3[[#This Row],[Cliente factura]],Tabla4[[NIT]:[TOTAL CREDITO]],3,FALSE),0))</f>
        <v>27383871</v>
      </c>
      <c r="R619" s="9">
        <f>+IFERROR(VLOOKUP(Tabla3[[#This Row],[Cliente factura]],Tabla4[[NIT]:[TOTAL CREDITO]],6,FALSE),0)</f>
        <v>0</v>
      </c>
      <c r="S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9" s="10" t="str">
        <f>VLOOKUP(Tabla3[[#This Row],[Razón social cliente factura]]&amp;Tabla3[[#This Row],[Desc. ciudad]],'Estandar de Rutas'!$C$1:$E$553,2,FALSE)</f>
        <v>11.2</v>
      </c>
      <c r="U619" s="130">
        <f>IFERROR(VLOOKUP(Tabla3[[#This Row],[Referencia]]&amp;Tabla3[[#This Row],[Desc detalle ext 1]],Tabla1[[Referencia-Color]:[Disponibilidad]],3,FALSE),0)</f>
        <v>59</v>
      </c>
      <c r="V619" s="13"/>
      <c r="W619" s="17">
        <f>+Tabla3[[#This Row],[Cant. Programada]]*Tabla3[[#This Row],[Precio unit]]</f>
        <v>0</v>
      </c>
      <c r="X619" s="8"/>
      <c r="Y619" s="8"/>
      <c r="Z619" s="8" t="str">
        <f>+Tabla3[[#This Row],[Referencia]]&amp;Tabla3[[#This Row],[Desc detalle ext 1]]</f>
        <v>*XR 150L                                          NEGRO BLA</v>
      </c>
      <c r="AA619" s="128" t="e">
        <f>+VLOOKUP(Tabla3[[#This Row],[CODIGO2]],ESTANDAR!$B$3:$C$9,2,FALSE)</f>
        <v>#N/A</v>
      </c>
      <c r="AB619" s="128" t="str">
        <f>+MID(Tabla3[[#This Row],['# Viaje]],10,1)</f>
        <v/>
      </c>
    </row>
    <row r="620" spans="1:28" ht="15" hidden="1" customHeight="1">
      <c r="A620" s="173" t="s">
        <v>1570</v>
      </c>
      <c r="B620" s="174">
        <v>42948</v>
      </c>
      <c r="C620" s="173" t="s">
        <v>1477</v>
      </c>
      <c r="D620" s="173" t="s">
        <v>1487</v>
      </c>
      <c r="E620" s="173" t="s">
        <v>1479</v>
      </c>
      <c r="F620" s="173">
        <v>2</v>
      </c>
      <c r="G620" s="173" t="s">
        <v>89</v>
      </c>
      <c r="H620" s="173">
        <v>2</v>
      </c>
      <c r="I620" s="173" t="s">
        <v>89</v>
      </c>
      <c r="J620" s="173" t="s">
        <v>27</v>
      </c>
      <c r="K620" s="173" t="s">
        <v>16</v>
      </c>
      <c r="L620" s="173"/>
      <c r="M620" s="173" t="s">
        <v>90</v>
      </c>
      <c r="N620" s="173">
        <v>900661269</v>
      </c>
      <c r="O620" s="175">
        <v>5789916</v>
      </c>
      <c r="P620" s="7"/>
      <c r="Q620" s="16">
        <f>+IF(IFERROR(VLOOKUP(Tabla3[[#This Row],[Cliente factura]],Tabla4[[NIT]:[TOTAL CREDITO]],3,FALSE),0)="",0,IFERROR(VLOOKUP(Tabla3[[#This Row],[Cliente factura]],Tabla4[[NIT]:[TOTAL CREDITO]],3,FALSE),0))</f>
        <v>27383871</v>
      </c>
      <c r="R620" s="9">
        <f>+IFERROR(VLOOKUP(Tabla3[[#This Row],[Cliente factura]],Tabla4[[NIT]:[TOTAL CREDITO]],6,FALSE),0)</f>
        <v>0</v>
      </c>
      <c r="S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0" s="10" t="str">
        <f>VLOOKUP(Tabla3[[#This Row],[Razón social cliente factura]]&amp;Tabla3[[#This Row],[Desc. ciudad]],'Estandar de Rutas'!$C$1:$E$553,2,FALSE)</f>
        <v>11.2</v>
      </c>
      <c r="U620" s="130">
        <f>IFERROR(VLOOKUP(Tabla3[[#This Row],[Referencia]]&amp;Tabla3[[#This Row],[Desc detalle ext 1]],Tabla1[[Referencia-Color]:[Disponibilidad]],3,FALSE),0)</f>
        <v>3</v>
      </c>
      <c r="V620" s="13"/>
      <c r="W620" s="17">
        <f>+Tabla3[[#This Row],[Cant. Programada]]*Tabla3[[#This Row],[Precio unit]]</f>
        <v>0</v>
      </c>
      <c r="X620" s="8"/>
      <c r="Y620" s="8"/>
      <c r="Z620" s="8" t="str">
        <f>+Tabla3[[#This Row],[Referencia]]&amp;Tabla3[[#This Row],[Desc detalle ext 1]]</f>
        <v xml:space="preserve">*XR 150L                                          NEGRO    </v>
      </c>
      <c r="AA620" s="128" t="e">
        <f>+VLOOKUP(Tabla3[[#This Row],[CODIGO2]],ESTANDAR!$B$3:$C$9,2,FALSE)</f>
        <v>#N/A</v>
      </c>
      <c r="AB620" s="128" t="str">
        <f>+MID(Tabla3[[#This Row],['# Viaje]],10,1)</f>
        <v/>
      </c>
    </row>
    <row r="621" spans="1:28" ht="15" hidden="1" customHeight="1">
      <c r="A621" s="173" t="s">
        <v>1570</v>
      </c>
      <c r="B621" s="174">
        <v>42948</v>
      </c>
      <c r="C621" s="173" t="s">
        <v>1477</v>
      </c>
      <c r="D621" s="173" t="s">
        <v>1487</v>
      </c>
      <c r="E621" s="173" t="s">
        <v>1479</v>
      </c>
      <c r="F621" s="173">
        <v>2</v>
      </c>
      <c r="G621" s="173" t="s">
        <v>89</v>
      </c>
      <c r="H621" s="173">
        <v>2</v>
      </c>
      <c r="I621" s="173" t="s">
        <v>89</v>
      </c>
      <c r="J621" s="173" t="s">
        <v>1428</v>
      </c>
      <c r="K621" s="173" t="s">
        <v>32</v>
      </c>
      <c r="L621" s="173"/>
      <c r="M621" s="173" t="s">
        <v>90</v>
      </c>
      <c r="N621" s="173">
        <v>900661269</v>
      </c>
      <c r="O621" s="175">
        <v>3067227</v>
      </c>
      <c r="P621" s="7"/>
      <c r="Q621" s="16">
        <f>+IF(IFERROR(VLOOKUP(Tabla3[[#This Row],[Cliente factura]],Tabla4[[NIT]:[TOTAL CREDITO]],3,FALSE),0)="",0,IFERROR(VLOOKUP(Tabla3[[#This Row],[Cliente factura]],Tabla4[[NIT]:[TOTAL CREDITO]],3,FALSE),0))</f>
        <v>27383871</v>
      </c>
      <c r="R621" s="9">
        <f>+IFERROR(VLOOKUP(Tabla3[[#This Row],[Cliente factura]],Tabla4[[NIT]:[TOTAL CREDITO]],6,FALSE),0)</f>
        <v>0</v>
      </c>
      <c r="S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1" s="10" t="str">
        <f>VLOOKUP(Tabla3[[#This Row],[Razón social cliente factura]]&amp;Tabla3[[#This Row],[Desc. ciudad]],'Estandar de Rutas'!$C$1:$E$553,2,FALSE)</f>
        <v>11.2</v>
      </c>
      <c r="U621" s="130">
        <f>IFERROR(VLOOKUP(Tabla3[[#This Row],[Referencia]]&amp;Tabla3[[#This Row],[Desc detalle ext 1]],Tabla1[[Referencia-Color]:[Disponibilidad]],3,FALSE),0)</f>
        <v>0</v>
      </c>
      <c r="V621" s="13"/>
      <c r="W621" s="17">
        <f>+Tabla3[[#This Row],[Cant. Programada]]*Tabla3[[#This Row],[Precio unit]]</f>
        <v>0</v>
      </c>
      <c r="X621" s="8"/>
      <c r="Y621" s="8"/>
      <c r="Z621" s="8" t="str">
        <f>+Tabla3[[#This Row],[Referencia]]&amp;Tabla3[[#This Row],[Desc detalle ext 1]]</f>
        <v>DREAM  NEO                                        NEGRO ROJ</v>
      </c>
      <c r="AA621" s="128" t="e">
        <f>+VLOOKUP(Tabla3[[#This Row],[CODIGO2]],ESTANDAR!$B$3:$C$9,2,FALSE)</f>
        <v>#N/A</v>
      </c>
      <c r="AB621" s="128" t="str">
        <f>+MID(Tabla3[[#This Row],['# Viaje]],10,1)</f>
        <v/>
      </c>
    </row>
    <row r="622" spans="1:28" ht="15" hidden="1" customHeight="1">
      <c r="A622" s="173" t="s">
        <v>1570</v>
      </c>
      <c r="B622" s="174">
        <v>42948</v>
      </c>
      <c r="C622" s="173" t="s">
        <v>1477</v>
      </c>
      <c r="D622" s="173" t="s">
        <v>1487</v>
      </c>
      <c r="E622" s="173" t="s">
        <v>1479</v>
      </c>
      <c r="F622" s="173">
        <v>2</v>
      </c>
      <c r="G622" s="173" t="s">
        <v>89</v>
      </c>
      <c r="H622" s="173">
        <v>2</v>
      </c>
      <c r="I622" s="173" t="s">
        <v>89</v>
      </c>
      <c r="J622" s="173" t="s">
        <v>1428</v>
      </c>
      <c r="K622" s="173" t="s">
        <v>1429</v>
      </c>
      <c r="L622" s="173"/>
      <c r="M622" s="173" t="s">
        <v>90</v>
      </c>
      <c r="N622" s="173">
        <v>900661269</v>
      </c>
      <c r="O622" s="175">
        <v>3067227</v>
      </c>
      <c r="P622" s="7"/>
      <c r="Q622" s="16">
        <f>+IF(IFERROR(VLOOKUP(Tabla3[[#This Row],[Cliente factura]],Tabla4[[NIT]:[TOTAL CREDITO]],3,FALSE),0)="",0,IFERROR(VLOOKUP(Tabla3[[#This Row],[Cliente factura]],Tabla4[[NIT]:[TOTAL CREDITO]],3,FALSE),0))</f>
        <v>27383871</v>
      </c>
      <c r="R622" s="9">
        <f>+IFERROR(VLOOKUP(Tabla3[[#This Row],[Cliente factura]],Tabla4[[NIT]:[TOTAL CREDITO]],6,FALSE),0)</f>
        <v>0</v>
      </c>
      <c r="S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2" s="10" t="str">
        <f>VLOOKUP(Tabla3[[#This Row],[Razón social cliente factura]]&amp;Tabla3[[#This Row],[Desc. ciudad]],'Estandar de Rutas'!$C$1:$E$553,2,FALSE)</f>
        <v>11.2</v>
      </c>
      <c r="U622" s="130">
        <f>IFERROR(VLOOKUP(Tabla3[[#This Row],[Referencia]]&amp;Tabla3[[#This Row],[Desc detalle ext 1]],Tabla1[[Referencia-Color]:[Disponibilidad]],3,FALSE),0)</f>
        <v>0</v>
      </c>
      <c r="V622" s="13"/>
      <c r="W622" s="17">
        <f>+Tabla3[[#This Row],[Cant. Programada]]*Tabla3[[#This Row],[Precio unit]]</f>
        <v>0</v>
      </c>
      <c r="X622" s="8"/>
      <c r="Y622" s="8"/>
      <c r="Z622" s="8" t="str">
        <f>+Tabla3[[#This Row],[Referencia]]&amp;Tabla3[[#This Row],[Desc detalle ext 1]]</f>
        <v>DREAM  NEO                                        NEGRO AZU</v>
      </c>
      <c r="AA622" s="128" t="e">
        <f>+VLOOKUP(Tabla3[[#This Row],[CODIGO2]],ESTANDAR!$B$3:$C$9,2,FALSE)</f>
        <v>#N/A</v>
      </c>
      <c r="AB622" s="128" t="str">
        <f>+MID(Tabla3[[#This Row],['# Viaje]],10,1)</f>
        <v/>
      </c>
    </row>
    <row r="623" spans="1:28" ht="15" hidden="1" customHeight="1">
      <c r="A623" s="173" t="s">
        <v>1570</v>
      </c>
      <c r="B623" s="174">
        <v>42948</v>
      </c>
      <c r="C623" s="173" t="s">
        <v>1477</v>
      </c>
      <c r="D623" s="173" t="s">
        <v>1487</v>
      </c>
      <c r="E623" s="173" t="s">
        <v>1479</v>
      </c>
      <c r="F623" s="173">
        <v>1</v>
      </c>
      <c r="G623" s="173" t="s">
        <v>89</v>
      </c>
      <c r="H623" s="173">
        <v>1</v>
      </c>
      <c r="I623" s="173" t="s">
        <v>89</v>
      </c>
      <c r="J623" s="173" t="s">
        <v>1428</v>
      </c>
      <c r="K623" s="173" t="s">
        <v>1461</v>
      </c>
      <c r="L623" s="173"/>
      <c r="M623" s="173" t="s">
        <v>90</v>
      </c>
      <c r="N623" s="173">
        <v>900661269</v>
      </c>
      <c r="O623" s="175">
        <v>3067227</v>
      </c>
      <c r="P623" s="7"/>
      <c r="Q623" s="16">
        <f>+IF(IFERROR(VLOOKUP(Tabla3[[#This Row],[Cliente factura]],Tabla4[[NIT]:[TOTAL CREDITO]],3,FALSE),0)="",0,IFERROR(VLOOKUP(Tabla3[[#This Row],[Cliente factura]],Tabla4[[NIT]:[TOTAL CREDITO]],3,FALSE),0))</f>
        <v>27383871</v>
      </c>
      <c r="R623" s="9">
        <f>+IFERROR(VLOOKUP(Tabla3[[#This Row],[Cliente factura]],Tabla4[[NIT]:[TOTAL CREDITO]],6,FALSE),0)</f>
        <v>0</v>
      </c>
      <c r="S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3" s="10" t="str">
        <f>VLOOKUP(Tabla3[[#This Row],[Razón social cliente factura]]&amp;Tabla3[[#This Row],[Desc. ciudad]],'Estandar de Rutas'!$C$1:$E$553,2,FALSE)</f>
        <v>11.2</v>
      </c>
      <c r="U623" s="130">
        <f>IFERROR(VLOOKUP(Tabla3[[#This Row],[Referencia]]&amp;Tabla3[[#This Row],[Desc detalle ext 1]],Tabla1[[Referencia-Color]:[Disponibilidad]],3,FALSE),0)</f>
        <v>0</v>
      </c>
      <c r="V623" s="13"/>
      <c r="W623" s="17">
        <f>+Tabla3[[#This Row],[Cant. Programada]]*Tabla3[[#This Row],[Precio unit]]</f>
        <v>0</v>
      </c>
      <c r="X623" s="8"/>
      <c r="Y623" s="8"/>
      <c r="Z623" s="8" t="str">
        <f>+Tabla3[[#This Row],[Referencia]]&amp;Tabla3[[#This Row],[Desc detalle ext 1]]</f>
        <v>DREAM  NEO                                        ROJO ALFA</v>
      </c>
      <c r="AA623" s="128" t="e">
        <f>+VLOOKUP(Tabla3[[#This Row],[CODIGO2]],ESTANDAR!$B$3:$C$9,2,FALSE)</f>
        <v>#N/A</v>
      </c>
      <c r="AB623" s="128" t="str">
        <f>+MID(Tabla3[[#This Row],['# Viaje]],10,1)</f>
        <v/>
      </c>
    </row>
    <row r="624" spans="1:28" ht="15" hidden="1" customHeight="1">
      <c r="A624" s="173" t="s">
        <v>1570</v>
      </c>
      <c r="B624" s="174">
        <v>42948</v>
      </c>
      <c r="C624" s="173" t="s">
        <v>1477</v>
      </c>
      <c r="D624" s="173" t="s">
        <v>1487</v>
      </c>
      <c r="E624" s="173" t="s">
        <v>1479</v>
      </c>
      <c r="F624" s="173">
        <v>1</v>
      </c>
      <c r="G624" s="173" t="s">
        <v>89</v>
      </c>
      <c r="H624" s="173">
        <v>1</v>
      </c>
      <c r="I624" s="173" t="s">
        <v>89</v>
      </c>
      <c r="J624" s="173" t="s">
        <v>1430</v>
      </c>
      <c r="K624" s="173" t="s">
        <v>1431</v>
      </c>
      <c r="L624" s="173"/>
      <c r="M624" s="173" t="s">
        <v>90</v>
      </c>
      <c r="N624" s="173">
        <v>900661269</v>
      </c>
      <c r="O624" s="175">
        <v>3941176</v>
      </c>
      <c r="P624" s="7"/>
      <c r="Q624" s="16">
        <f>+IF(IFERROR(VLOOKUP(Tabla3[[#This Row],[Cliente factura]],Tabla4[[NIT]:[TOTAL CREDITO]],3,FALSE),0)="",0,IFERROR(VLOOKUP(Tabla3[[#This Row],[Cliente factura]],Tabla4[[NIT]:[TOTAL CREDITO]],3,FALSE),0))</f>
        <v>27383871</v>
      </c>
      <c r="R624" s="9">
        <f>+IFERROR(VLOOKUP(Tabla3[[#This Row],[Cliente factura]],Tabla4[[NIT]:[TOTAL CREDITO]],6,FALSE),0)</f>
        <v>0</v>
      </c>
      <c r="S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4" s="10" t="str">
        <f>VLOOKUP(Tabla3[[#This Row],[Razón social cliente factura]]&amp;Tabla3[[#This Row],[Desc. ciudad]],'Estandar de Rutas'!$C$1:$E$553,2,FALSE)</f>
        <v>11.2</v>
      </c>
      <c r="U624" s="130">
        <f>IFERROR(VLOOKUP(Tabla3[[#This Row],[Referencia]]&amp;Tabla3[[#This Row],[Desc detalle ext 1]],Tabla1[[Referencia-Color]:[Disponibilidad]],3,FALSE),0)</f>
        <v>0</v>
      </c>
      <c r="V624" s="13"/>
      <c r="W624" s="17">
        <f>+Tabla3[[#This Row],[Cant. Programada]]*Tabla3[[#This Row],[Precio unit]]</f>
        <v>0</v>
      </c>
      <c r="X624" s="8"/>
      <c r="Y624" s="8"/>
      <c r="Z624" s="8" t="str">
        <f>+Tabla3[[#This Row],[Referencia]]&amp;Tabla3[[#This Row],[Desc detalle ext 1]]</f>
        <v xml:space="preserve">WAVE 110S                                         ROJO     </v>
      </c>
      <c r="AA624" s="128" t="e">
        <f>+VLOOKUP(Tabla3[[#This Row],[CODIGO2]],ESTANDAR!$B$3:$C$9,2,FALSE)</f>
        <v>#N/A</v>
      </c>
      <c r="AB624" s="128" t="str">
        <f>+MID(Tabla3[[#This Row],['# Viaje]],10,1)</f>
        <v/>
      </c>
    </row>
    <row r="625" spans="1:28" ht="15" hidden="1" customHeight="1">
      <c r="A625" s="173" t="s">
        <v>1570</v>
      </c>
      <c r="B625" s="174">
        <v>42948</v>
      </c>
      <c r="C625" s="173" t="s">
        <v>1477</v>
      </c>
      <c r="D625" s="173" t="s">
        <v>1487</v>
      </c>
      <c r="E625" s="173" t="s">
        <v>1479</v>
      </c>
      <c r="F625" s="173">
        <v>1</v>
      </c>
      <c r="G625" s="173" t="s">
        <v>89</v>
      </c>
      <c r="H625" s="173">
        <v>1</v>
      </c>
      <c r="I625" s="173" t="s">
        <v>89</v>
      </c>
      <c r="J625" s="173" t="s">
        <v>1430</v>
      </c>
      <c r="K625" s="173" t="s">
        <v>16</v>
      </c>
      <c r="L625" s="173"/>
      <c r="M625" s="173" t="s">
        <v>90</v>
      </c>
      <c r="N625" s="173">
        <v>900661269</v>
      </c>
      <c r="O625" s="175">
        <v>3941176</v>
      </c>
      <c r="P625" s="7"/>
      <c r="Q625" s="16">
        <f>+IF(IFERROR(VLOOKUP(Tabla3[[#This Row],[Cliente factura]],Tabla4[[NIT]:[TOTAL CREDITO]],3,FALSE),0)="",0,IFERROR(VLOOKUP(Tabla3[[#This Row],[Cliente factura]],Tabla4[[NIT]:[TOTAL CREDITO]],3,FALSE),0))</f>
        <v>27383871</v>
      </c>
      <c r="R625" s="9">
        <f>+IFERROR(VLOOKUP(Tabla3[[#This Row],[Cliente factura]],Tabla4[[NIT]:[TOTAL CREDITO]],6,FALSE),0)</f>
        <v>0</v>
      </c>
      <c r="S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5" s="10" t="str">
        <f>VLOOKUP(Tabla3[[#This Row],[Razón social cliente factura]]&amp;Tabla3[[#This Row],[Desc. ciudad]],'Estandar de Rutas'!$C$1:$E$553,2,FALSE)</f>
        <v>11.2</v>
      </c>
      <c r="U625" s="130">
        <f>IFERROR(VLOOKUP(Tabla3[[#This Row],[Referencia]]&amp;Tabla3[[#This Row],[Desc detalle ext 1]],Tabla1[[Referencia-Color]:[Disponibilidad]],3,FALSE),0)</f>
        <v>0</v>
      </c>
      <c r="V625" s="13"/>
      <c r="W625" s="17">
        <f>+Tabla3[[#This Row],[Cant. Programada]]*Tabla3[[#This Row],[Precio unit]]</f>
        <v>0</v>
      </c>
      <c r="X625" s="129"/>
      <c r="Y625" s="8"/>
      <c r="Z625" s="8" t="str">
        <f>+Tabla3[[#This Row],[Referencia]]&amp;Tabla3[[#This Row],[Desc detalle ext 1]]</f>
        <v xml:space="preserve">WAVE 110S                                         NEGRO    </v>
      </c>
      <c r="AA625" s="128" t="e">
        <f>+VLOOKUP(Tabla3[[#This Row],[CODIGO2]],ESTANDAR!$B$3:$C$9,2,FALSE)</f>
        <v>#N/A</v>
      </c>
      <c r="AB625" s="128" t="str">
        <f>+MID(Tabla3[[#This Row],['# Viaje]],10,1)</f>
        <v/>
      </c>
    </row>
    <row r="626" spans="1:28" ht="15" hidden="1" customHeight="1">
      <c r="A626" s="173" t="s">
        <v>1570</v>
      </c>
      <c r="B626" s="174">
        <v>42948</v>
      </c>
      <c r="C626" s="173" t="s">
        <v>1477</v>
      </c>
      <c r="D626" s="173" t="s">
        <v>1487</v>
      </c>
      <c r="E626" s="173" t="s">
        <v>1479</v>
      </c>
      <c r="F626" s="173">
        <v>1</v>
      </c>
      <c r="G626" s="173" t="s">
        <v>89</v>
      </c>
      <c r="H626" s="173">
        <v>1</v>
      </c>
      <c r="I626" s="173" t="s">
        <v>89</v>
      </c>
      <c r="J626" s="173" t="s">
        <v>1451</v>
      </c>
      <c r="K626" s="173" t="s">
        <v>1452</v>
      </c>
      <c r="L626" s="173"/>
      <c r="M626" s="173" t="s">
        <v>90</v>
      </c>
      <c r="N626" s="173">
        <v>900661269</v>
      </c>
      <c r="O626" s="175">
        <v>3696639</v>
      </c>
      <c r="P626" s="7"/>
      <c r="Q626" s="16">
        <f>+IF(IFERROR(VLOOKUP(Tabla3[[#This Row],[Cliente factura]],Tabla4[[NIT]:[TOTAL CREDITO]],3,FALSE),0)="",0,IFERROR(VLOOKUP(Tabla3[[#This Row],[Cliente factura]],Tabla4[[NIT]:[TOTAL CREDITO]],3,FALSE),0))</f>
        <v>27383871</v>
      </c>
      <c r="R626" s="9">
        <f>+IFERROR(VLOOKUP(Tabla3[[#This Row],[Cliente factura]],Tabla4[[NIT]:[TOTAL CREDITO]],6,FALSE),0)</f>
        <v>0</v>
      </c>
      <c r="S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6" s="10" t="str">
        <f>VLOOKUP(Tabla3[[#This Row],[Razón social cliente factura]]&amp;Tabla3[[#This Row],[Desc. ciudad]],'Estandar de Rutas'!$C$1:$E$553,2,FALSE)</f>
        <v>11.2</v>
      </c>
      <c r="U626" s="130">
        <f>IFERROR(VLOOKUP(Tabla3[[#This Row],[Referencia]]&amp;Tabla3[[#This Row],[Desc detalle ext 1]],Tabla1[[Referencia-Color]:[Disponibilidad]],3,FALSE),0)</f>
        <v>21</v>
      </c>
      <c r="V626" s="13"/>
      <c r="W626" s="17">
        <f>+Tabla3[[#This Row],[Cant. Programada]]*Tabla3[[#This Row],[Precio unit]]</f>
        <v>0</v>
      </c>
      <c r="X626" s="8"/>
      <c r="Y626" s="8"/>
      <c r="Z626" s="8" t="str">
        <f>+Tabla3[[#This Row],[Referencia]]&amp;Tabla3[[#This Row],[Desc detalle ext 1]]</f>
        <v xml:space="preserve">CB 110 DLX                                        AZUL     </v>
      </c>
      <c r="AA626" s="128" t="e">
        <f>+VLOOKUP(Tabla3[[#This Row],[CODIGO2]],ESTANDAR!$B$3:$C$9,2,FALSE)</f>
        <v>#N/A</v>
      </c>
      <c r="AB626" s="128" t="str">
        <f>+MID(Tabla3[[#This Row],['# Viaje]],10,1)</f>
        <v/>
      </c>
    </row>
    <row r="627" spans="1:28" ht="15" hidden="1" customHeight="1">
      <c r="A627" s="173" t="s">
        <v>1570</v>
      </c>
      <c r="B627" s="174">
        <v>42948</v>
      </c>
      <c r="C627" s="173" t="s">
        <v>1477</v>
      </c>
      <c r="D627" s="173" t="s">
        <v>1487</v>
      </c>
      <c r="E627" s="173" t="s">
        <v>1479</v>
      </c>
      <c r="F627" s="173">
        <v>1</v>
      </c>
      <c r="G627" s="173" t="s">
        <v>89</v>
      </c>
      <c r="H627" s="173">
        <v>1</v>
      </c>
      <c r="I627" s="173" t="s">
        <v>89</v>
      </c>
      <c r="J627" s="173" t="s">
        <v>1451</v>
      </c>
      <c r="K627" s="173" t="s">
        <v>16</v>
      </c>
      <c r="L627" s="173"/>
      <c r="M627" s="173" t="s">
        <v>90</v>
      </c>
      <c r="N627" s="173">
        <v>900661269</v>
      </c>
      <c r="O627" s="175">
        <v>3696639</v>
      </c>
      <c r="P627" s="7"/>
      <c r="Q627" s="16">
        <f>+IF(IFERROR(VLOOKUP(Tabla3[[#This Row],[Cliente factura]],Tabla4[[NIT]:[TOTAL CREDITO]],3,FALSE),0)="",0,IFERROR(VLOOKUP(Tabla3[[#This Row],[Cliente factura]],Tabla4[[NIT]:[TOTAL CREDITO]],3,FALSE),0))</f>
        <v>27383871</v>
      </c>
      <c r="R627" s="9">
        <f>+IFERROR(VLOOKUP(Tabla3[[#This Row],[Cliente factura]],Tabla4[[NIT]:[TOTAL CREDITO]],6,FALSE),0)</f>
        <v>0</v>
      </c>
      <c r="S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7" s="10" t="str">
        <f>VLOOKUP(Tabla3[[#This Row],[Razón social cliente factura]]&amp;Tabla3[[#This Row],[Desc. ciudad]],'Estandar de Rutas'!$C$1:$E$553,2,FALSE)</f>
        <v>11.2</v>
      </c>
      <c r="U627" s="130">
        <f>IFERROR(VLOOKUP(Tabla3[[#This Row],[Referencia]]&amp;Tabla3[[#This Row],[Desc detalle ext 1]],Tabla1[[Referencia-Color]:[Disponibilidad]],3,FALSE),0)</f>
        <v>3</v>
      </c>
      <c r="V627" s="13"/>
      <c r="W627" s="17">
        <f>+Tabla3[[#This Row],[Cant. Programada]]*Tabla3[[#This Row],[Precio unit]]</f>
        <v>0</v>
      </c>
      <c r="X627" s="8"/>
      <c r="Y627" s="8"/>
      <c r="Z627" s="8" t="str">
        <f>+Tabla3[[#This Row],[Referencia]]&amp;Tabla3[[#This Row],[Desc detalle ext 1]]</f>
        <v xml:space="preserve">CB 110 DLX                                        NEGRO    </v>
      </c>
      <c r="AA627" s="128" t="e">
        <f>+VLOOKUP(Tabla3[[#This Row],[CODIGO2]],ESTANDAR!$B$3:$C$9,2,FALSE)</f>
        <v>#N/A</v>
      </c>
      <c r="AB627" s="128" t="str">
        <f>+MID(Tabla3[[#This Row],['# Viaje]],10,1)</f>
        <v/>
      </c>
    </row>
    <row r="628" spans="1:28" ht="15" hidden="1" customHeight="1">
      <c r="A628" s="173" t="s">
        <v>1571</v>
      </c>
      <c r="B628" s="174">
        <v>42948</v>
      </c>
      <c r="C628" s="173" t="s">
        <v>1477</v>
      </c>
      <c r="D628" s="173" t="s">
        <v>1237</v>
      </c>
      <c r="E628" s="173" t="s">
        <v>1479</v>
      </c>
      <c r="F628" s="173">
        <v>3</v>
      </c>
      <c r="G628" s="173" t="s">
        <v>69</v>
      </c>
      <c r="H628" s="173">
        <v>3</v>
      </c>
      <c r="I628" s="173" t="s">
        <v>1572</v>
      </c>
      <c r="J628" s="173" t="s">
        <v>27</v>
      </c>
      <c r="K628" s="173" t="s">
        <v>26</v>
      </c>
      <c r="L628" s="173"/>
      <c r="M628" s="173" t="s">
        <v>80</v>
      </c>
      <c r="N628" s="173">
        <v>18125225</v>
      </c>
      <c r="O628" s="175">
        <v>5789916</v>
      </c>
      <c r="P628" s="7"/>
      <c r="Q628" s="16">
        <f>+IF(IFERROR(VLOOKUP(Tabla3[[#This Row],[Cliente factura]],Tabla4[[NIT]:[TOTAL CREDITO]],3,FALSE),0)="",0,IFERROR(VLOOKUP(Tabla3[[#This Row],[Cliente factura]],Tabla4[[NIT]:[TOTAL CREDITO]],3,FALSE),0))</f>
        <v>264217093</v>
      </c>
      <c r="R628" s="9">
        <f>+IFERROR(VLOOKUP(Tabla3[[#This Row],[Cliente factura]],Tabla4[[NIT]:[TOTAL CREDITO]],6,FALSE),0)</f>
        <v>852000000</v>
      </c>
      <c r="S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8" s="10" t="str">
        <f>VLOOKUP(Tabla3[[#This Row],[Razón social cliente factura]]&amp;Tabla3[[#This Row],[Desc. ciudad]],'Estandar de Rutas'!$C$1:$E$553,2,FALSE)</f>
        <v>5.2</v>
      </c>
      <c r="U628" s="130">
        <f>IFERROR(VLOOKUP(Tabla3[[#This Row],[Referencia]]&amp;Tabla3[[#This Row],[Desc detalle ext 1]],Tabla1[[Referencia-Color]:[Disponibilidad]],3,FALSE),0)</f>
        <v>59</v>
      </c>
      <c r="V628" s="13"/>
      <c r="W628" s="17">
        <f>+Tabla3[[#This Row],[Cant. Programada]]*Tabla3[[#This Row],[Precio unit]]</f>
        <v>0</v>
      </c>
      <c r="X628" s="129"/>
      <c r="Y628" s="8"/>
      <c r="Z628" s="8" t="str">
        <f>+Tabla3[[#This Row],[Referencia]]&amp;Tabla3[[#This Row],[Desc detalle ext 1]]</f>
        <v>*XR 150L                                          NEGRO BLA</v>
      </c>
      <c r="AA628" s="128" t="e">
        <f>+VLOOKUP(Tabla3[[#This Row],[CODIGO2]],ESTANDAR!$B$3:$C$9,2,FALSE)</f>
        <v>#N/A</v>
      </c>
      <c r="AB628" s="128" t="str">
        <f>+MID(Tabla3[[#This Row],['# Viaje]],10,1)</f>
        <v/>
      </c>
    </row>
    <row r="629" spans="1:28" ht="15" hidden="1" customHeight="1">
      <c r="A629" s="173" t="s">
        <v>1571</v>
      </c>
      <c r="B629" s="174">
        <v>42948</v>
      </c>
      <c r="C629" s="173" t="s">
        <v>1477</v>
      </c>
      <c r="D629" s="173" t="s">
        <v>1237</v>
      </c>
      <c r="E629" s="173" t="s">
        <v>1479</v>
      </c>
      <c r="F629" s="173">
        <v>1</v>
      </c>
      <c r="G629" s="173" t="s">
        <v>69</v>
      </c>
      <c r="H629" s="173">
        <v>1</v>
      </c>
      <c r="I629" s="173" t="s">
        <v>1572</v>
      </c>
      <c r="J629" s="173" t="s">
        <v>1234</v>
      </c>
      <c r="K629" s="173" t="s">
        <v>17</v>
      </c>
      <c r="L629" s="173"/>
      <c r="M629" s="173" t="s">
        <v>80</v>
      </c>
      <c r="N629" s="173">
        <v>18125225</v>
      </c>
      <c r="O629" s="175">
        <v>5453782</v>
      </c>
      <c r="P629" s="7"/>
      <c r="Q629" s="16">
        <f>+IF(IFERROR(VLOOKUP(Tabla3[[#This Row],[Cliente factura]],Tabla4[[NIT]:[TOTAL CREDITO]],3,FALSE),0)="",0,IFERROR(VLOOKUP(Tabla3[[#This Row],[Cliente factura]],Tabla4[[NIT]:[TOTAL CREDITO]],3,FALSE),0))</f>
        <v>264217093</v>
      </c>
      <c r="R629" s="9">
        <f>+IFERROR(VLOOKUP(Tabla3[[#This Row],[Cliente factura]],Tabla4[[NIT]:[TOTAL CREDITO]],6,FALSE),0)</f>
        <v>852000000</v>
      </c>
      <c r="S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9" s="10" t="str">
        <f>VLOOKUP(Tabla3[[#This Row],[Razón social cliente factura]]&amp;Tabla3[[#This Row],[Desc. ciudad]],'Estandar de Rutas'!$C$1:$E$553,2,FALSE)</f>
        <v>5.2</v>
      </c>
      <c r="U629" s="130">
        <f>IFERROR(VLOOKUP(Tabla3[[#This Row],[Referencia]]&amp;Tabla3[[#This Row],[Desc detalle ext 1]],Tabla1[[Referencia-Color]:[Disponibilidad]],3,FALSE),0)</f>
        <v>0</v>
      </c>
      <c r="V629" s="13"/>
      <c r="W629" s="17">
        <f>+Tabla3[[#This Row],[Cant. Programada]]*Tabla3[[#This Row],[Precio unit]]</f>
        <v>0</v>
      </c>
      <c r="X629" s="129"/>
      <c r="Y629" s="8"/>
      <c r="Z629" s="8" t="str">
        <f>+Tabla3[[#This Row],[Referencia]]&amp;Tabla3[[#This Row],[Desc detalle ext 1]]</f>
        <v>CB 160F STD                                       ROJO SPOR</v>
      </c>
      <c r="AA629" s="128" t="e">
        <f>+VLOOKUP(Tabla3[[#This Row],[CODIGO2]],ESTANDAR!$B$3:$C$9,2,FALSE)</f>
        <v>#N/A</v>
      </c>
      <c r="AB629" s="128" t="str">
        <f>+MID(Tabla3[[#This Row],['# Viaje]],10,1)</f>
        <v/>
      </c>
    </row>
    <row r="630" spans="1:28" ht="15" hidden="1" customHeight="1">
      <c r="A630" s="173" t="s">
        <v>1571</v>
      </c>
      <c r="B630" s="174">
        <v>42948</v>
      </c>
      <c r="C630" s="173" t="s">
        <v>1477</v>
      </c>
      <c r="D630" s="173" t="s">
        <v>1237</v>
      </c>
      <c r="E630" s="173" t="s">
        <v>1479</v>
      </c>
      <c r="F630" s="173">
        <v>1</v>
      </c>
      <c r="G630" s="173" t="s">
        <v>69</v>
      </c>
      <c r="H630" s="173">
        <v>1</v>
      </c>
      <c r="I630" s="173" t="s">
        <v>1572</v>
      </c>
      <c r="J630" s="173" t="s">
        <v>1451</v>
      </c>
      <c r="K630" s="173" t="s">
        <v>16</v>
      </c>
      <c r="L630" s="173"/>
      <c r="M630" s="173" t="s">
        <v>80</v>
      </c>
      <c r="N630" s="173">
        <v>18125225</v>
      </c>
      <c r="O630" s="175">
        <v>3696639</v>
      </c>
      <c r="P630" s="7"/>
      <c r="Q630" s="16">
        <f>+IF(IFERROR(VLOOKUP(Tabla3[[#This Row],[Cliente factura]],Tabla4[[NIT]:[TOTAL CREDITO]],3,FALSE),0)="",0,IFERROR(VLOOKUP(Tabla3[[#This Row],[Cliente factura]],Tabla4[[NIT]:[TOTAL CREDITO]],3,FALSE),0))</f>
        <v>264217093</v>
      </c>
      <c r="R630" s="9">
        <f>+IFERROR(VLOOKUP(Tabla3[[#This Row],[Cliente factura]],Tabla4[[NIT]:[TOTAL CREDITO]],6,FALSE),0)</f>
        <v>852000000</v>
      </c>
      <c r="S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0" s="10" t="str">
        <f>VLOOKUP(Tabla3[[#This Row],[Razón social cliente factura]]&amp;Tabla3[[#This Row],[Desc. ciudad]],'Estandar de Rutas'!$C$1:$E$553,2,FALSE)</f>
        <v>5.2</v>
      </c>
      <c r="U630" s="130">
        <f>IFERROR(VLOOKUP(Tabla3[[#This Row],[Referencia]]&amp;Tabla3[[#This Row],[Desc detalle ext 1]],Tabla1[[Referencia-Color]:[Disponibilidad]],3,FALSE),0)</f>
        <v>3</v>
      </c>
      <c r="V630" s="13"/>
      <c r="W630" s="17">
        <f>+Tabla3[[#This Row],[Cant. Programada]]*Tabla3[[#This Row],[Precio unit]]</f>
        <v>0</v>
      </c>
      <c r="X630" s="129"/>
      <c r="Y630" s="129"/>
      <c r="Z630" s="8" t="str">
        <f>+Tabla3[[#This Row],[Referencia]]&amp;Tabla3[[#This Row],[Desc detalle ext 1]]</f>
        <v xml:space="preserve">CB 110 DLX                                        NEGRO    </v>
      </c>
      <c r="AA630" s="128" t="e">
        <f>+VLOOKUP(Tabla3[[#This Row],[CODIGO2]],ESTANDAR!$B$3:$C$9,2,FALSE)</f>
        <v>#N/A</v>
      </c>
      <c r="AB630" s="128" t="str">
        <f>+MID(Tabla3[[#This Row],['# Viaje]],10,1)</f>
        <v/>
      </c>
    </row>
    <row r="631" spans="1:28" ht="15" hidden="1" customHeight="1">
      <c r="A631" s="173" t="s">
        <v>1573</v>
      </c>
      <c r="B631" s="174">
        <v>42948</v>
      </c>
      <c r="C631" s="173" t="s">
        <v>1231</v>
      </c>
      <c r="D631" s="173" t="s">
        <v>1487</v>
      </c>
      <c r="E631" s="173" t="s">
        <v>1479</v>
      </c>
      <c r="F631" s="173">
        <v>1</v>
      </c>
      <c r="G631" s="173" t="s">
        <v>87</v>
      </c>
      <c r="H631" s="173">
        <v>1</v>
      </c>
      <c r="I631" s="173" t="s">
        <v>1574</v>
      </c>
      <c r="J631" s="173" t="s">
        <v>27</v>
      </c>
      <c r="K631" s="173" t="s">
        <v>32</v>
      </c>
      <c r="L631" s="173"/>
      <c r="M631" s="173" t="s">
        <v>305</v>
      </c>
      <c r="N631" s="173">
        <v>900485301</v>
      </c>
      <c r="O631" s="175">
        <v>5789916</v>
      </c>
      <c r="P631" s="7"/>
      <c r="Q631" s="16">
        <f>+IF(IFERROR(VLOOKUP(Tabla3[[#This Row],[Cliente factura]],Tabla4[[NIT]:[TOTAL CREDITO]],3,FALSE),0)="",0,IFERROR(VLOOKUP(Tabla3[[#This Row],[Cliente factura]],Tabla4[[NIT]:[TOTAL CREDITO]],3,FALSE),0))</f>
        <v>1290813</v>
      </c>
      <c r="R631" s="9">
        <f>+IFERROR(VLOOKUP(Tabla3[[#This Row],[Cliente factura]],Tabla4[[NIT]:[TOTAL CREDITO]],6,FALSE),0)</f>
        <v>0</v>
      </c>
      <c r="S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1" s="10" t="str">
        <f>VLOOKUP(Tabla3[[#This Row],[Razón social cliente factura]]&amp;Tabla3[[#This Row],[Desc. ciudad]],'Estandar de Rutas'!$C$1:$E$553,2,FALSE)</f>
        <v>6.4</v>
      </c>
      <c r="U631" s="130">
        <f>IFERROR(VLOOKUP(Tabla3[[#This Row],[Referencia]]&amp;Tabla3[[#This Row],[Desc detalle ext 1]],Tabla1[[Referencia-Color]:[Disponibilidad]],3,FALSE),0)</f>
        <v>7</v>
      </c>
      <c r="V631" s="13"/>
      <c r="W631" s="17">
        <f>+Tabla3[[#This Row],[Cant. Programada]]*Tabla3[[#This Row],[Precio unit]]</f>
        <v>0</v>
      </c>
      <c r="X631" s="129"/>
      <c r="Y631" s="8"/>
      <c r="Z631" s="8" t="str">
        <f>+Tabla3[[#This Row],[Referencia]]&amp;Tabla3[[#This Row],[Desc detalle ext 1]]</f>
        <v>*XR 150L                                          NEGRO ROJ</v>
      </c>
      <c r="AA631" s="128" t="e">
        <f>+VLOOKUP(Tabla3[[#This Row],[CODIGO2]],ESTANDAR!$B$3:$C$9,2,FALSE)</f>
        <v>#N/A</v>
      </c>
      <c r="AB631" s="128" t="str">
        <f>+MID(Tabla3[[#This Row],['# Viaje]],10,1)</f>
        <v/>
      </c>
    </row>
    <row r="632" spans="1:28" ht="15" hidden="1" customHeight="1">
      <c r="A632" s="173" t="s">
        <v>1573</v>
      </c>
      <c r="B632" s="174">
        <v>42948</v>
      </c>
      <c r="C632" s="173" t="s">
        <v>1231</v>
      </c>
      <c r="D632" s="173" t="s">
        <v>1487</v>
      </c>
      <c r="E632" s="173" t="s">
        <v>1479</v>
      </c>
      <c r="F632" s="173">
        <v>1</v>
      </c>
      <c r="G632" s="173" t="s">
        <v>87</v>
      </c>
      <c r="H632" s="173">
        <v>1</v>
      </c>
      <c r="I632" s="173" t="s">
        <v>1574</v>
      </c>
      <c r="J632" s="173" t="s">
        <v>27</v>
      </c>
      <c r="K632" s="173" t="s">
        <v>16</v>
      </c>
      <c r="L632" s="173"/>
      <c r="M632" s="173" t="s">
        <v>305</v>
      </c>
      <c r="N632" s="173">
        <v>900485301</v>
      </c>
      <c r="O632" s="175">
        <v>5789916</v>
      </c>
      <c r="P632" s="7"/>
      <c r="Q632" s="16">
        <f>+IF(IFERROR(VLOOKUP(Tabla3[[#This Row],[Cliente factura]],Tabla4[[NIT]:[TOTAL CREDITO]],3,FALSE),0)="",0,IFERROR(VLOOKUP(Tabla3[[#This Row],[Cliente factura]],Tabla4[[NIT]:[TOTAL CREDITO]],3,FALSE),0))</f>
        <v>1290813</v>
      </c>
      <c r="R632" s="9">
        <f>+IFERROR(VLOOKUP(Tabla3[[#This Row],[Cliente factura]],Tabla4[[NIT]:[TOTAL CREDITO]],6,FALSE),0)</f>
        <v>0</v>
      </c>
      <c r="S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2" s="10" t="str">
        <f>VLOOKUP(Tabla3[[#This Row],[Razón social cliente factura]]&amp;Tabla3[[#This Row],[Desc. ciudad]],'Estandar de Rutas'!$C$1:$E$553,2,FALSE)</f>
        <v>6.4</v>
      </c>
      <c r="U632" s="130">
        <f>IFERROR(VLOOKUP(Tabla3[[#This Row],[Referencia]]&amp;Tabla3[[#This Row],[Desc detalle ext 1]],Tabla1[[Referencia-Color]:[Disponibilidad]],3,FALSE),0)</f>
        <v>3</v>
      </c>
      <c r="V632" s="13"/>
      <c r="W632" s="17">
        <f>+Tabla3[[#This Row],[Cant. Programada]]*Tabla3[[#This Row],[Precio unit]]</f>
        <v>0</v>
      </c>
      <c r="X632" s="129"/>
      <c r="Y632" s="8"/>
      <c r="Z632" s="8" t="str">
        <f>+Tabla3[[#This Row],[Referencia]]&amp;Tabla3[[#This Row],[Desc detalle ext 1]]</f>
        <v xml:space="preserve">*XR 150L                                          NEGRO    </v>
      </c>
      <c r="AA632" s="128" t="e">
        <f>+VLOOKUP(Tabla3[[#This Row],[CODIGO2]],ESTANDAR!$B$3:$C$9,2,FALSE)</f>
        <v>#N/A</v>
      </c>
      <c r="AB632" s="128" t="str">
        <f>+MID(Tabla3[[#This Row],['# Viaje]],10,1)</f>
        <v/>
      </c>
    </row>
    <row r="633" spans="1:28" ht="15" hidden="1" customHeight="1">
      <c r="A633" s="173" t="s">
        <v>1573</v>
      </c>
      <c r="B633" s="174">
        <v>42948</v>
      </c>
      <c r="C633" s="173" t="s">
        <v>1231</v>
      </c>
      <c r="D633" s="173" t="s">
        <v>1487</v>
      </c>
      <c r="E633" s="173" t="s">
        <v>1479</v>
      </c>
      <c r="F633" s="173">
        <v>1</v>
      </c>
      <c r="G633" s="173" t="s">
        <v>87</v>
      </c>
      <c r="H633" s="173">
        <v>1</v>
      </c>
      <c r="I633" s="173" t="s">
        <v>1574</v>
      </c>
      <c r="J633" s="173" t="s">
        <v>25</v>
      </c>
      <c r="K633" s="173" t="s">
        <v>26</v>
      </c>
      <c r="L633" s="173"/>
      <c r="M633" s="173" t="s">
        <v>305</v>
      </c>
      <c r="N633" s="173">
        <v>900485301</v>
      </c>
      <c r="O633" s="175">
        <v>3521008</v>
      </c>
      <c r="P633" s="7"/>
      <c r="Q633" s="16">
        <f>+IF(IFERROR(VLOOKUP(Tabla3[[#This Row],[Cliente factura]],Tabla4[[NIT]:[TOTAL CREDITO]],3,FALSE),0)="",0,IFERROR(VLOOKUP(Tabla3[[#This Row],[Cliente factura]],Tabla4[[NIT]:[TOTAL CREDITO]],3,FALSE),0))</f>
        <v>1290813</v>
      </c>
      <c r="R633" s="9">
        <f>+IFERROR(VLOOKUP(Tabla3[[#This Row],[Cliente factura]],Tabla4[[NIT]:[TOTAL CREDITO]],6,FALSE),0)</f>
        <v>0</v>
      </c>
      <c r="S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3" s="10" t="str">
        <f>VLOOKUP(Tabla3[[#This Row],[Razón social cliente factura]]&amp;Tabla3[[#This Row],[Desc. ciudad]],'Estandar de Rutas'!$C$1:$E$553,2,FALSE)</f>
        <v>6.4</v>
      </c>
      <c r="U633" s="130">
        <f>IFERROR(VLOOKUP(Tabla3[[#This Row],[Referencia]]&amp;Tabla3[[#This Row],[Desc detalle ext 1]],Tabla1[[Referencia-Color]:[Disponibilidad]],3,FALSE),0)</f>
        <v>15</v>
      </c>
      <c r="V633" s="13"/>
      <c r="W633" s="17">
        <f>+Tabla3[[#This Row],[Cant. Programada]]*Tabla3[[#This Row],[Precio unit]]</f>
        <v>0</v>
      </c>
      <c r="X633" s="8"/>
      <c r="Y633" s="8"/>
      <c r="Z633" s="8" t="str">
        <f>+Tabla3[[#This Row],[Referencia]]&amp;Tabla3[[#This Row],[Desc detalle ext 1]]</f>
        <v>DIO 110                                           NEGRO BLA</v>
      </c>
      <c r="AA633" s="128" t="e">
        <f>+VLOOKUP(Tabla3[[#This Row],[CODIGO2]],ESTANDAR!$B$3:$C$9,2,FALSE)</f>
        <v>#N/A</v>
      </c>
      <c r="AB633" s="128" t="str">
        <f>+MID(Tabla3[[#This Row],['# Viaje]],10,1)</f>
        <v/>
      </c>
    </row>
    <row r="634" spans="1:28" ht="15" hidden="1" customHeight="1">
      <c r="A634" s="173" t="s">
        <v>1573</v>
      </c>
      <c r="B634" s="174">
        <v>42948</v>
      </c>
      <c r="C634" s="173" t="s">
        <v>1231</v>
      </c>
      <c r="D634" s="173" t="s">
        <v>1487</v>
      </c>
      <c r="E634" s="173" t="s">
        <v>1479</v>
      </c>
      <c r="F634" s="173">
        <v>2</v>
      </c>
      <c r="G634" s="173" t="s">
        <v>87</v>
      </c>
      <c r="H634" s="173">
        <v>2</v>
      </c>
      <c r="I634" s="173" t="s">
        <v>1574</v>
      </c>
      <c r="J634" s="173" t="s">
        <v>1433</v>
      </c>
      <c r="K634" s="173" t="s">
        <v>1431</v>
      </c>
      <c r="L634" s="173"/>
      <c r="M634" s="173" t="s">
        <v>305</v>
      </c>
      <c r="N634" s="173">
        <v>900485301</v>
      </c>
      <c r="O634" s="175">
        <v>3521008</v>
      </c>
      <c r="P634" s="7"/>
      <c r="Q634" s="16">
        <f>+IF(IFERROR(VLOOKUP(Tabla3[[#This Row],[Cliente factura]],Tabla4[[NIT]:[TOTAL CREDITO]],3,FALSE),0)="",0,IFERROR(VLOOKUP(Tabla3[[#This Row],[Cliente factura]],Tabla4[[NIT]:[TOTAL CREDITO]],3,FALSE),0))</f>
        <v>1290813</v>
      </c>
      <c r="R634" s="9">
        <f>+IFERROR(VLOOKUP(Tabla3[[#This Row],[Cliente factura]],Tabla4[[NIT]:[TOTAL CREDITO]],6,FALSE),0)</f>
        <v>0</v>
      </c>
      <c r="S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4" s="10" t="str">
        <f>VLOOKUP(Tabla3[[#This Row],[Razón social cliente factura]]&amp;Tabla3[[#This Row],[Desc. ciudad]],'Estandar de Rutas'!$C$1:$E$553,2,FALSE)</f>
        <v>6.4</v>
      </c>
      <c r="U634" s="130">
        <f>IFERROR(VLOOKUP(Tabla3[[#This Row],[Referencia]]&amp;Tabla3[[#This Row],[Desc detalle ext 1]],Tabla1[[Referencia-Color]:[Disponibilidad]],3,FALSE),0)</f>
        <v>0</v>
      </c>
      <c r="V634" s="13"/>
      <c r="W634" s="17">
        <f>+Tabla3[[#This Row],[Cant. Programada]]*Tabla3[[#This Row],[Precio unit]]</f>
        <v>0</v>
      </c>
      <c r="X634" s="8"/>
      <c r="Y634" s="8"/>
      <c r="Z634" s="8" t="str">
        <f>+Tabla3[[#This Row],[Referencia]]&amp;Tabla3[[#This Row],[Desc detalle ext 1]]</f>
        <v xml:space="preserve">DIO  110                                          ROJO     </v>
      </c>
      <c r="AA634" s="128" t="e">
        <f>+VLOOKUP(Tabla3[[#This Row],[CODIGO2]],ESTANDAR!$B$3:$C$9,2,FALSE)</f>
        <v>#N/A</v>
      </c>
      <c r="AB634" s="128" t="str">
        <f>+MID(Tabla3[[#This Row],['# Viaje]],10,1)</f>
        <v/>
      </c>
    </row>
    <row r="635" spans="1:28" ht="15" hidden="1" customHeight="1">
      <c r="A635" s="173" t="s">
        <v>1573</v>
      </c>
      <c r="B635" s="174">
        <v>42948</v>
      </c>
      <c r="C635" s="173" t="s">
        <v>1231</v>
      </c>
      <c r="D635" s="173" t="s">
        <v>1487</v>
      </c>
      <c r="E635" s="173" t="s">
        <v>1479</v>
      </c>
      <c r="F635" s="173">
        <v>2</v>
      </c>
      <c r="G635" s="173" t="s">
        <v>87</v>
      </c>
      <c r="H635" s="173">
        <v>2</v>
      </c>
      <c r="I635" s="173" t="s">
        <v>1574</v>
      </c>
      <c r="J635" s="173" t="s">
        <v>1433</v>
      </c>
      <c r="K635" s="173" t="s">
        <v>1452</v>
      </c>
      <c r="L635" s="173"/>
      <c r="M635" s="173" t="s">
        <v>305</v>
      </c>
      <c r="N635" s="173">
        <v>900485301</v>
      </c>
      <c r="O635" s="175">
        <v>3521008</v>
      </c>
      <c r="P635" s="7"/>
      <c r="Q635" s="16">
        <f>+IF(IFERROR(VLOOKUP(Tabla3[[#This Row],[Cliente factura]],Tabla4[[NIT]:[TOTAL CREDITO]],3,FALSE),0)="",0,IFERROR(VLOOKUP(Tabla3[[#This Row],[Cliente factura]],Tabla4[[NIT]:[TOTAL CREDITO]],3,FALSE),0))</f>
        <v>1290813</v>
      </c>
      <c r="R635" s="9">
        <f>+IFERROR(VLOOKUP(Tabla3[[#This Row],[Cliente factura]],Tabla4[[NIT]:[TOTAL CREDITO]],6,FALSE),0)</f>
        <v>0</v>
      </c>
      <c r="S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5" s="10" t="str">
        <f>VLOOKUP(Tabla3[[#This Row],[Razón social cliente factura]]&amp;Tabla3[[#This Row],[Desc. ciudad]],'Estandar de Rutas'!$C$1:$E$553,2,FALSE)</f>
        <v>6.4</v>
      </c>
      <c r="U635" s="130">
        <f>IFERROR(VLOOKUP(Tabla3[[#This Row],[Referencia]]&amp;Tabla3[[#This Row],[Desc detalle ext 1]],Tabla1[[Referencia-Color]:[Disponibilidad]],3,FALSE),0)</f>
        <v>0</v>
      </c>
      <c r="V635" s="13"/>
      <c r="W635" s="17">
        <f>+Tabla3[[#This Row],[Cant. Programada]]*Tabla3[[#This Row],[Precio unit]]</f>
        <v>0</v>
      </c>
      <c r="X635" s="8"/>
      <c r="Y635" s="8"/>
      <c r="Z635" s="8" t="str">
        <f>+Tabla3[[#This Row],[Referencia]]&amp;Tabla3[[#This Row],[Desc detalle ext 1]]</f>
        <v xml:space="preserve">DIO  110                                          AZUL     </v>
      </c>
      <c r="AA635" s="128" t="e">
        <f>+VLOOKUP(Tabla3[[#This Row],[CODIGO2]],ESTANDAR!$B$3:$C$9,2,FALSE)</f>
        <v>#N/A</v>
      </c>
      <c r="AB635" s="128" t="str">
        <f>+MID(Tabla3[[#This Row],['# Viaje]],10,1)</f>
        <v/>
      </c>
    </row>
    <row r="636" spans="1:28" ht="15" hidden="1" customHeight="1">
      <c r="A636" s="173" t="s">
        <v>1573</v>
      </c>
      <c r="B636" s="174">
        <v>42948</v>
      </c>
      <c r="C636" s="173" t="s">
        <v>1231</v>
      </c>
      <c r="D636" s="173" t="s">
        <v>1487</v>
      </c>
      <c r="E636" s="173" t="s">
        <v>1479</v>
      </c>
      <c r="F636" s="173">
        <v>1</v>
      </c>
      <c r="G636" s="173" t="s">
        <v>87</v>
      </c>
      <c r="H636" s="173">
        <v>1</v>
      </c>
      <c r="I636" s="173" t="s">
        <v>1574</v>
      </c>
      <c r="J636" s="173" t="s">
        <v>1428</v>
      </c>
      <c r="K636" s="173" t="s">
        <v>1461</v>
      </c>
      <c r="L636" s="173"/>
      <c r="M636" s="173" t="s">
        <v>305</v>
      </c>
      <c r="N636" s="173">
        <v>900485301</v>
      </c>
      <c r="O636" s="175">
        <v>3067227</v>
      </c>
      <c r="P636" s="7"/>
      <c r="Q636" s="16">
        <f>+IF(IFERROR(VLOOKUP(Tabla3[[#This Row],[Cliente factura]],Tabla4[[NIT]:[TOTAL CREDITO]],3,FALSE),0)="",0,IFERROR(VLOOKUP(Tabla3[[#This Row],[Cliente factura]],Tabla4[[NIT]:[TOTAL CREDITO]],3,FALSE),0))</f>
        <v>1290813</v>
      </c>
      <c r="R636" s="9">
        <f>+IFERROR(VLOOKUP(Tabla3[[#This Row],[Cliente factura]],Tabla4[[NIT]:[TOTAL CREDITO]],6,FALSE),0)</f>
        <v>0</v>
      </c>
      <c r="S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6" s="10" t="str">
        <f>VLOOKUP(Tabla3[[#This Row],[Razón social cliente factura]]&amp;Tabla3[[#This Row],[Desc. ciudad]],'Estandar de Rutas'!$C$1:$E$553,2,FALSE)</f>
        <v>6.4</v>
      </c>
      <c r="U636" s="130">
        <f>IFERROR(VLOOKUP(Tabla3[[#This Row],[Referencia]]&amp;Tabla3[[#This Row],[Desc detalle ext 1]],Tabla1[[Referencia-Color]:[Disponibilidad]],3,FALSE),0)</f>
        <v>0</v>
      </c>
      <c r="V636" s="13"/>
      <c r="W636" s="17">
        <f>+Tabla3[[#This Row],[Cant. Programada]]*Tabla3[[#This Row],[Precio unit]]</f>
        <v>0</v>
      </c>
      <c r="X636" s="8"/>
      <c r="Y636" s="8"/>
      <c r="Z636" s="8" t="str">
        <f>+Tabla3[[#This Row],[Referencia]]&amp;Tabla3[[#This Row],[Desc detalle ext 1]]</f>
        <v>DREAM  NEO                                        ROJO ALFA</v>
      </c>
      <c r="AA636" s="128" t="e">
        <f>+VLOOKUP(Tabla3[[#This Row],[CODIGO2]],ESTANDAR!$B$3:$C$9,2,FALSE)</f>
        <v>#N/A</v>
      </c>
      <c r="AB636" s="128" t="str">
        <f>+MID(Tabla3[[#This Row],['# Viaje]],10,1)</f>
        <v/>
      </c>
    </row>
    <row r="637" spans="1:28" ht="15" hidden="1" customHeight="1">
      <c r="A637" s="173" t="s">
        <v>1573</v>
      </c>
      <c r="B637" s="174">
        <v>42948</v>
      </c>
      <c r="C637" s="173" t="s">
        <v>1231</v>
      </c>
      <c r="D637" s="173" t="s">
        <v>1487</v>
      </c>
      <c r="E637" s="173" t="s">
        <v>1479</v>
      </c>
      <c r="F637" s="173">
        <v>1</v>
      </c>
      <c r="G637" s="173" t="s">
        <v>87</v>
      </c>
      <c r="H637" s="173">
        <v>1</v>
      </c>
      <c r="I637" s="173" t="s">
        <v>1574</v>
      </c>
      <c r="J637" s="173" t="s">
        <v>1430</v>
      </c>
      <c r="K637" s="173" t="s">
        <v>1431</v>
      </c>
      <c r="L637" s="173"/>
      <c r="M637" s="173" t="s">
        <v>305</v>
      </c>
      <c r="N637" s="173">
        <v>900485301</v>
      </c>
      <c r="O637" s="175">
        <v>3941176</v>
      </c>
      <c r="P637" s="7"/>
      <c r="Q637" s="16">
        <f>+IF(IFERROR(VLOOKUP(Tabla3[[#This Row],[Cliente factura]],Tabla4[[NIT]:[TOTAL CREDITO]],3,FALSE),0)="",0,IFERROR(VLOOKUP(Tabla3[[#This Row],[Cliente factura]],Tabla4[[NIT]:[TOTAL CREDITO]],3,FALSE),0))</f>
        <v>1290813</v>
      </c>
      <c r="R637" s="9">
        <f>+IFERROR(VLOOKUP(Tabla3[[#This Row],[Cliente factura]],Tabla4[[NIT]:[TOTAL CREDITO]],6,FALSE),0)</f>
        <v>0</v>
      </c>
      <c r="S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7" s="10" t="str">
        <f>VLOOKUP(Tabla3[[#This Row],[Razón social cliente factura]]&amp;Tabla3[[#This Row],[Desc. ciudad]],'Estandar de Rutas'!$C$1:$E$553,2,FALSE)</f>
        <v>6.4</v>
      </c>
      <c r="U637" s="130">
        <f>IFERROR(VLOOKUP(Tabla3[[#This Row],[Referencia]]&amp;Tabla3[[#This Row],[Desc detalle ext 1]],Tabla1[[Referencia-Color]:[Disponibilidad]],3,FALSE),0)</f>
        <v>0</v>
      </c>
      <c r="V637" s="13"/>
      <c r="W637" s="17">
        <f>+Tabla3[[#This Row],[Cant. Programada]]*Tabla3[[#This Row],[Precio unit]]</f>
        <v>0</v>
      </c>
      <c r="X637" s="8"/>
      <c r="Y637" s="8"/>
      <c r="Z637" s="8" t="str">
        <f>+Tabla3[[#This Row],[Referencia]]&amp;Tabla3[[#This Row],[Desc detalle ext 1]]</f>
        <v xml:space="preserve">WAVE 110S                                         ROJO     </v>
      </c>
      <c r="AA637" s="128" t="e">
        <f>+VLOOKUP(Tabla3[[#This Row],[CODIGO2]],ESTANDAR!$B$3:$C$9,2,FALSE)</f>
        <v>#N/A</v>
      </c>
      <c r="AB637" s="128" t="str">
        <f>+MID(Tabla3[[#This Row],['# Viaje]],10,1)</f>
        <v/>
      </c>
    </row>
    <row r="638" spans="1:28" ht="15" hidden="1" customHeight="1">
      <c r="A638" s="173" t="s">
        <v>1573</v>
      </c>
      <c r="B638" s="174">
        <v>42948</v>
      </c>
      <c r="C638" s="173" t="s">
        <v>1231</v>
      </c>
      <c r="D638" s="173" t="s">
        <v>1487</v>
      </c>
      <c r="E638" s="173" t="s">
        <v>1479</v>
      </c>
      <c r="F638" s="173">
        <v>1</v>
      </c>
      <c r="G638" s="173" t="s">
        <v>87</v>
      </c>
      <c r="H638" s="173">
        <v>1</v>
      </c>
      <c r="I638" s="173" t="s">
        <v>1574</v>
      </c>
      <c r="J638" s="173" t="s">
        <v>1430</v>
      </c>
      <c r="K638" s="173" t="s">
        <v>1432</v>
      </c>
      <c r="L638" s="173"/>
      <c r="M638" s="173" t="s">
        <v>305</v>
      </c>
      <c r="N638" s="173">
        <v>900485301</v>
      </c>
      <c r="O638" s="175">
        <v>3941176</v>
      </c>
      <c r="P638" s="7"/>
      <c r="Q638" s="16">
        <f>+IF(IFERROR(VLOOKUP(Tabla3[[#This Row],[Cliente factura]],Tabla4[[NIT]:[TOTAL CREDITO]],3,FALSE),0)="",0,IFERROR(VLOOKUP(Tabla3[[#This Row],[Cliente factura]],Tabla4[[NIT]:[TOTAL CREDITO]],3,FALSE),0))</f>
        <v>1290813</v>
      </c>
      <c r="R638" s="9">
        <f>+IFERROR(VLOOKUP(Tabla3[[#This Row],[Cliente factura]],Tabla4[[NIT]:[TOTAL CREDITO]],6,FALSE),0)</f>
        <v>0</v>
      </c>
      <c r="S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8" s="10" t="str">
        <f>VLOOKUP(Tabla3[[#This Row],[Razón social cliente factura]]&amp;Tabla3[[#This Row],[Desc. ciudad]],'Estandar de Rutas'!$C$1:$E$553,2,FALSE)</f>
        <v>6.4</v>
      </c>
      <c r="U638" s="130">
        <f>IFERROR(VLOOKUP(Tabla3[[#This Row],[Referencia]]&amp;Tabla3[[#This Row],[Desc detalle ext 1]],Tabla1[[Referencia-Color]:[Disponibilidad]],3,FALSE),0)</f>
        <v>23</v>
      </c>
      <c r="V638" s="13"/>
      <c r="W638" s="17">
        <f>+Tabla3[[#This Row],[Cant. Programada]]*Tabla3[[#This Row],[Precio unit]]</f>
        <v>0</v>
      </c>
      <c r="X638" s="8"/>
      <c r="Y638" s="8"/>
      <c r="Z638" s="8" t="str">
        <f>+Tabla3[[#This Row],[Referencia]]&amp;Tabla3[[#This Row],[Desc detalle ext 1]]</f>
        <v xml:space="preserve">WAVE 110S                                         BLANCO   </v>
      </c>
      <c r="AA638" s="128" t="e">
        <f>+VLOOKUP(Tabla3[[#This Row],[CODIGO2]],ESTANDAR!$B$3:$C$9,2,FALSE)</f>
        <v>#N/A</v>
      </c>
      <c r="AB638" s="128" t="str">
        <f>+MID(Tabla3[[#This Row],['# Viaje]],10,1)</f>
        <v/>
      </c>
    </row>
    <row r="639" spans="1:28" ht="15" hidden="1" customHeight="1">
      <c r="A639" s="173" t="s">
        <v>1573</v>
      </c>
      <c r="B639" s="174">
        <v>42948</v>
      </c>
      <c r="C639" s="173" t="s">
        <v>1231</v>
      </c>
      <c r="D639" s="173" t="s">
        <v>1487</v>
      </c>
      <c r="E639" s="173" t="s">
        <v>1479</v>
      </c>
      <c r="F639" s="173">
        <v>1</v>
      </c>
      <c r="G639" s="173" t="s">
        <v>87</v>
      </c>
      <c r="H639" s="173">
        <v>1</v>
      </c>
      <c r="I639" s="173" t="s">
        <v>1574</v>
      </c>
      <c r="J639" s="173" t="s">
        <v>1451</v>
      </c>
      <c r="K639" s="173" t="s">
        <v>1452</v>
      </c>
      <c r="L639" s="173"/>
      <c r="M639" s="173" t="s">
        <v>305</v>
      </c>
      <c r="N639" s="173">
        <v>900485301</v>
      </c>
      <c r="O639" s="175">
        <v>3696639</v>
      </c>
      <c r="P639" s="7"/>
      <c r="Q639" s="16">
        <f>+IF(IFERROR(VLOOKUP(Tabla3[[#This Row],[Cliente factura]],Tabla4[[NIT]:[TOTAL CREDITO]],3,FALSE),0)="",0,IFERROR(VLOOKUP(Tabla3[[#This Row],[Cliente factura]],Tabla4[[NIT]:[TOTAL CREDITO]],3,FALSE),0))</f>
        <v>1290813</v>
      </c>
      <c r="R639" s="9">
        <f>+IFERROR(VLOOKUP(Tabla3[[#This Row],[Cliente factura]],Tabla4[[NIT]:[TOTAL CREDITO]],6,FALSE),0)</f>
        <v>0</v>
      </c>
      <c r="S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9" s="10" t="str">
        <f>VLOOKUP(Tabla3[[#This Row],[Razón social cliente factura]]&amp;Tabla3[[#This Row],[Desc. ciudad]],'Estandar de Rutas'!$C$1:$E$553,2,FALSE)</f>
        <v>6.4</v>
      </c>
      <c r="U639" s="130">
        <f>IFERROR(VLOOKUP(Tabla3[[#This Row],[Referencia]]&amp;Tabla3[[#This Row],[Desc detalle ext 1]],Tabla1[[Referencia-Color]:[Disponibilidad]],3,FALSE),0)</f>
        <v>21</v>
      </c>
      <c r="V639" s="13"/>
      <c r="W639" s="17">
        <f>+Tabla3[[#This Row],[Cant. Programada]]*Tabla3[[#This Row],[Precio unit]]</f>
        <v>0</v>
      </c>
      <c r="X639" s="8"/>
      <c r="Y639" s="8"/>
      <c r="Z639" s="8" t="str">
        <f>+Tabla3[[#This Row],[Referencia]]&amp;Tabla3[[#This Row],[Desc detalle ext 1]]</f>
        <v xml:space="preserve">CB 110 DLX                                        AZUL     </v>
      </c>
      <c r="AA639" s="128" t="e">
        <f>+VLOOKUP(Tabla3[[#This Row],[CODIGO2]],ESTANDAR!$B$3:$C$9,2,FALSE)</f>
        <v>#N/A</v>
      </c>
      <c r="AB639" s="128" t="str">
        <f>+MID(Tabla3[[#This Row],['# Viaje]],10,1)</f>
        <v/>
      </c>
    </row>
    <row r="640" spans="1:28" ht="15" hidden="1" customHeight="1">
      <c r="A640" s="173" t="s">
        <v>1573</v>
      </c>
      <c r="B640" s="174">
        <v>42948</v>
      </c>
      <c r="C640" s="173" t="s">
        <v>1231</v>
      </c>
      <c r="D640" s="173" t="s">
        <v>1487</v>
      </c>
      <c r="E640" s="173" t="s">
        <v>1479</v>
      </c>
      <c r="F640" s="173">
        <v>1</v>
      </c>
      <c r="G640" s="173" t="s">
        <v>87</v>
      </c>
      <c r="H640" s="173">
        <v>1</v>
      </c>
      <c r="I640" s="173" t="s">
        <v>1574</v>
      </c>
      <c r="J640" s="173" t="s">
        <v>1451</v>
      </c>
      <c r="K640" s="173" t="s">
        <v>1431</v>
      </c>
      <c r="L640" s="173"/>
      <c r="M640" s="173" t="s">
        <v>305</v>
      </c>
      <c r="N640" s="173">
        <v>900485301</v>
      </c>
      <c r="O640" s="175">
        <v>3696639</v>
      </c>
      <c r="P640" s="7"/>
      <c r="Q640" s="16">
        <f>+IF(IFERROR(VLOOKUP(Tabla3[[#This Row],[Cliente factura]],Tabla4[[NIT]:[TOTAL CREDITO]],3,FALSE),0)="",0,IFERROR(VLOOKUP(Tabla3[[#This Row],[Cliente factura]],Tabla4[[NIT]:[TOTAL CREDITO]],3,FALSE),0))</f>
        <v>1290813</v>
      </c>
      <c r="R640" s="9">
        <f>+IFERROR(VLOOKUP(Tabla3[[#This Row],[Cliente factura]],Tabla4[[NIT]:[TOTAL CREDITO]],6,FALSE),0)</f>
        <v>0</v>
      </c>
      <c r="S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0" s="10" t="str">
        <f>VLOOKUP(Tabla3[[#This Row],[Razón social cliente factura]]&amp;Tabla3[[#This Row],[Desc. ciudad]],'Estandar de Rutas'!$C$1:$E$553,2,FALSE)</f>
        <v>6.4</v>
      </c>
      <c r="U640" s="130">
        <f>IFERROR(VLOOKUP(Tabla3[[#This Row],[Referencia]]&amp;Tabla3[[#This Row],[Desc detalle ext 1]],Tabla1[[Referencia-Color]:[Disponibilidad]],3,FALSE),0)</f>
        <v>21</v>
      </c>
      <c r="V640" s="13"/>
      <c r="W640" s="17">
        <f>+Tabla3[[#This Row],[Cant. Programada]]*Tabla3[[#This Row],[Precio unit]]</f>
        <v>0</v>
      </c>
      <c r="X640" s="8"/>
      <c r="Y640" s="8"/>
      <c r="Z640" s="8" t="str">
        <f>+Tabla3[[#This Row],[Referencia]]&amp;Tabla3[[#This Row],[Desc detalle ext 1]]</f>
        <v xml:space="preserve">CB 110 DLX                                        ROJO     </v>
      </c>
      <c r="AA640" s="128" t="e">
        <f>+VLOOKUP(Tabla3[[#This Row],[CODIGO2]],ESTANDAR!$B$3:$C$9,2,FALSE)</f>
        <v>#N/A</v>
      </c>
      <c r="AB640" s="128" t="str">
        <f>+MID(Tabla3[[#This Row],['# Viaje]],10,1)</f>
        <v/>
      </c>
    </row>
    <row r="641" spans="1:28" ht="15" hidden="1" customHeight="1">
      <c r="A641" s="173" t="s">
        <v>1575</v>
      </c>
      <c r="B641" s="174">
        <v>42948</v>
      </c>
      <c r="C641" s="173" t="s">
        <v>1231</v>
      </c>
      <c r="D641" s="173" t="s">
        <v>1487</v>
      </c>
      <c r="E641" s="173" t="s">
        <v>1479</v>
      </c>
      <c r="F641" s="173">
        <v>1</v>
      </c>
      <c r="G641" s="173" t="s">
        <v>87</v>
      </c>
      <c r="H641" s="173">
        <v>1</v>
      </c>
      <c r="I641" s="173" t="s">
        <v>1576</v>
      </c>
      <c r="J641" s="173" t="s">
        <v>1433</v>
      </c>
      <c r="K641" s="173" t="s">
        <v>1431</v>
      </c>
      <c r="L641" s="173"/>
      <c r="M641" s="173" t="s">
        <v>1280</v>
      </c>
      <c r="N641" s="173">
        <v>900485301</v>
      </c>
      <c r="O641" s="175">
        <v>3521008</v>
      </c>
      <c r="P641" s="7"/>
      <c r="Q641" s="16">
        <f>+IF(IFERROR(VLOOKUP(Tabla3[[#This Row],[Cliente factura]],Tabla4[[NIT]:[TOTAL CREDITO]],3,FALSE),0)="",0,IFERROR(VLOOKUP(Tabla3[[#This Row],[Cliente factura]],Tabla4[[NIT]:[TOTAL CREDITO]],3,FALSE),0))</f>
        <v>1290813</v>
      </c>
      <c r="R641" s="9">
        <f>+IFERROR(VLOOKUP(Tabla3[[#This Row],[Cliente factura]],Tabla4[[NIT]:[TOTAL CREDITO]],6,FALSE),0)</f>
        <v>0</v>
      </c>
      <c r="S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1" s="10" t="str">
        <f>VLOOKUP(Tabla3[[#This Row],[Razón social cliente factura]]&amp;Tabla3[[#This Row],[Desc. ciudad]],'Estandar de Rutas'!$C$1:$E$553,2,FALSE)</f>
        <v>6.4</v>
      </c>
      <c r="U641" s="130">
        <f>IFERROR(VLOOKUP(Tabla3[[#This Row],[Referencia]]&amp;Tabla3[[#This Row],[Desc detalle ext 1]],Tabla1[[Referencia-Color]:[Disponibilidad]],3,FALSE),0)</f>
        <v>0</v>
      </c>
      <c r="V641" s="13"/>
      <c r="W641" s="17">
        <f>+Tabla3[[#This Row],[Cant. Programada]]*Tabla3[[#This Row],[Precio unit]]</f>
        <v>0</v>
      </c>
      <c r="X641" s="8"/>
      <c r="Y641" s="8"/>
      <c r="Z641" s="8" t="str">
        <f>+Tabla3[[#This Row],[Referencia]]&amp;Tabla3[[#This Row],[Desc detalle ext 1]]</f>
        <v xml:space="preserve">DIO  110                                          ROJO     </v>
      </c>
      <c r="AA641" s="128" t="e">
        <f>+VLOOKUP(Tabla3[[#This Row],[CODIGO2]],ESTANDAR!$B$3:$C$9,2,FALSE)</f>
        <v>#N/A</v>
      </c>
      <c r="AB641" s="128" t="str">
        <f>+MID(Tabla3[[#This Row],['# Viaje]],10,1)</f>
        <v/>
      </c>
    </row>
    <row r="642" spans="1:28" ht="15" hidden="1" customHeight="1">
      <c r="A642" s="173" t="s">
        <v>1575</v>
      </c>
      <c r="B642" s="174">
        <v>42948</v>
      </c>
      <c r="C642" s="173" t="s">
        <v>1231</v>
      </c>
      <c r="D642" s="173" t="s">
        <v>1487</v>
      </c>
      <c r="E642" s="173" t="s">
        <v>1479</v>
      </c>
      <c r="F642" s="173">
        <v>1</v>
      </c>
      <c r="G642" s="173" t="s">
        <v>87</v>
      </c>
      <c r="H642" s="173">
        <v>1</v>
      </c>
      <c r="I642" s="173" t="s">
        <v>1576</v>
      </c>
      <c r="J642" s="173" t="s">
        <v>1234</v>
      </c>
      <c r="K642" s="173" t="s">
        <v>355</v>
      </c>
      <c r="L642" s="173"/>
      <c r="M642" s="173" t="s">
        <v>1280</v>
      </c>
      <c r="N642" s="173">
        <v>900485301</v>
      </c>
      <c r="O642" s="175">
        <v>5453782</v>
      </c>
      <c r="P642" s="7"/>
      <c r="Q642" s="16">
        <f>+IF(IFERROR(VLOOKUP(Tabla3[[#This Row],[Cliente factura]],Tabla4[[NIT]:[TOTAL CREDITO]],3,FALSE),0)="",0,IFERROR(VLOOKUP(Tabla3[[#This Row],[Cliente factura]],Tabla4[[NIT]:[TOTAL CREDITO]],3,FALSE),0))</f>
        <v>1290813</v>
      </c>
      <c r="R642" s="9">
        <f>+IFERROR(VLOOKUP(Tabla3[[#This Row],[Cliente factura]],Tabla4[[NIT]:[TOTAL CREDITO]],6,FALSE),0)</f>
        <v>0</v>
      </c>
      <c r="S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2" s="10" t="str">
        <f>VLOOKUP(Tabla3[[#This Row],[Razón social cliente factura]]&amp;Tabla3[[#This Row],[Desc. ciudad]],'Estandar de Rutas'!$C$1:$E$553,2,FALSE)</f>
        <v>6.4</v>
      </c>
      <c r="U642" s="130">
        <f>IFERROR(VLOOKUP(Tabla3[[#This Row],[Referencia]]&amp;Tabla3[[#This Row],[Desc detalle ext 1]],Tabla1[[Referencia-Color]:[Disponibilidad]],3,FALSE),0)</f>
        <v>0</v>
      </c>
      <c r="V642" s="13"/>
      <c r="W642" s="17">
        <f>+Tabla3[[#This Row],[Cant. Programada]]*Tabla3[[#This Row],[Precio unit]]</f>
        <v>0</v>
      </c>
      <c r="X642" s="129"/>
      <c r="Y642" s="8"/>
      <c r="Z642" s="8" t="str">
        <f>+Tabla3[[#This Row],[Referencia]]&amp;Tabla3[[#This Row],[Desc detalle ext 1]]</f>
        <v>CB 160F STD                                       NEGRO PER</v>
      </c>
      <c r="AA642" s="128" t="e">
        <f>+VLOOKUP(Tabla3[[#This Row],[CODIGO2]],ESTANDAR!$B$3:$C$9,2,FALSE)</f>
        <v>#N/A</v>
      </c>
      <c r="AB642" s="128" t="str">
        <f>+MID(Tabla3[[#This Row],['# Viaje]],10,1)</f>
        <v/>
      </c>
    </row>
    <row r="643" spans="1:28" ht="15" hidden="1" customHeight="1">
      <c r="A643" s="173" t="s">
        <v>1577</v>
      </c>
      <c r="B643" s="174">
        <v>42948</v>
      </c>
      <c r="C643" s="173" t="s">
        <v>1231</v>
      </c>
      <c r="D643" s="173" t="s">
        <v>1478</v>
      </c>
      <c r="E643" s="173" t="s">
        <v>1479</v>
      </c>
      <c r="F643" s="173">
        <v>2</v>
      </c>
      <c r="G643" s="173" t="s">
        <v>46</v>
      </c>
      <c r="H643" s="173">
        <v>2</v>
      </c>
      <c r="I643" s="173" t="s">
        <v>46</v>
      </c>
      <c r="J643" s="173" t="s">
        <v>1451</v>
      </c>
      <c r="K643" s="173" t="s">
        <v>16</v>
      </c>
      <c r="L643" s="173"/>
      <c r="M643" s="173" t="s">
        <v>42</v>
      </c>
      <c r="N643" s="173">
        <v>900215165</v>
      </c>
      <c r="O643" s="175">
        <v>3696639</v>
      </c>
      <c r="P643" s="7"/>
      <c r="Q643" s="16">
        <f>+IF(IFERROR(VLOOKUP(Tabla3[[#This Row],[Cliente factura]],Tabla4[[NIT]:[TOTAL CREDITO]],3,FALSE),0)="",0,IFERROR(VLOOKUP(Tabla3[[#This Row],[Cliente factura]],Tabla4[[NIT]:[TOTAL CREDITO]],3,FALSE),0))</f>
        <v>0</v>
      </c>
      <c r="R643" s="9">
        <f>+IFERROR(VLOOKUP(Tabla3[[#This Row],[Cliente factura]],Tabla4[[NIT]:[TOTAL CREDITO]],6,FALSE),0)</f>
        <v>57197673</v>
      </c>
      <c r="S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3" s="10" t="str">
        <f>VLOOKUP(Tabla3[[#This Row],[Razón social cliente factura]]&amp;Tabla3[[#This Row],[Desc. ciudad]],'Estandar de Rutas'!$C$1:$E$553,2,FALSE)</f>
        <v>1.3</v>
      </c>
      <c r="U643" s="130">
        <f>IFERROR(VLOOKUP(Tabla3[[#This Row],[Referencia]]&amp;Tabla3[[#This Row],[Desc detalle ext 1]],Tabla1[[Referencia-Color]:[Disponibilidad]],3,FALSE),0)</f>
        <v>3</v>
      </c>
      <c r="V643" s="13"/>
      <c r="W643" s="17">
        <f>+Tabla3[[#This Row],[Cant. Programada]]*Tabla3[[#This Row],[Precio unit]]</f>
        <v>0</v>
      </c>
      <c r="X643" s="129"/>
      <c r="Y643" s="129"/>
      <c r="Z643" s="8" t="str">
        <f>+Tabla3[[#This Row],[Referencia]]&amp;Tabla3[[#This Row],[Desc detalle ext 1]]</f>
        <v xml:space="preserve">CB 110 DLX                                        NEGRO    </v>
      </c>
      <c r="AA643" s="128" t="e">
        <f>+VLOOKUP(Tabla3[[#This Row],[CODIGO2]],ESTANDAR!$B$3:$C$9,2,FALSE)</f>
        <v>#N/A</v>
      </c>
      <c r="AB643" s="128" t="str">
        <f>+MID(Tabla3[[#This Row],['# Viaje]],10,1)</f>
        <v/>
      </c>
    </row>
    <row r="644" spans="1:28" ht="15" hidden="1" customHeight="1">
      <c r="A644" s="173" t="s">
        <v>1578</v>
      </c>
      <c r="B644" s="174">
        <v>42948</v>
      </c>
      <c r="C644" s="173" t="s">
        <v>1231</v>
      </c>
      <c r="D644" s="173" t="s">
        <v>1487</v>
      </c>
      <c r="E644" s="173" t="s">
        <v>1479</v>
      </c>
      <c r="F644" s="173">
        <v>2</v>
      </c>
      <c r="G644" s="173" t="s">
        <v>87</v>
      </c>
      <c r="H644" s="173">
        <v>2</v>
      </c>
      <c r="I644" s="173" t="s">
        <v>87</v>
      </c>
      <c r="J644" s="173" t="s">
        <v>27</v>
      </c>
      <c r="K644" s="173" t="s">
        <v>32</v>
      </c>
      <c r="L644" s="173"/>
      <c r="M644" s="173" t="s">
        <v>166</v>
      </c>
      <c r="N644" s="173">
        <v>900485301</v>
      </c>
      <c r="O644" s="175">
        <v>5789916</v>
      </c>
      <c r="P644" s="7"/>
      <c r="Q644" s="16">
        <f>+IF(IFERROR(VLOOKUP(Tabla3[[#This Row],[Cliente factura]],Tabla4[[NIT]:[TOTAL CREDITO]],3,FALSE),0)="",0,IFERROR(VLOOKUP(Tabla3[[#This Row],[Cliente factura]],Tabla4[[NIT]:[TOTAL CREDITO]],3,FALSE),0))</f>
        <v>1290813</v>
      </c>
      <c r="R644" s="9">
        <f>+IFERROR(VLOOKUP(Tabla3[[#This Row],[Cliente factura]],Tabla4[[NIT]:[TOTAL CREDITO]],6,FALSE),0)</f>
        <v>0</v>
      </c>
      <c r="S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4" s="10" t="str">
        <f>VLOOKUP(Tabla3[[#This Row],[Razón social cliente factura]]&amp;Tabla3[[#This Row],[Desc. ciudad]],'Estandar de Rutas'!$C$1:$E$553,2,FALSE)</f>
        <v>8.3</v>
      </c>
      <c r="U644" s="130">
        <f>IFERROR(VLOOKUP(Tabla3[[#This Row],[Referencia]]&amp;Tabla3[[#This Row],[Desc detalle ext 1]],Tabla1[[Referencia-Color]:[Disponibilidad]],3,FALSE),0)</f>
        <v>7</v>
      </c>
      <c r="V644" s="13"/>
      <c r="W644" s="17">
        <f>+Tabla3[[#This Row],[Cant. Programada]]*Tabla3[[#This Row],[Precio unit]]</f>
        <v>0</v>
      </c>
      <c r="X644" s="129"/>
      <c r="Y644" s="129"/>
      <c r="Z644" s="8" t="str">
        <f>+Tabla3[[#This Row],[Referencia]]&amp;Tabla3[[#This Row],[Desc detalle ext 1]]</f>
        <v>*XR 150L                                          NEGRO ROJ</v>
      </c>
      <c r="AA644" s="128" t="e">
        <f>+VLOOKUP(Tabla3[[#This Row],[CODIGO2]],ESTANDAR!$B$3:$C$9,2,FALSE)</f>
        <v>#N/A</v>
      </c>
      <c r="AB644" s="128" t="str">
        <f>+MID(Tabla3[[#This Row],['# Viaje]],10,1)</f>
        <v/>
      </c>
    </row>
    <row r="645" spans="1:28" ht="15" hidden="1" customHeight="1">
      <c r="A645" s="173" t="s">
        <v>1578</v>
      </c>
      <c r="B645" s="174">
        <v>42948</v>
      </c>
      <c r="C645" s="173" t="s">
        <v>1231</v>
      </c>
      <c r="D645" s="173" t="s">
        <v>1487</v>
      </c>
      <c r="E645" s="173" t="s">
        <v>1479</v>
      </c>
      <c r="F645" s="173">
        <v>1</v>
      </c>
      <c r="G645" s="173" t="s">
        <v>87</v>
      </c>
      <c r="H645" s="173">
        <v>1</v>
      </c>
      <c r="I645" s="173" t="s">
        <v>87</v>
      </c>
      <c r="J645" s="173" t="s">
        <v>27</v>
      </c>
      <c r="K645" s="173" t="s">
        <v>26</v>
      </c>
      <c r="L645" s="173"/>
      <c r="M645" s="173" t="s">
        <v>166</v>
      </c>
      <c r="N645" s="173">
        <v>900485301</v>
      </c>
      <c r="O645" s="175">
        <v>5789916</v>
      </c>
      <c r="P645" s="7"/>
      <c r="Q645" s="16">
        <f>+IF(IFERROR(VLOOKUP(Tabla3[[#This Row],[Cliente factura]],Tabla4[[NIT]:[TOTAL CREDITO]],3,FALSE),0)="",0,IFERROR(VLOOKUP(Tabla3[[#This Row],[Cliente factura]],Tabla4[[NIT]:[TOTAL CREDITO]],3,FALSE),0))</f>
        <v>1290813</v>
      </c>
      <c r="R645" s="9">
        <f>+IFERROR(VLOOKUP(Tabla3[[#This Row],[Cliente factura]],Tabla4[[NIT]:[TOTAL CREDITO]],6,FALSE),0)</f>
        <v>0</v>
      </c>
      <c r="S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5" s="10" t="str">
        <f>VLOOKUP(Tabla3[[#This Row],[Razón social cliente factura]]&amp;Tabla3[[#This Row],[Desc. ciudad]],'Estandar de Rutas'!$C$1:$E$553,2,FALSE)</f>
        <v>8.3</v>
      </c>
      <c r="U645" s="130">
        <f>IFERROR(VLOOKUP(Tabla3[[#This Row],[Referencia]]&amp;Tabla3[[#This Row],[Desc detalle ext 1]],Tabla1[[Referencia-Color]:[Disponibilidad]],3,FALSE),0)</f>
        <v>59</v>
      </c>
      <c r="V645" s="13"/>
      <c r="W645" s="17">
        <f>+Tabla3[[#This Row],[Cant. Programada]]*Tabla3[[#This Row],[Precio unit]]</f>
        <v>0</v>
      </c>
      <c r="X645" s="8"/>
      <c r="Y645" s="8"/>
      <c r="Z645" s="8" t="str">
        <f>+Tabla3[[#This Row],[Referencia]]&amp;Tabla3[[#This Row],[Desc detalle ext 1]]</f>
        <v>*XR 150L                                          NEGRO BLA</v>
      </c>
      <c r="AA645" s="128" t="e">
        <f>+VLOOKUP(Tabla3[[#This Row],[CODIGO2]],ESTANDAR!$B$3:$C$9,2,FALSE)</f>
        <v>#N/A</v>
      </c>
      <c r="AB645" s="128" t="str">
        <f>+MID(Tabla3[[#This Row],['# Viaje]],10,1)</f>
        <v/>
      </c>
    </row>
    <row r="646" spans="1:28" ht="15" hidden="1" customHeight="1">
      <c r="A646" s="173" t="s">
        <v>1578</v>
      </c>
      <c r="B646" s="174">
        <v>42948</v>
      </c>
      <c r="C646" s="173" t="s">
        <v>1231</v>
      </c>
      <c r="D646" s="173" t="s">
        <v>1487</v>
      </c>
      <c r="E646" s="173" t="s">
        <v>1479</v>
      </c>
      <c r="F646" s="173">
        <v>1</v>
      </c>
      <c r="G646" s="173" t="s">
        <v>87</v>
      </c>
      <c r="H646" s="173">
        <v>1</v>
      </c>
      <c r="I646" s="173" t="s">
        <v>87</v>
      </c>
      <c r="J646" s="173" t="s">
        <v>1433</v>
      </c>
      <c r="K646" s="173" t="s">
        <v>1431</v>
      </c>
      <c r="L646" s="173"/>
      <c r="M646" s="173" t="s">
        <v>166</v>
      </c>
      <c r="N646" s="173">
        <v>900485301</v>
      </c>
      <c r="O646" s="175">
        <v>3521008</v>
      </c>
      <c r="P646" s="7"/>
      <c r="Q646" s="16">
        <f>+IF(IFERROR(VLOOKUP(Tabla3[[#This Row],[Cliente factura]],Tabla4[[NIT]:[TOTAL CREDITO]],3,FALSE),0)="",0,IFERROR(VLOOKUP(Tabla3[[#This Row],[Cliente factura]],Tabla4[[NIT]:[TOTAL CREDITO]],3,FALSE),0))</f>
        <v>1290813</v>
      </c>
      <c r="R646" s="9">
        <f>+IFERROR(VLOOKUP(Tabla3[[#This Row],[Cliente factura]],Tabla4[[NIT]:[TOTAL CREDITO]],6,FALSE),0)</f>
        <v>0</v>
      </c>
      <c r="S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6" s="10" t="str">
        <f>VLOOKUP(Tabla3[[#This Row],[Razón social cliente factura]]&amp;Tabla3[[#This Row],[Desc. ciudad]],'Estandar de Rutas'!$C$1:$E$553,2,FALSE)</f>
        <v>8.3</v>
      </c>
      <c r="U646" s="130">
        <f>IFERROR(VLOOKUP(Tabla3[[#This Row],[Referencia]]&amp;Tabla3[[#This Row],[Desc detalle ext 1]],Tabla1[[Referencia-Color]:[Disponibilidad]],3,FALSE),0)</f>
        <v>0</v>
      </c>
      <c r="V646" s="13"/>
      <c r="W646" s="17">
        <f>+Tabla3[[#This Row],[Cant. Programada]]*Tabla3[[#This Row],[Precio unit]]</f>
        <v>0</v>
      </c>
      <c r="X646" s="129"/>
      <c r="Y646" s="129"/>
      <c r="Z646" s="8" t="str">
        <f>+Tabla3[[#This Row],[Referencia]]&amp;Tabla3[[#This Row],[Desc detalle ext 1]]</f>
        <v xml:space="preserve">DIO  110                                          ROJO     </v>
      </c>
      <c r="AA646" s="128" t="e">
        <f>+VLOOKUP(Tabla3[[#This Row],[CODIGO2]],ESTANDAR!$B$3:$C$9,2,FALSE)</f>
        <v>#N/A</v>
      </c>
      <c r="AB646" s="128" t="str">
        <f>+MID(Tabla3[[#This Row],['# Viaje]],10,1)</f>
        <v/>
      </c>
    </row>
    <row r="647" spans="1:28" ht="15" hidden="1" customHeight="1">
      <c r="A647" s="173" t="s">
        <v>1578</v>
      </c>
      <c r="B647" s="174">
        <v>42948</v>
      </c>
      <c r="C647" s="173" t="s">
        <v>1231</v>
      </c>
      <c r="D647" s="173" t="s">
        <v>1487</v>
      </c>
      <c r="E647" s="173" t="s">
        <v>1479</v>
      </c>
      <c r="F647" s="173">
        <v>1</v>
      </c>
      <c r="G647" s="173" t="s">
        <v>87</v>
      </c>
      <c r="H647" s="173">
        <v>1</v>
      </c>
      <c r="I647" s="173" t="s">
        <v>87</v>
      </c>
      <c r="J647" s="173" t="s">
        <v>1433</v>
      </c>
      <c r="K647" s="173" t="s">
        <v>1434</v>
      </c>
      <c r="L647" s="173"/>
      <c r="M647" s="173" t="s">
        <v>166</v>
      </c>
      <c r="N647" s="173">
        <v>900485301</v>
      </c>
      <c r="O647" s="175">
        <v>3521008</v>
      </c>
      <c r="P647" s="7"/>
      <c r="Q647" s="16">
        <f>+IF(IFERROR(VLOOKUP(Tabla3[[#This Row],[Cliente factura]],Tabla4[[NIT]:[TOTAL CREDITO]],3,FALSE),0)="",0,IFERROR(VLOOKUP(Tabla3[[#This Row],[Cliente factura]],Tabla4[[NIT]:[TOTAL CREDITO]],3,FALSE),0))</f>
        <v>1290813</v>
      </c>
      <c r="R647" s="9">
        <f>+IFERROR(VLOOKUP(Tabla3[[#This Row],[Cliente factura]],Tabla4[[NIT]:[TOTAL CREDITO]],6,FALSE),0)</f>
        <v>0</v>
      </c>
      <c r="S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7" s="10" t="str">
        <f>VLOOKUP(Tabla3[[#This Row],[Razón social cliente factura]]&amp;Tabla3[[#This Row],[Desc. ciudad]],'Estandar de Rutas'!$C$1:$E$553,2,FALSE)</f>
        <v>8.3</v>
      </c>
      <c r="U647" s="130">
        <f>IFERROR(VLOOKUP(Tabla3[[#This Row],[Referencia]]&amp;Tabla3[[#This Row],[Desc detalle ext 1]],Tabla1[[Referencia-Color]:[Disponibilidad]],3,FALSE),0)</f>
        <v>23</v>
      </c>
      <c r="V647" s="13"/>
      <c r="W647" s="17">
        <f>+Tabla3[[#This Row],[Cant. Programada]]*Tabla3[[#This Row],[Precio unit]]</f>
        <v>0</v>
      </c>
      <c r="X647" s="8"/>
      <c r="Y647" s="8"/>
      <c r="Z647" s="8" t="str">
        <f>+Tabla3[[#This Row],[Referencia]]&amp;Tabla3[[#This Row],[Desc detalle ext 1]]</f>
        <v>DIO  110                                          BLANCO NE</v>
      </c>
      <c r="AA647" s="128" t="e">
        <f>+VLOOKUP(Tabla3[[#This Row],[CODIGO2]],ESTANDAR!$B$3:$C$9,2,FALSE)</f>
        <v>#N/A</v>
      </c>
      <c r="AB647" s="128" t="str">
        <f>+MID(Tabla3[[#This Row],['# Viaje]],10,1)</f>
        <v/>
      </c>
    </row>
    <row r="648" spans="1:28" ht="15" hidden="1" customHeight="1">
      <c r="A648" s="173" t="s">
        <v>1578</v>
      </c>
      <c r="B648" s="174">
        <v>42948</v>
      </c>
      <c r="C648" s="173" t="s">
        <v>1231</v>
      </c>
      <c r="D648" s="173" t="s">
        <v>1487</v>
      </c>
      <c r="E648" s="173" t="s">
        <v>1479</v>
      </c>
      <c r="F648" s="173">
        <v>1</v>
      </c>
      <c r="G648" s="173" t="s">
        <v>87</v>
      </c>
      <c r="H648" s="173">
        <v>1</v>
      </c>
      <c r="I648" s="173" t="s">
        <v>87</v>
      </c>
      <c r="J648" s="173" t="s">
        <v>1433</v>
      </c>
      <c r="K648" s="173" t="s">
        <v>1452</v>
      </c>
      <c r="L648" s="173"/>
      <c r="M648" s="173" t="s">
        <v>166</v>
      </c>
      <c r="N648" s="173">
        <v>900485301</v>
      </c>
      <c r="O648" s="175">
        <v>3521008</v>
      </c>
      <c r="P648" s="7"/>
      <c r="Q648" s="16">
        <f>+IF(IFERROR(VLOOKUP(Tabla3[[#This Row],[Cliente factura]],Tabla4[[NIT]:[TOTAL CREDITO]],3,FALSE),0)="",0,IFERROR(VLOOKUP(Tabla3[[#This Row],[Cliente factura]],Tabla4[[NIT]:[TOTAL CREDITO]],3,FALSE),0))</f>
        <v>1290813</v>
      </c>
      <c r="R648" s="9">
        <f>+IFERROR(VLOOKUP(Tabla3[[#This Row],[Cliente factura]],Tabla4[[NIT]:[TOTAL CREDITO]],6,FALSE),0)</f>
        <v>0</v>
      </c>
      <c r="S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8" s="10" t="str">
        <f>VLOOKUP(Tabla3[[#This Row],[Razón social cliente factura]]&amp;Tabla3[[#This Row],[Desc. ciudad]],'Estandar de Rutas'!$C$1:$E$553,2,FALSE)</f>
        <v>8.3</v>
      </c>
      <c r="U648" s="130">
        <f>IFERROR(VLOOKUP(Tabla3[[#This Row],[Referencia]]&amp;Tabla3[[#This Row],[Desc detalle ext 1]],Tabla1[[Referencia-Color]:[Disponibilidad]],3,FALSE),0)</f>
        <v>0</v>
      </c>
      <c r="V648" s="13"/>
      <c r="W648" s="17">
        <f>+Tabla3[[#This Row],[Cant. Programada]]*Tabla3[[#This Row],[Precio unit]]</f>
        <v>0</v>
      </c>
      <c r="X648" s="8"/>
      <c r="Y648" s="8"/>
      <c r="Z648" s="8" t="str">
        <f>+Tabla3[[#This Row],[Referencia]]&amp;Tabla3[[#This Row],[Desc detalle ext 1]]</f>
        <v xml:space="preserve">DIO  110                                          AZUL     </v>
      </c>
      <c r="AA648" s="128" t="e">
        <f>+VLOOKUP(Tabla3[[#This Row],[CODIGO2]],ESTANDAR!$B$3:$C$9,2,FALSE)</f>
        <v>#N/A</v>
      </c>
      <c r="AB648" s="128" t="str">
        <f>+MID(Tabla3[[#This Row],['# Viaje]],10,1)</f>
        <v/>
      </c>
    </row>
    <row r="649" spans="1:28" ht="15" hidden="1" customHeight="1">
      <c r="A649" s="173" t="s">
        <v>1578</v>
      </c>
      <c r="B649" s="174">
        <v>42948</v>
      </c>
      <c r="C649" s="173" t="s">
        <v>1231</v>
      </c>
      <c r="D649" s="173" t="s">
        <v>1487</v>
      </c>
      <c r="E649" s="173" t="s">
        <v>1479</v>
      </c>
      <c r="F649" s="173">
        <v>1</v>
      </c>
      <c r="G649" s="173" t="s">
        <v>87</v>
      </c>
      <c r="H649" s="173">
        <v>1</v>
      </c>
      <c r="I649" s="173" t="s">
        <v>87</v>
      </c>
      <c r="J649" s="173" t="s">
        <v>1428</v>
      </c>
      <c r="K649" s="173" t="s">
        <v>32</v>
      </c>
      <c r="L649" s="173"/>
      <c r="M649" s="173" t="s">
        <v>166</v>
      </c>
      <c r="N649" s="173">
        <v>900485301</v>
      </c>
      <c r="O649" s="175">
        <v>3067227</v>
      </c>
      <c r="P649" s="7"/>
      <c r="Q649" s="16">
        <f>+IF(IFERROR(VLOOKUP(Tabla3[[#This Row],[Cliente factura]],Tabla4[[NIT]:[TOTAL CREDITO]],3,FALSE),0)="",0,IFERROR(VLOOKUP(Tabla3[[#This Row],[Cliente factura]],Tabla4[[NIT]:[TOTAL CREDITO]],3,FALSE),0))</f>
        <v>1290813</v>
      </c>
      <c r="R649" s="9">
        <f>+IFERROR(VLOOKUP(Tabla3[[#This Row],[Cliente factura]],Tabla4[[NIT]:[TOTAL CREDITO]],6,FALSE),0)</f>
        <v>0</v>
      </c>
      <c r="S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9" s="10" t="str">
        <f>VLOOKUP(Tabla3[[#This Row],[Razón social cliente factura]]&amp;Tabla3[[#This Row],[Desc. ciudad]],'Estandar de Rutas'!$C$1:$E$553,2,FALSE)</f>
        <v>8.3</v>
      </c>
      <c r="U649" s="130">
        <f>IFERROR(VLOOKUP(Tabla3[[#This Row],[Referencia]]&amp;Tabla3[[#This Row],[Desc detalle ext 1]],Tabla1[[Referencia-Color]:[Disponibilidad]],3,FALSE),0)</f>
        <v>0</v>
      </c>
      <c r="V649" s="13"/>
      <c r="W649" s="17">
        <f>+Tabla3[[#This Row],[Cant. Programada]]*Tabla3[[#This Row],[Precio unit]]</f>
        <v>0</v>
      </c>
      <c r="X649" s="8"/>
      <c r="Y649" s="8"/>
      <c r="Z649" s="8" t="str">
        <f>+Tabla3[[#This Row],[Referencia]]&amp;Tabla3[[#This Row],[Desc detalle ext 1]]</f>
        <v>DREAM  NEO                                        NEGRO ROJ</v>
      </c>
      <c r="AA649" s="128" t="e">
        <f>+VLOOKUP(Tabla3[[#This Row],[CODIGO2]],ESTANDAR!$B$3:$C$9,2,FALSE)</f>
        <v>#N/A</v>
      </c>
      <c r="AB649" s="128" t="str">
        <f>+MID(Tabla3[[#This Row],['# Viaje]],10,1)</f>
        <v/>
      </c>
    </row>
    <row r="650" spans="1:28" ht="15" hidden="1" customHeight="1">
      <c r="A650" s="173" t="s">
        <v>1579</v>
      </c>
      <c r="B650" s="174">
        <v>42948</v>
      </c>
      <c r="C650" s="173" t="s">
        <v>1231</v>
      </c>
      <c r="D650" s="173" t="s">
        <v>1237</v>
      </c>
      <c r="E650" s="173" t="s">
        <v>1479</v>
      </c>
      <c r="F650" s="173">
        <v>2</v>
      </c>
      <c r="G650" s="173" t="s">
        <v>69</v>
      </c>
      <c r="H650" s="173">
        <v>2</v>
      </c>
      <c r="I650" s="173" t="s">
        <v>1580</v>
      </c>
      <c r="J650" s="173" t="s">
        <v>27</v>
      </c>
      <c r="K650" s="173" t="s">
        <v>26</v>
      </c>
      <c r="L650" s="173"/>
      <c r="M650" s="173" t="s">
        <v>84</v>
      </c>
      <c r="N650" s="173">
        <v>18125225</v>
      </c>
      <c r="O650" s="175">
        <v>5789916</v>
      </c>
      <c r="P650" s="7"/>
      <c r="Q650" s="16">
        <f>+IF(IFERROR(VLOOKUP(Tabla3[[#This Row],[Cliente factura]],Tabla4[[NIT]:[TOTAL CREDITO]],3,FALSE),0)="",0,IFERROR(VLOOKUP(Tabla3[[#This Row],[Cliente factura]],Tabla4[[NIT]:[TOTAL CREDITO]],3,FALSE),0))</f>
        <v>264217093</v>
      </c>
      <c r="R650" s="9">
        <f>+IFERROR(VLOOKUP(Tabla3[[#This Row],[Cliente factura]],Tabla4[[NIT]:[TOTAL CREDITO]],6,FALSE),0)</f>
        <v>852000000</v>
      </c>
      <c r="S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0" s="10" t="str">
        <f>VLOOKUP(Tabla3[[#This Row],[Razón social cliente factura]]&amp;Tabla3[[#This Row],[Desc. ciudad]],'Estandar de Rutas'!$C$1:$E$553,2,FALSE)</f>
        <v>5.2.A</v>
      </c>
      <c r="U650" s="130">
        <f>IFERROR(VLOOKUP(Tabla3[[#This Row],[Referencia]]&amp;Tabla3[[#This Row],[Desc detalle ext 1]],Tabla1[[Referencia-Color]:[Disponibilidad]],3,FALSE),0)</f>
        <v>59</v>
      </c>
      <c r="V650" s="13"/>
      <c r="W650" s="17">
        <f>+Tabla3[[#This Row],[Cant. Programada]]*Tabla3[[#This Row],[Precio unit]]</f>
        <v>0</v>
      </c>
      <c r="X650" s="8"/>
      <c r="Y650" s="8"/>
      <c r="Z650" s="8" t="str">
        <f>+Tabla3[[#This Row],[Referencia]]&amp;Tabla3[[#This Row],[Desc detalle ext 1]]</f>
        <v>*XR 150L                                          NEGRO BLA</v>
      </c>
      <c r="AA650" s="128" t="e">
        <f>+VLOOKUP(Tabla3[[#This Row],[CODIGO2]],ESTANDAR!$B$3:$C$9,2,FALSE)</f>
        <v>#N/A</v>
      </c>
      <c r="AB650" s="128" t="str">
        <f>+MID(Tabla3[[#This Row],['# Viaje]],10,1)</f>
        <v/>
      </c>
    </row>
    <row r="651" spans="1:28" ht="15" hidden="1" customHeight="1">
      <c r="A651" s="173" t="s">
        <v>1579</v>
      </c>
      <c r="B651" s="174">
        <v>42948</v>
      </c>
      <c r="C651" s="173" t="s">
        <v>1231</v>
      </c>
      <c r="D651" s="173" t="s">
        <v>1237</v>
      </c>
      <c r="E651" s="173" t="s">
        <v>1479</v>
      </c>
      <c r="F651" s="173">
        <v>3</v>
      </c>
      <c r="G651" s="173" t="s">
        <v>69</v>
      </c>
      <c r="H651" s="173">
        <v>3</v>
      </c>
      <c r="I651" s="173" t="s">
        <v>1580</v>
      </c>
      <c r="J651" s="173" t="s">
        <v>27</v>
      </c>
      <c r="K651" s="173" t="s">
        <v>32</v>
      </c>
      <c r="L651" s="173"/>
      <c r="M651" s="173" t="s">
        <v>84</v>
      </c>
      <c r="N651" s="173">
        <v>18125225</v>
      </c>
      <c r="O651" s="175">
        <v>5789916</v>
      </c>
      <c r="P651" s="7"/>
      <c r="Q651" s="16">
        <f>+IF(IFERROR(VLOOKUP(Tabla3[[#This Row],[Cliente factura]],Tabla4[[NIT]:[TOTAL CREDITO]],3,FALSE),0)="",0,IFERROR(VLOOKUP(Tabla3[[#This Row],[Cliente factura]],Tabla4[[NIT]:[TOTAL CREDITO]],3,FALSE),0))</f>
        <v>264217093</v>
      </c>
      <c r="R651" s="9">
        <f>+IFERROR(VLOOKUP(Tabla3[[#This Row],[Cliente factura]],Tabla4[[NIT]:[TOTAL CREDITO]],6,FALSE),0)</f>
        <v>852000000</v>
      </c>
      <c r="S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1" s="10" t="str">
        <f>VLOOKUP(Tabla3[[#This Row],[Razón social cliente factura]]&amp;Tabla3[[#This Row],[Desc. ciudad]],'Estandar de Rutas'!$C$1:$E$553,2,FALSE)</f>
        <v>5.2.A</v>
      </c>
      <c r="U651" s="130">
        <f>IFERROR(VLOOKUP(Tabla3[[#This Row],[Referencia]]&amp;Tabla3[[#This Row],[Desc detalle ext 1]],Tabla1[[Referencia-Color]:[Disponibilidad]],3,FALSE),0)</f>
        <v>7</v>
      </c>
      <c r="V651" s="13"/>
      <c r="W651" s="17">
        <f>+Tabla3[[#This Row],[Cant. Programada]]*Tabla3[[#This Row],[Precio unit]]</f>
        <v>0</v>
      </c>
      <c r="X651" s="8"/>
      <c r="Y651" s="8"/>
      <c r="Z651" s="8" t="str">
        <f>+Tabla3[[#This Row],[Referencia]]&amp;Tabla3[[#This Row],[Desc detalle ext 1]]</f>
        <v>*XR 150L                                          NEGRO ROJ</v>
      </c>
      <c r="AA651" s="128" t="e">
        <f>+VLOOKUP(Tabla3[[#This Row],[CODIGO2]],ESTANDAR!$B$3:$C$9,2,FALSE)</f>
        <v>#N/A</v>
      </c>
      <c r="AB651" s="128" t="str">
        <f>+MID(Tabla3[[#This Row],['# Viaje]],10,1)</f>
        <v/>
      </c>
    </row>
    <row r="652" spans="1:28" ht="15" hidden="1" customHeight="1">
      <c r="A652" s="173" t="s">
        <v>1579</v>
      </c>
      <c r="B652" s="174">
        <v>42948</v>
      </c>
      <c r="C652" s="173" t="s">
        <v>1231</v>
      </c>
      <c r="D652" s="173" t="s">
        <v>1237</v>
      </c>
      <c r="E652" s="173" t="s">
        <v>1479</v>
      </c>
      <c r="F652" s="173">
        <v>3</v>
      </c>
      <c r="G652" s="173" t="s">
        <v>69</v>
      </c>
      <c r="H652" s="173">
        <v>3</v>
      </c>
      <c r="I652" s="173" t="s">
        <v>1580</v>
      </c>
      <c r="J652" s="173" t="s">
        <v>27</v>
      </c>
      <c r="K652" s="173" t="s">
        <v>16</v>
      </c>
      <c r="L652" s="173"/>
      <c r="M652" s="173" t="s">
        <v>84</v>
      </c>
      <c r="N652" s="173">
        <v>18125225</v>
      </c>
      <c r="O652" s="175">
        <v>5789916</v>
      </c>
      <c r="P652" s="7"/>
      <c r="Q652" s="16">
        <f>+IF(IFERROR(VLOOKUP(Tabla3[[#This Row],[Cliente factura]],Tabla4[[NIT]:[TOTAL CREDITO]],3,FALSE),0)="",0,IFERROR(VLOOKUP(Tabla3[[#This Row],[Cliente factura]],Tabla4[[NIT]:[TOTAL CREDITO]],3,FALSE),0))</f>
        <v>264217093</v>
      </c>
      <c r="R652" s="9">
        <f>+IFERROR(VLOOKUP(Tabla3[[#This Row],[Cliente factura]],Tabla4[[NIT]:[TOTAL CREDITO]],6,FALSE),0)</f>
        <v>852000000</v>
      </c>
      <c r="S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2" s="10" t="str">
        <f>VLOOKUP(Tabla3[[#This Row],[Razón social cliente factura]]&amp;Tabla3[[#This Row],[Desc. ciudad]],'Estandar de Rutas'!$C$1:$E$553,2,FALSE)</f>
        <v>5.2.A</v>
      </c>
      <c r="U652" s="130">
        <f>IFERROR(VLOOKUP(Tabla3[[#This Row],[Referencia]]&amp;Tabla3[[#This Row],[Desc detalle ext 1]],Tabla1[[Referencia-Color]:[Disponibilidad]],3,FALSE),0)</f>
        <v>3</v>
      </c>
      <c r="V652" s="13"/>
      <c r="W652" s="17">
        <f>+Tabla3[[#This Row],[Cant. Programada]]*Tabla3[[#This Row],[Precio unit]]</f>
        <v>0</v>
      </c>
      <c r="X652" s="8"/>
      <c r="Y652" s="8"/>
      <c r="Z652" s="8" t="str">
        <f>+Tabla3[[#This Row],[Referencia]]&amp;Tabla3[[#This Row],[Desc detalle ext 1]]</f>
        <v xml:space="preserve">*XR 150L                                          NEGRO    </v>
      </c>
      <c r="AA652" s="128" t="e">
        <f>+VLOOKUP(Tabla3[[#This Row],[CODIGO2]],ESTANDAR!$B$3:$C$9,2,FALSE)</f>
        <v>#N/A</v>
      </c>
      <c r="AB652" s="128" t="str">
        <f>+MID(Tabla3[[#This Row],['# Viaje]],10,1)</f>
        <v/>
      </c>
    </row>
    <row r="653" spans="1:28" ht="15" hidden="1" customHeight="1">
      <c r="A653" s="173" t="s">
        <v>1579</v>
      </c>
      <c r="B653" s="174">
        <v>42948</v>
      </c>
      <c r="C653" s="173" t="s">
        <v>1231</v>
      </c>
      <c r="D653" s="173" t="s">
        <v>1237</v>
      </c>
      <c r="E653" s="173" t="s">
        <v>1479</v>
      </c>
      <c r="F653" s="173">
        <v>1</v>
      </c>
      <c r="G653" s="173" t="s">
        <v>69</v>
      </c>
      <c r="H653" s="173">
        <v>1</v>
      </c>
      <c r="I653" s="173" t="s">
        <v>1580</v>
      </c>
      <c r="J653" s="173" t="s">
        <v>1425</v>
      </c>
      <c r="K653" s="173" t="s">
        <v>1426</v>
      </c>
      <c r="L653" s="173"/>
      <c r="M653" s="173" t="s">
        <v>84</v>
      </c>
      <c r="N653" s="173">
        <v>18125225</v>
      </c>
      <c r="O653" s="175">
        <v>7730252</v>
      </c>
      <c r="P653" s="7"/>
      <c r="Q653" s="16">
        <f>+IF(IFERROR(VLOOKUP(Tabla3[[#This Row],[Cliente factura]],Tabla4[[NIT]:[TOTAL CREDITO]],3,FALSE),0)="",0,IFERROR(VLOOKUP(Tabla3[[#This Row],[Cliente factura]],Tabla4[[NIT]:[TOTAL CREDITO]],3,FALSE),0))</f>
        <v>264217093</v>
      </c>
      <c r="R653" s="9">
        <f>+IFERROR(VLOOKUP(Tabla3[[#This Row],[Cliente factura]],Tabla4[[NIT]:[TOTAL CREDITO]],6,FALSE),0)</f>
        <v>852000000</v>
      </c>
      <c r="S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3" s="10" t="str">
        <f>VLOOKUP(Tabla3[[#This Row],[Razón social cliente factura]]&amp;Tabla3[[#This Row],[Desc. ciudad]],'Estandar de Rutas'!$C$1:$E$553,2,FALSE)</f>
        <v>5.2.A</v>
      </c>
      <c r="U653" s="130">
        <f>IFERROR(VLOOKUP(Tabla3[[#This Row],[Referencia]]&amp;Tabla3[[#This Row],[Desc detalle ext 1]],Tabla1[[Referencia-Color]:[Disponibilidad]],3,FALSE),0)</f>
        <v>104</v>
      </c>
      <c r="V653" s="13"/>
      <c r="W653" s="17">
        <f>+Tabla3[[#This Row],[Cant. Programada]]*Tabla3[[#This Row],[Precio unit]]</f>
        <v>0</v>
      </c>
      <c r="X653" s="8"/>
      <c r="Y653" s="8"/>
      <c r="Z653" s="8" t="str">
        <f>+Tabla3[[#This Row],[Referencia]]&amp;Tabla3[[#This Row],[Desc detalle ext 1]]</f>
        <v>CB 190 REPSOL                                     NARANJA B</v>
      </c>
      <c r="AA653" s="128" t="e">
        <f>+VLOOKUP(Tabla3[[#This Row],[CODIGO2]],ESTANDAR!$B$3:$C$9,2,FALSE)</f>
        <v>#N/A</v>
      </c>
      <c r="AB653" s="128" t="str">
        <f>+MID(Tabla3[[#This Row],['# Viaje]],10,1)</f>
        <v/>
      </c>
    </row>
    <row r="654" spans="1:28" ht="15" hidden="1" customHeight="1">
      <c r="A654" s="173" t="s">
        <v>1579</v>
      </c>
      <c r="B654" s="174">
        <v>42948</v>
      </c>
      <c r="C654" s="173" t="s">
        <v>1231</v>
      </c>
      <c r="D654" s="173" t="s">
        <v>1237</v>
      </c>
      <c r="E654" s="173" t="s">
        <v>1479</v>
      </c>
      <c r="F654" s="173">
        <v>1</v>
      </c>
      <c r="G654" s="173" t="s">
        <v>69</v>
      </c>
      <c r="H654" s="173">
        <v>1</v>
      </c>
      <c r="I654" s="173" t="s">
        <v>1580</v>
      </c>
      <c r="J654" s="173" t="s">
        <v>354</v>
      </c>
      <c r="K654" s="173" t="s">
        <v>17</v>
      </c>
      <c r="L654" s="173"/>
      <c r="M654" s="173" t="s">
        <v>84</v>
      </c>
      <c r="N654" s="173">
        <v>18125225</v>
      </c>
      <c r="O654" s="175">
        <v>6133613</v>
      </c>
      <c r="P654" s="7"/>
      <c r="Q654" s="16">
        <f>+IF(IFERROR(VLOOKUP(Tabla3[[#This Row],[Cliente factura]],Tabla4[[NIT]:[TOTAL CREDITO]],3,FALSE),0)="",0,IFERROR(VLOOKUP(Tabla3[[#This Row],[Cliente factura]],Tabla4[[NIT]:[TOTAL CREDITO]],3,FALSE),0))</f>
        <v>264217093</v>
      </c>
      <c r="R654" s="9">
        <f>+IFERROR(VLOOKUP(Tabla3[[#This Row],[Cliente factura]],Tabla4[[NIT]:[TOTAL CREDITO]],6,FALSE),0)</f>
        <v>852000000</v>
      </c>
      <c r="S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4" s="10" t="str">
        <f>VLOOKUP(Tabla3[[#This Row],[Razón social cliente factura]]&amp;Tabla3[[#This Row],[Desc. ciudad]],'Estandar de Rutas'!$C$1:$E$553,2,FALSE)</f>
        <v>5.2.A</v>
      </c>
      <c r="U654" s="130">
        <f>IFERROR(VLOOKUP(Tabla3[[#This Row],[Referencia]]&amp;Tabla3[[#This Row],[Desc detalle ext 1]],Tabla1[[Referencia-Color]:[Disponibilidad]],3,FALSE),0)</f>
        <v>48</v>
      </c>
      <c r="V654" s="13"/>
      <c r="W654" s="17">
        <f>+Tabla3[[#This Row],[Cant. Programada]]*Tabla3[[#This Row],[Precio unit]]</f>
        <v>0</v>
      </c>
      <c r="X654" s="129"/>
      <c r="Y654" s="129"/>
      <c r="Z654" s="8" t="str">
        <f>+Tabla3[[#This Row],[Referencia]]&amp;Tabla3[[#This Row],[Desc detalle ext 1]]</f>
        <v>CB 160F DLX                                       ROJO SPOR</v>
      </c>
      <c r="AA654" s="128" t="e">
        <f>+VLOOKUP(Tabla3[[#This Row],[CODIGO2]],ESTANDAR!$B$3:$C$9,2,FALSE)</f>
        <v>#N/A</v>
      </c>
      <c r="AB654" s="128" t="str">
        <f>+MID(Tabla3[[#This Row],['# Viaje]],10,1)</f>
        <v/>
      </c>
    </row>
    <row r="655" spans="1:28" ht="15" hidden="1" customHeight="1">
      <c r="A655" s="173" t="s">
        <v>1579</v>
      </c>
      <c r="B655" s="174">
        <v>42948</v>
      </c>
      <c r="C655" s="173" t="s">
        <v>1231</v>
      </c>
      <c r="D655" s="173" t="s">
        <v>1237</v>
      </c>
      <c r="E655" s="173" t="s">
        <v>1479</v>
      </c>
      <c r="F655" s="173">
        <v>1</v>
      </c>
      <c r="G655" s="173" t="s">
        <v>69</v>
      </c>
      <c r="H655" s="173">
        <v>1</v>
      </c>
      <c r="I655" s="173" t="s">
        <v>1580</v>
      </c>
      <c r="J655" s="173" t="s">
        <v>1430</v>
      </c>
      <c r="K655" s="173" t="s">
        <v>1431</v>
      </c>
      <c r="L655" s="173"/>
      <c r="M655" s="173" t="s">
        <v>84</v>
      </c>
      <c r="N655" s="173">
        <v>18125225</v>
      </c>
      <c r="O655" s="175">
        <v>3941176</v>
      </c>
      <c r="P655" s="7"/>
      <c r="Q655" s="16">
        <f>+IF(IFERROR(VLOOKUP(Tabla3[[#This Row],[Cliente factura]],Tabla4[[NIT]:[TOTAL CREDITO]],3,FALSE),0)="",0,IFERROR(VLOOKUP(Tabla3[[#This Row],[Cliente factura]],Tabla4[[NIT]:[TOTAL CREDITO]],3,FALSE),0))</f>
        <v>264217093</v>
      </c>
      <c r="R655" s="9">
        <f>+IFERROR(VLOOKUP(Tabla3[[#This Row],[Cliente factura]],Tabla4[[NIT]:[TOTAL CREDITO]],6,FALSE),0)</f>
        <v>852000000</v>
      </c>
      <c r="S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5" s="10" t="str">
        <f>VLOOKUP(Tabla3[[#This Row],[Razón social cliente factura]]&amp;Tabla3[[#This Row],[Desc. ciudad]],'Estandar de Rutas'!$C$1:$E$553,2,FALSE)</f>
        <v>5.2.A</v>
      </c>
      <c r="U655" s="130">
        <f>IFERROR(VLOOKUP(Tabla3[[#This Row],[Referencia]]&amp;Tabla3[[#This Row],[Desc detalle ext 1]],Tabla1[[Referencia-Color]:[Disponibilidad]],3,FALSE),0)</f>
        <v>0</v>
      </c>
      <c r="V655" s="13"/>
      <c r="W655" s="17">
        <f>+Tabla3[[#This Row],[Cant. Programada]]*Tabla3[[#This Row],[Precio unit]]</f>
        <v>0</v>
      </c>
      <c r="X655" s="129"/>
      <c r="Y655" s="129"/>
      <c r="Z655" s="8" t="str">
        <f>+Tabla3[[#This Row],[Referencia]]&amp;Tabla3[[#This Row],[Desc detalle ext 1]]</f>
        <v xml:space="preserve">WAVE 110S                                         ROJO     </v>
      </c>
      <c r="AA655" s="128" t="e">
        <f>+VLOOKUP(Tabla3[[#This Row],[CODIGO2]],ESTANDAR!$B$3:$C$9,2,FALSE)</f>
        <v>#N/A</v>
      </c>
      <c r="AB655" s="128" t="str">
        <f>+MID(Tabla3[[#This Row],['# Viaje]],10,1)</f>
        <v/>
      </c>
    </row>
    <row r="656" spans="1:28" ht="15" hidden="1" customHeight="1">
      <c r="A656" s="173" t="s">
        <v>1579</v>
      </c>
      <c r="B656" s="174">
        <v>42948</v>
      </c>
      <c r="C656" s="173" t="s">
        <v>1231</v>
      </c>
      <c r="D656" s="173" t="s">
        <v>1237</v>
      </c>
      <c r="E656" s="173" t="s">
        <v>1479</v>
      </c>
      <c r="F656" s="173">
        <v>1</v>
      </c>
      <c r="G656" s="173" t="s">
        <v>69</v>
      </c>
      <c r="H656" s="173">
        <v>1</v>
      </c>
      <c r="I656" s="173" t="s">
        <v>1580</v>
      </c>
      <c r="J656" s="173" t="s">
        <v>1430</v>
      </c>
      <c r="K656" s="173" t="s">
        <v>16</v>
      </c>
      <c r="L656" s="173"/>
      <c r="M656" s="173" t="s">
        <v>84</v>
      </c>
      <c r="N656" s="173">
        <v>18125225</v>
      </c>
      <c r="O656" s="175">
        <v>3941176</v>
      </c>
      <c r="P656" s="7"/>
      <c r="Q656" s="16">
        <f>+IF(IFERROR(VLOOKUP(Tabla3[[#This Row],[Cliente factura]],Tabla4[[NIT]:[TOTAL CREDITO]],3,FALSE),0)="",0,IFERROR(VLOOKUP(Tabla3[[#This Row],[Cliente factura]],Tabla4[[NIT]:[TOTAL CREDITO]],3,FALSE),0))</f>
        <v>264217093</v>
      </c>
      <c r="R656" s="9">
        <f>+IFERROR(VLOOKUP(Tabla3[[#This Row],[Cliente factura]],Tabla4[[NIT]:[TOTAL CREDITO]],6,FALSE),0)</f>
        <v>852000000</v>
      </c>
      <c r="S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6" s="10" t="str">
        <f>VLOOKUP(Tabla3[[#This Row],[Razón social cliente factura]]&amp;Tabla3[[#This Row],[Desc. ciudad]],'Estandar de Rutas'!$C$1:$E$553,2,FALSE)</f>
        <v>5.2.A</v>
      </c>
      <c r="U656" s="130">
        <f>IFERROR(VLOOKUP(Tabla3[[#This Row],[Referencia]]&amp;Tabla3[[#This Row],[Desc detalle ext 1]],Tabla1[[Referencia-Color]:[Disponibilidad]],3,FALSE),0)</f>
        <v>0</v>
      </c>
      <c r="V656" s="13"/>
      <c r="W656" s="17">
        <f>+Tabla3[[#This Row],[Cant. Programada]]*Tabla3[[#This Row],[Precio unit]]</f>
        <v>0</v>
      </c>
      <c r="X656" s="8"/>
      <c r="Y656" s="8"/>
      <c r="Z656" s="8" t="str">
        <f>+Tabla3[[#This Row],[Referencia]]&amp;Tabla3[[#This Row],[Desc detalle ext 1]]</f>
        <v xml:space="preserve">WAVE 110S                                         NEGRO    </v>
      </c>
      <c r="AA656" s="128" t="e">
        <f>+VLOOKUP(Tabla3[[#This Row],[CODIGO2]],ESTANDAR!$B$3:$C$9,2,FALSE)</f>
        <v>#N/A</v>
      </c>
      <c r="AB656" s="128" t="str">
        <f>+MID(Tabla3[[#This Row],['# Viaje]],10,1)</f>
        <v/>
      </c>
    </row>
    <row r="657" spans="1:28" ht="15" hidden="1" customHeight="1">
      <c r="A657" s="173" t="s">
        <v>1579</v>
      </c>
      <c r="B657" s="174">
        <v>42948</v>
      </c>
      <c r="C657" s="173" t="s">
        <v>1231</v>
      </c>
      <c r="D657" s="173" t="s">
        <v>1237</v>
      </c>
      <c r="E657" s="173" t="s">
        <v>1479</v>
      </c>
      <c r="F657" s="173">
        <v>1</v>
      </c>
      <c r="G657" s="173" t="s">
        <v>69</v>
      </c>
      <c r="H657" s="173">
        <v>1</v>
      </c>
      <c r="I657" s="173" t="s">
        <v>1580</v>
      </c>
      <c r="J657" s="173" t="s">
        <v>1234</v>
      </c>
      <c r="K657" s="173" t="s">
        <v>17</v>
      </c>
      <c r="L657" s="173"/>
      <c r="M657" s="173" t="s">
        <v>84</v>
      </c>
      <c r="N657" s="173">
        <v>18125225</v>
      </c>
      <c r="O657" s="175">
        <v>5453782</v>
      </c>
      <c r="P657" s="7"/>
      <c r="Q657" s="16">
        <f>+IF(IFERROR(VLOOKUP(Tabla3[[#This Row],[Cliente factura]],Tabla4[[NIT]:[TOTAL CREDITO]],3,FALSE),0)="",0,IFERROR(VLOOKUP(Tabla3[[#This Row],[Cliente factura]],Tabla4[[NIT]:[TOTAL CREDITO]],3,FALSE),0))</f>
        <v>264217093</v>
      </c>
      <c r="R657" s="9">
        <f>+IFERROR(VLOOKUP(Tabla3[[#This Row],[Cliente factura]],Tabla4[[NIT]:[TOTAL CREDITO]],6,FALSE),0)</f>
        <v>852000000</v>
      </c>
      <c r="S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7" s="10" t="str">
        <f>VLOOKUP(Tabla3[[#This Row],[Razón social cliente factura]]&amp;Tabla3[[#This Row],[Desc. ciudad]],'Estandar de Rutas'!$C$1:$E$553,2,FALSE)</f>
        <v>5.2.A</v>
      </c>
      <c r="U657" s="130">
        <f>IFERROR(VLOOKUP(Tabla3[[#This Row],[Referencia]]&amp;Tabla3[[#This Row],[Desc detalle ext 1]],Tabla1[[Referencia-Color]:[Disponibilidad]],3,FALSE),0)</f>
        <v>0</v>
      </c>
      <c r="V657" s="13"/>
      <c r="W657" s="17">
        <f>+Tabla3[[#This Row],[Cant. Programada]]*Tabla3[[#This Row],[Precio unit]]</f>
        <v>0</v>
      </c>
      <c r="X657" s="8"/>
      <c r="Y657" s="8"/>
      <c r="Z657" s="8" t="str">
        <f>+Tabla3[[#This Row],[Referencia]]&amp;Tabla3[[#This Row],[Desc detalle ext 1]]</f>
        <v>CB 160F STD                                       ROJO SPOR</v>
      </c>
      <c r="AA657" s="128" t="e">
        <f>+VLOOKUP(Tabla3[[#This Row],[CODIGO2]],ESTANDAR!$B$3:$C$9,2,FALSE)</f>
        <v>#N/A</v>
      </c>
      <c r="AB657" s="128" t="str">
        <f>+MID(Tabla3[[#This Row],['# Viaje]],10,1)</f>
        <v/>
      </c>
    </row>
    <row r="658" spans="1:28" ht="15" hidden="1" customHeight="1">
      <c r="A658" s="173" t="s">
        <v>1579</v>
      </c>
      <c r="B658" s="174">
        <v>42948</v>
      </c>
      <c r="C658" s="173" t="s">
        <v>1231</v>
      </c>
      <c r="D658" s="173" t="s">
        <v>1237</v>
      </c>
      <c r="E658" s="173" t="s">
        <v>1479</v>
      </c>
      <c r="F658" s="173">
        <v>1</v>
      </c>
      <c r="G658" s="173" t="s">
        <v>69</v>
      </c>
      <c r="H658" s="173">
        <v>1</v>
      </c>
      <c r="I658" s="173" t="s">
        <v>1580</v>
      </c>
      <c r="J658" s="173" t="s">
        <v>1234</v>
      </c>
      <c r="K658" s="173" t="s">
        <v>355</v>
      </c>
      <c r="L658" s="173"/>
      <c r="M658" s="173" t="s">
        <v>84</v>
      </c>
      <c r="N658" s="173">
        <v>18125225</v>
      </c>
      <c r="O658" s="175">
        <v>5453782</v>
      </c>
      <c r="P658" s="7"/>
      <c r="Q658" s="16">
        <f>+IF(IFERROR(VLOOKUP(Tabla3[[#This Row],[Cliente factura]],Tabla4[[NIT]:[TOTAL CREDITO]],3,FALSE),0)="",0,IFERROR(VLOOKUP(Tabla3[[#This Row],[Cliente factura]],Tabla4[[NIT]:[TOTAL CREDITO]],3,FALSE),0))</f>
        <v>264217093</v>
      </c>
      <c r="R658" s="9">
        <f>+IFERROR(VLOOKUP(Tabla3[[#This Row],[Cliente factura]],Tabla4[[NIT]:[TOTAL CREDITO]],6,FALSE),0)</f>
        <v>852000000</v>
      </c>
      <c r="S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8" s="10" t="str">
        <f>VLOOKUP(Tabla3[[#This Row],[Razón social cliente factura]]&amp;Tabla3[[#This Row],[Desc. ciudad]],'Estandar de Rutas'!$C$1:$E$553,2,FALSE)</f>
        <v>5.2.A</v>
      </c>
      <c r="U658" s="130">
        <f>IFERROR(VLOOKUP(Tabla3[[#This Row],[Referencia]]&amp;Tabla3[[#This Row],[Desc detalle ext 1]],Tabla1[[Referencia-Color]:[Disponibilidad]],3,FALSE),0)</f>
        <v>0</v>
      </c>
      <c r="V658" s="13"/>
      <c r="W658" s="17">
        <f>+Tabla3[[#This Row],[Cant. Programada]]*Tabla3[[#This Row],[Precio unit]]</f>
        <v>0</v>
      </c>
      <c r="X658" s="8"/>
      <c r="Y658" s="8"/>
      <c r="Z658" s="8" t="str">
        <f>+Tabla3[[#This Row],[Referencia]]&amp;Tabla3[[#This Row],[Desc detalle ext 1]]</f>
        <v>CB 160F STD                                       NEGRO PER</v>
      </c>
      <c r="AA658" s="128" t="e">
        <f>+VLOOKUP(Tabla3[[#This Row],[CODIGO2]],ESTANDAR!$B$3:$C$9,2,FALSE)</f>
        <v>#N/A</v>
      </c>
      <c r="AB658" s="128" t="str">
        <f>+MID(Tabla3[[#This Row],['# Viaje]],10,1)</f>
        <v/>
      </c>
    </row>
    <row r="659" spans="1:28" ht="15" hidden="1" customHeight="1">
      <c r="A659" s="173" t="s">
        <v>1579</v>
      </c>
      <c r="B659" s="174">
        <v>42948</v>
      </c>
      <c r="C659" s="173" t="s">
        <v>1231</v>
      </c>
      <c r="D659" s="173" t="s">
        <v>1237</v>
      </c>
      <c r="E659" s="173" t="s">
        <v>1479</v>
      </c>
      <c r="F659" s="173">
        <v>4</v>
      </c>
      <c r="G659" s="173" t="s">
        <v>69</v>
      </c>
      <c r="H659" s="173">
        <v>4</v>
      </c>
      <c r="I659" s="173" t="s">
        <v>1580</v>
      </c>
      <c r="J659" s="173" t="s">
        <v>1451</v>
      </c>
      <c r="K659" s="173" t="s">
        <v>1431</v>
      </c>
      <c r="L659" s="173"/>
      <c r="M659" s="173" t="s">
        <v>84</v>
      </c>
      <c r="N659" s="173">
        <v>18125225</v>
      </c>
      <c r="O659" s="175">
        <v>3696639</v>
      </c>
      <c r="P659" s="7"/>
      <c r="Q659" s="16">
        <f>+IF(IFERROR(VLOOKUP(Tabla3[[#This Row],[Cliente factura]],Tabla4[[NIT]:[TOTAL CREDITO]],3,FALSE),0)="",0,IFERROR(VLOOKUP(Tabla3[[#This Row],[Cliente factura]],Tabla4[[NIT]:[TOTAL CREDITO]],3,FALSE),0))</f>
        <v>264217093</v>
      </c>
      <c r="R659" s="9">
        <f>+IFERROR(VLOOKUP(Tabla3[[#This Row],[Cliente factura]],Tabla4[[NIT]:[TOTAL CREDITO]],6,FALSE),0)</f>
        <v>852000000</v>
      </c>
      <c r="S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9" s="10" t="str">
        <f>VLOOKUP(Tabla3[[#This Row],[Razón social cliente factura]]&amp;Tabla3[[#This Row],[Desc. ciudad]],'Estandar de Rutas'!$C$1:$E$553,2,FALSE)</f>
        <v>5.2.A</v>
      </c>
      <c r="U659" s="130">
        <f>IFERROR(VLOOKUP(Tabla3[[#This Row],[Referencia]]&amp;Tabla3[[#This Row],[Desc detalle ext 1]],Tabla1[[Referencia-Color]:[Disponibilidad]],3,FALSE),0)</f>
        <v>21</v>
      </c>
      <c r="V659" s="13"/>
      <c r="W659" s="17">
        <f>+Tabla3[[#This Row],[Cant. Programada]]*Tabla3[[#This Row],[Precio unit]]</f>
        <v>0</v>
      </c>
      <c r="X659" s="8"/>
      <c r="Y659" s="8"/>
      <c r="Z659" s="8" t="str">
        <f>+Tabla3[[#This Row],[Referencia]]&amp;Tabla3[[#This Row],[Desc detalle ext 1]]</f>
        <v xml:space="preserve">CB 110 DLX                                        ROJO     </v>
      </c>
      <c r="AA659" s="128" t="e">
        <f>+VLOOKUP(Tabla3[[#This Row],[CODIGO2]],ESTANDAR!$B$3:$C$9,2,FALSE)</f>
        <v>#N/A</v>
      </c>
      <c r="AB659" s="128" t="str">
        <f>+MID(Tabla3[[#This Row],['# Viaje]],10,1)</f>
        <v/>
      </c>
    </row>
    <row r="660" spans="1:28" ht="15" hidden="1" customHeight="1">
      <c r="A660" s="173" t="s">
        <v>1579</v>
      </c>
      <c r="B660" s="174">
        <v>42948</v>
      </c>
      <c r="C660" s="173" t="s">
        <v>1231</v>
      </c>
      <c r="D660" s="173" t="s">
        <v>1237</v>
      </c>
      <c r="E660" s="173" t="s">
        <v>1479</v>
      </c>
      <c r="F660" s="173">
        <v>2</v>
      </c>
      <c r="G660" s="173" t="s">
        <v>69</v>
      </c>
      <c r="H660" s="173">
        <v>2</v>
      </c>
      <c r="I660" s="173" t="s">
        <v>1580</v>
      </c>
      <c r="J660" s="173" t="s">
        <v>1451</v>
      </c>
      <c r="K660" s="173" t="s">
        <v>1449</v>
      </c>
      <c r="L660" s="173"/>
      <c r="M660" s="173" t="s">
        <v>84</v>
      </c>
      <c r="N660" s="173">
        <v>18125225</v>
      </c>
      <c r="O660" s="175">
        <v>3696639</v>
      </c>
      <c r="P660" s="7"/>
      <c r="Q660" s="16">
        <f>+IF(IFERROR(VLOOKUP(Tabla3[[#This Row],[Cliente factura]],Tabla4[[NIT]:[TOTAL CREDITO]],3,FALSE),0)="",0,IFERROR(VLOOKUP(Tabla3[[#This Row],[Cliente factura]],Tabla4[[NIT]:[TOTAL CREDITO]],3,FALSE),0))</f>
        <v>264217093</v>
      </c>
      <c r="R660" s="9">
        <f>+IFERROR(VLOOKUP(Tabla3[[#This Row],[Cliente factura]],Tabla4[[NIT]:[TOTAL CREDITO]],6,FALSE),0)</f>
        <v>852000000</v>
      </c>
      <c r="S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0" s="10" t="str">
        <f>VLOOKUP(Tabla3[[#This Row],[Razón social cliente factura]]&amp;Tabla3[[#This Row],[Desc. ciudad]],'Estandar de Rutas'!$C$1:$E$553,2,FALSE)</f>
        <v>5.2.A</v>
      </c>
      <c r="U660" s="130">
        <f>IFERROR(VLOOKUP(Tabla3[[#This Row],[Referencia]]&amp;Tabla3[[#This Row],[Desc detalle ext 1]],Tabla1[[Referencia-Color]:[Disponibilidad]],3,FALSE),0)</f>
        <v>24</v>
      </c>
      <c r="V660" s="13"/>
      <c r="W660" s="17">
        <f>+Tabla3[[#This Row],[Cant. Programada]]*Tabla3[[#This Row],[Precio unit]]</f>
        <v>0</v>
      </c>
      <c r="X660" s="129"/>
      <c r="Y660" s="8"/>
      <c r="Z660" s="8" t="str">
        <f>+Tabla3[[#This Row],[Referencia]]&amp;Tabla3[[#This Row],[Desc detalle ext 1]]</f>
        <v xml:space="preserve">CB 110 DLX                                        GRIS     </v>
      </c>
      <c r="AA660" s="128" t="e">
        <f>+VLOOKUP(Tabla3[[#This Row],[CODIGO2]],ESTANDAR!$B$3:$C$9,2,FALSE)</f>
        <v>#N/A</v>
      </c>
      <c r="AB660" s="128" t="str">
        <f>+MID(Tabla3[[#This Row],['# Viaje]],10,1)</f>
        <v/>
      </c>
    </row>
    <row r="661" spans="1:28" ht="15" hidden="1" customHeight="1">
      <c r="A661" s="173" t="s">
        <v>1579</v>
      </c>
      <c r="B661" s="174">
        <v>42948</v>
      </c>
      <c r="C661" s="173" t="s">
        <v>1231</v>
      </c>
      <c r="D661" s="173" t="s">
        <v>1237</v>
      </c>
      <c r="E661" s="173" t="s">
        <v>1479</v>
      </c>
      <c r="F661" s="173">
        <v>4</v>
      </c>
      <c r="G661" s="173" t="s">
        <v>69</v>
      </c>
      <c r="H661" s="173">
        <v>4</v>
      </c>
      <c r="I661" s="173" t="s">
        <v>1580</v>
      </c>
      <c r="J661" s="173" t="s">
        <v>1451</v>
      </c>
      <c r="K661" s="173" t="s">
        <v>1452</v>
      </c>
      <c r="L661" s="173"/>
      <c r="M661" s="173" t="s">
        <v>84</v>
      </c>
      <c r="N661" s="173">
        <v>18125225</v>
      </c>
      <c r="O661" s="175">
        <v>3696639</v>
      </c>
      <c r="P661" s="7"/>
      <c r="Q661" s="16">
        <f>+IF(IFERROR(VLOOKUP(Tabla3[[#This Row],[Cliente factura]],Tabla4[[NIT]:[TOTAL CREDITO]],3,FALSE),0)="",0,IFERROR(VLOOKUP(Tabla3[[#This Row],[Cliente factura]],Tabla4[[NIT]:[TOTAL CREDITO]],3,FALSE),0))</f>
        <v>264217093</v>
      </c>
      <c r="R661" s="9">
        <f>+IFERROR(VLOOKUP(Tabla3[[#This Row],[Cliente factura]],Tabla4[[NIT]:[TOTAL CREDITO]],6,FALSE),0)</f>
        <v>852000000</v>
      </c>
      <c r="S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1" s="10" t="str">
        <f>VLOOKUP(Tabla3[[#This Row],[Razón social cliente factura]]&amp;Tabla3[[#This Row],[Desc. ciudad]],'Estandar de Rutas'!$C$1:$E$553,2,FALSE)</f>
        <v>5.2.A</v>
      </c>
      <c r="U661" s="130">
        <f>IFERROR(VLOOKUP(Tabla3[[#This Row],[Referencia]]&amp;Tabla3[[#This Row],[Desc detalle ext 1]],Tabla1[[Referencia-Color]:[Disponibilidad]],3,FALSE),0)</f>
        <v>21</v>
      </c>
      <c r="V661" s="13"/>
      <c r="W661" s="17">
        <f>+Tabla3[[#This Row],[Cant. Programada]]*Tabla3[[#This Row],[Precio unit]]</f>
        <v>0</v>
      </c>
      <c r="X661" s="129"/>
      <c r="Y661" s="129"/>
      <c r="Z661" s="8" t="str">
        <f>+Tabla3[[#This Row],[Referencia]]&amp;Tabla3[[#This Row],[Desc detalle ext 1]]</f>
        <v xml:space="preserve">CB 110 DLX                                        AZUL     </v>
      </c>
      <c r="AA661" s="128" t="e">
        <f>+VLOOKUP(Tabla3[[#This Row],[CODIGO2]],ESTANDAR!$B$3:$C$9,2,FALSE)</f>
        <v>#N/A</v>
      </c>
      <c r="AB661" s="128" t="str">
        <f>+MID(Tabla3[[#This Row],['# Viaje]],10,1)</f>
        <v/>
      </c>
    </row>
    <row r="662" spans="1:28" ht="15" hidden="1" customHeight="1">
      <c r="A662" s="173" t="s">
        <v>1579</v>
      </c>
      <c r="B662" s="174">
        <v>42948</v>
      </c>
      <c r="C662" s="173" t="s">
        <v>1231</v>
      </c>
      <c r="D662" s="173" t="s">
        <v>1237</v>
      </c>
      <c r="E662" s="173" t="s">
        <v>1479</v>
      </c>
      <c r="F662" s="173">
        <v>6</v>
      </c>
      <c r="G662" s="173" t="s">
        <v>69</v>
      </c>
      <c r="H662" s="173">
        <v>6</v>
      </c>
      <c r="I662" s="173" t="s">
        <v>1580</v>
      </c>
      <c r="J662" s="173" t="s">
        <v>1451</v>
      </c>
      <c r="K662" s="173" t="s">
        <v>16</v>
      </c>
      <c r="L662" s="173"/>
      <c r="M662" s="173" t="s">
        <v>84</v>
      </c>
      <c r="N662" s="173">
        <v>18125225</v>
      </c>
      <c r="O662" s="175">
        <v>3696639</v>
      </c>
      <c r="P662" s="7"/>
      <c r="Q662" s="16">
        <f>+IF(IFERROR(VLOOKUP(Tabla3[[#This Row],[Cliente factura]],Tabla4[[NIT]:[TOTAL CREDITO]],3,FALSE),0)="",0,IFERROR(VLOOKUP(Tabla3[[#This Row],[Cliente factura]],Tabla4[[NIT]:[TOTAL CREDITO]],3,FALSE),0))</f>
        <v>264217093</v>
      </c>
      <c r="R662" s="9">
        <f>+IFERROR(VLOOKUP(Tabla3[[#This Row],[Cliente factura]],Tabla4[[NIT]:[TOTAL CREDITO]],6,FALSE),0)</f>
        <v>852000000</v>
      </c>
      <c r="S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2" s="10" t="str">
        <f>VLOOKUP(Tabla3[[#This Row],[Razón social cliente factura]]&amp;Tabla3[[#This Row],[Desc. ciudad]],'Estandar de Rutas'!$C$1:$E$553,2,FALSE)</f>
        <v>5.2.A</v>
      </c>
      <c r="U662" s="130">
        <f>IFERROR(VLOOKUP(Tabla3[[#This Row],[Referencia]]&amp;Tabla3[[#This Row],[Desc detalle ext 1]],Tabla1[[Referencia-Color]:[Disponibilidad]],3,FALSE),0)</f>
        <v>3</v>
      </c>
      <c r="V662" s="13"/>
      <c r="W662" s="17">
        <f>+Tabla3[[#This Row],[Cant. Programada]]*Tabla3[[#This Row],[Precio unit]]</f>
        <v>0</v>
      </c>
      <c r="X662" s="129"/>
      <c r="Y662" s="129"/>
      <c r="Z662" s="8" t="str">
        <f>+Tabla3[[#This Row],[Referencia]]&amp;Tabla3[[#This Row],[Desc detalle ext 1]]</f>
        <v xml:space="preserve">CB 110 DLX                                        NEGRO    </v>
      </c>
      <c r="AA662" s="128" t="e">
        <f>+VLOOKUP(Tabla3[[#This Row],[CODIGO2]],ESTANDAR!$B$3:$C$9,2,FALSE)</f>
        <v>#N/A</v>
      </c>
      <c r="AB662" s="128" t="str">
        <f>+MID(Tabla3[[#This Row],['# Viaje]],10,1)</f>
        <v/>
      </c>
    </row>
    <row r="663" spans="1:28" ht="15" hidden="1" customHeight="1">
      <c r="A663" s="173" t="s">
        <v>1581</v>
      </c>
      <c r="B663" s="174">
        <v>42948</v>
      </c>
      <c r="C663" s="173" t="s">
        <v>1231</v>
      </c>
      <c r="D663" s="173" t="s">
        <v>1478</v>
      </c>
      <c r="E663" s="173" t="s">
        <v>1232</v>
      </c>
      <c r="F663" s="173">
        <v>2</v>
      </c>
      <c r="G663" s="173" t="s">
        <v>43</v>
      </c>
      <c r="H663" s="173">
        <v>2</v>
      </c>
      <c r="I663" s="173" t="s">
        <v>1220</v>
      </c>
      <c r="J663" s="173" t="s">
        <v>1451</v>
      </c>
      <c r="K663" s="173" t="s">
        <v>16</v>
      </c>
      <c r="L663" s="173"/>
      <c r="M663" s="173" t="s">
        <v>55</v>
      </c>
      <c r="N663" s="173">
        <v>890330584</v>
      </c>
      <c r="O663" s="175">
        <v>3696639</v>
      </c>
      <c r="P663" s="7"/>
      <c r="Q663" s="16">
        <f>+IF(IFERROR(VLOOKUP(Tabla3[[#This Row],[Cliente factura]],Tabla4[[NIT]:[TOTAL CREDITO]],3,FALSE),0)="",0,IFERROR(VLOOKUP(Tabla3[[#This Row],[Cliente factura]],Tabla4[[NIT]:[TOTAL CREDITO]],3,FALSE),0))</f>
        <v>802084041</v>
      </c>
      <c r="R663" s="9">
        <f>+IFERROR(VLOOKUP(Tabla3[[#This Row],[Cliente factura]],Tabla4[[NIT]:[TOTAL CREDITO]],6,FALSE),0)</f>
        <v>0</v>
      </c>
      <c r="S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3" s="10" t="str">
        <f>VLOOKUP(Tabla3[[#This Row],[Razón social cliente factura]]&amp;Tabla3[[#This Row],[Desc. ciudad]],'Estandar de Rutas'!$C$1:$E$553,2,FALSE)</f>
        <v>1.3.B</v>
      </c>
      <c r="U663" s="130">
        <f>IFERROR(VLOOKUP(Tabla3[[#This Row],[Referencia]]&amp;Tabla3[[#This Row],[Desc detalle ext 1]],Tabla1[[Referencia-Color]:[Disponibilidad]],3,FALSE),0)</f>
        <v>3</v>
      </c>
      <c r="V663" s="13"/>
      <c r="W663" s="17">
        <f>+Tabla3[[#This Row],[Cant. Programada]]*Tabla3[[#This Row],[Precio unit]]</f>
        <v>0</v>
      </c>
      <c r="X663" s="129"/>
      <c r="Y663" s="129"/>
      <c r="Z663" s="8" t="str">
        <f>+Tabla3[[#This Row],[Referencia]]&amp;Tabla3[[#This Row],[Desc detalle ext 1]]</f>
        <v xml:space="preserve">CB 110 DLX                                        NEGRO    </v>
      </c>
      <c r="AA663" s="128" t="e">
        <f>+VLOOKUP(Tabla3[[#This Row],[CODIGO2]],ESTANDAR!$B$3:$C$9,2,FALSE)</f>
        <v>#N/A</v>
      </c>
      <c r="AB663" s="128" t="str">
        <f>+MID(Tabla3[[#This Row],['# Viaje]],10,1)</f>
        <v/>
      </c>
    </row>
    <row r="664" spans="1:28" ht="15" hidden="1" customHeight="1">
      <c r="A664" s="173" t="s">
        <v>1582</v>
      </c>
      <c r="B664" s="174">
        <v>42948</v>
      </c>
      <c r="C664" s="173" t="s">
        <v>1231</v>
      </c>
      <c r="D664" s="173" t="s">
        <v>1487</v>
      </c>
      <c r="E664" s="173" t="s">
        <v>1479</v>
      </c>
      <c r="F664" s="173">
        <v>2</v>
      </c>
      <c r="G664" s="173" t="s">
        <v>87</v>
      </c>
      <c r="H664" s="173">
        <v>2</v>
      </c>
      <c r="I664" s="173" t="s">
        <v>1583</v>
      </c>
      <c r="J664" s="173" t="s">
        <v>14</v>
      </c>
      <c r="K664" s="173" t="s">
        <v>16</v>
      </c>
      <c r="L664" s="173"/>
      <c r="M664" s="173" t="s">
        <v>158</v>
      </c>
      <c r="N664" s="173">
        <v>900485301</v>
      </c>
      <c r="O664" s="175">
        <v>3360504</v>
      </c>
      <c r="P664" s="7"/>
      <c r="Q664" s="16">
        <f>+IF(IFERROR(VLOOKUP(Tabla3[[#This Row],[Cliente factura]],Tabla4[[NIT]:[TOTAL CREDITO]],3,FALSE),0)="",0,IFERROR(VLOOKUP(Tabla3[[#This Row],[Cliente factura]],Tabla4[[NIT]:[TOTAL CREDITO]],3,FALSE),0))</f>
        <v>1290813</v>
      </c>
      <c r="R664" s="9">
        <f>+IFERROR(VLOOKUP(Tabla3[[#This Row],[Cliente factura]],Tabla4[[NIT]:[TOTAL CREDITO]],6,FALSE),0)</f>
        <v>0</v>
      </c>
      <c r="S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4" s="10" t="str">
        <f>VLOOKUP(Tabla3[[#This Row],[Razón social cliente factura]]&amp;Tabla3[[#This Row],[Desc. ciudad]],'Estandar de Rutas'!$C$1:$E$553,2,FALSE)</f>
        <v>9.1.A</v>
      </c>
      <c r="U664" s="130">
        <f>IFERROR(VLOOKUP(Tabla3[[#This Row],[Referencia]]&amp;Tabla3[[#This Row],[Desc detalle ext 1]],Tabla1[[Referencia-Color]:[Disponibilidad]],3,FALSE),0)</f>
        <v>83</v>
      </c>
      <c r="V664" s="13"/>
      <c r="W664" s="17">
        <f>+Tabla3[[#This Row],[Cant. Programada]]*Tabla3[[#This Row],[Precio unit]]</f>
        <v>0</v>
      </c>
      <c r="X664" s="129"/>
      <c r="Y664" s="129"/>
      <c r="Z664" s="8" t="str">
        <f>+Tabla3[[#This Row],[Referencia]]&amp;Tabla3[[#This Row],[Desc detalle ext 1]]</f>
        <v xml:space="preserve">*CB-110                                           NEGRO    </v>
      </c>
      <c r="AA664" s="128" t="e">
        <f>+VLOOKUP(Tabla3[[#This Row],[CODIGO2]],ESTANDAR!$B$3:$C$9,2,FALSE)</f>
        <v>#N/A</v>
      </c>
      <c r="AB664" s="128" t="str">
        <f>+MID(Tabla3[[#This Row],['# Viaje]],10,1)</f>
        <v/>
      </c>
    </row>
    <row r="665" spans="1:28" ht="15" hidden="1" customHeight="1">
      <c r="A665" s="173" t="s">
        <v>1582</v>
      </c>
      <c r="B665" s="174">
        <v>42948</v>
      </c>
      <c r="C665" s="173" t="s">
        <v>1231</v>
      </c>
      <c r="D665" s="173" t="s">
        <v>1487</v>
      </c>
      <c r="E665" s="173" t="s">
        <v>1479</v>
      </c>
      <c r="F665" s="173">
        <v>2</v>
      </c>
      <c r="G665" s="173" t="s">
        <v>87</v>
      </c>
      <c r="H665" s="173">
        <v>2</v>
      </c>
      <c r="I665" s="173" t="s">
        <v>1583</v>
      </c>
      <c r="J665" s="173" t="s">
        <v>27</v>
      </c>
      <c r="K665" s="173" t="s">
        <v>32</v>
      </c>
      <c r="L665" s="173"/>
      <c r="M665" s="173" t="s">
        <v>158</v>
      </c>
      <c r="N665" s="173">
        <v>900485301</v>
      </c>
      <c r="O665" s="175">
        <v>5789916</v>
      </c>
      <c r="P665" s="7"/>
      <c r="Q665" s="16">
        <f>+IF(IFERROR(VLOOKUP(Tabla3[[#This Row],[Cliente factura]],Tabla4[[NIT]:[TOTAL CREDITO]],3,FALSE),0)="",0,IFERROR(VLOOKUP(Tabla3[[#This Row],[Cliente factura]],Tabla4[[NIT]:[TOTAL CREDITO]],3,FALSE),0))</f>
        <v>1290813</v>
      </c>
      <c r="R665" s="9">
        <f>+IFERROR(VLOOKUP(Tabla3[[#This Row],[Cliente factura]],Tabla4[[NIT]:[TOTAL CREDITO]],6,FALSE),0)</f>
        <v>0</v>
      </c>
      <c r="S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5" s="10" t="str">
        <f>VLOOKUP(Tabla3[[#This Row],[Razón social cliente factura]]&amp;Tabla3[[#This Row],[Desc. ciudad]],'Estandar de Rutas'!$C$1:$E$553,2,FALSE)</f>
        <v>9.1.A</v>
      </c>
      <c r="U665" s="130">
        <f>IFERROR(VLOOKUP(Tabla3[[#This Row],[Referencia]]&amp;Tabla3[[#This Row],[Desc detalle ext 1]],Tabla1[[Referencia-Color]:[Disponibilidad]],3,FALSE),0)</f>
        <v>7</v>
      </c>
      <c r="V665" s="13"/>
      <c r="W665" s="17">
        <f>+Tabla3[[#This Row],[Cant. Programada]]*Tabla3[[#This Row],[Precio unit]]</f>
        <v>0</v>
      </c>
      <c r="X665" s="129"/>
      <c r="Y665" s="8"/>
      <c r="Z665" s="8" t="str">
        <f>+Tabla3[[#This Row],[Referencia]]&amp;Tabla3[[#This Row],[Desc detalle ext 1]]</f>
        <v>*XR 150L                                          NEGRO ROJ</v>
      </c>
      <c r="AA665" s="128" t="e">
        <f>+VLOOKUP(Tabla3[[#This Row],[CODIGO2]],ESTANDAR!$B$3:$C$9,2,FALSE)</f>
        <v>#N/A</v>
      </c>
      <c r="AB665" s="128" t="str">
        <f>+MID(Tabla3[[#This Row],['# Viaje]],10,1)</f>
        <v/>
      </c>
    </row>
    <row r="666" spans="1:28" ht="15" hidden="1" customHeight="1">
      <c r="A666" s="173" t="s">
        <v>1582</v>
      </c>
      <c r="B666" s="174">
        <v>42948</v>
      </c>
      <c r="C666" s="173" t="s">
        <v>1231</v>
      </c>
      <c r="D666" s="173" t="s">
        <v>1487</v>
      </c>
      <c r="E666" s="173" t="s">
        <v>1479</v>
      </c>
      <c r="F666" s="173">
        <v>2</v>
      </c>
      <c r="G666" s="173" t="s">
        <v>87</v>
      </c>
      <c r="H666" s="173">
        <v>2</v>
      </c>
      <c r="I666" s="173" t="s">
        <v>1583</v>
      </c>
      <c r="J666" s="173" t="s">
        <v>27</v>
      </c>
      <c r="K666" s="173" t="s">
        <v>26</v>
      </c>
      <c r="L666" s="173"/>
      <c r="M666" s="173" t="s">
        <v>158</v>
      </c>
      <c r="N666" s="173">
        <v>900485301</v>
      </c>
      <c r="O666" s="175">
        <v>5789916</v>
      </c>
      <c r="P666" s="7"/>
      <c r="Q666" s="16">
        <f>+IF(IFERROR(VLOOKUP(Tabla3[[#This Row],[Cliente factura]],Tabla4[[NIT]:[TOTAL CREDITO]],3,FALSE),0)="",0,IFERROR(VLOOKUP(Tabla3[[#This Row],[Cliente factura]],Tabla4[[NIT]:[TOTAL CREDITO]],3,FALSE),0))</f>
        <v>1290813</v>
      </c>
      <c r="R666" s="9">
        <f>+IFERROR(VLOOKUP(Tabla3[[#This Row],[Cliente factura]],Tabla4[[NIT]:[TOTAL CREDITO]],6,FALSE),0)</f>
        <v>0</v>
      </c>
      <c r="S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6" s="10" t="str">
        <f>VLOOKUP(Tabla3[[#This Row],[Razón social cliente factura]]&amp;Tabla3[[#This Row],[Desc. ciudad]],'Estandar de Rutas'!$C$1:$E$553,2,FALSE)</f>
        <v>9.1.A</v>
      </c>
      <c r="U666" s="130">
        <f>IFERROR(VLOOKUP(Tabla3[[#This Row],[Referencia]]&amp;Tabla3[[#This Row],[Desc detalle ext 1]],Tabla1[[Referencia-Color]:[Disponibilidad]],3,FALSE),0)</f>
        <v>59</v>
      </c>
      <c r="V666" s="13"/>
      <c r="W666" s="17">
        <f>+Tabla3[[#This Row],[Cant. Programada]]*Tabla3[[#This Row],[Precio unit]]</f>
        <v>0</v>
      </c>
      <c r="X666" s="130"/>
      <c r="Y666" s="8"/>
      <c r="Z666" s="8" t="str">
        <f>+Tabla3[[#This Row],[Referencia]]&amp;Tabla3[[#This Row],[Desc detalle ext 1]]</f>
        <v>*XR 150L                                          NEGRO BLA</v>
      </c>
      <c r="AA666" s="128" t="e">
        <f>+VLOOKUP(Tabla3[[#This Row],[CODIGO2]],ESTANDAR!$B$3:$C$9,2,FALSE)</f>
        <v>#N/A</v>
      </c>
      <c r="AB666" s="128" t="str">
        <f>+MID(Tabla3[[#This Row],['# Viaje]],10,1)</f>
        <v/>
      </c>
    </row>
    <row r="667" spans="1:28" ht="15" hidden="1" customHeight="1">
      <c r="A667" s="173" t="s">
        <v>1582</v>
      </c>
      <c r="B667" s="174">
        <v>42948</v>
      </c>
      <c r="C667" s="173" t="s">
        <v>1231</v>
      </c>
      <c r="D667" s="173" t="s">
        <v>1487</v>
      </c>
      <c r="E667" s="173" t="s">
        <v>1479</v>
      </c>
      <c r="F667" s="173">
        <v>2</v>
      </c>
      <c r="G667" s="173" t="s">
        <v>87</v>
      </c>
      <c r="H667" s="173">
        <v>2</v>
      </c>
      <c r="I667" s="173" t="s">
        <v>1583</v>
      </c>
      <c r="J667" s="173" t="s">
        <v>27</v>
      </c>
      <c r="K667" s="173" t="s">
        <v>16</v>
      </c>
      <c r="L667" s="173"/>
      <c r="M667" s="173" t="s">
        <v>158</v>
      </c>
      <c r="N667" s="173">
        <v>900485301</v>
      </c>
      <c r="O667" s="175">
        <v>5789916</v>
      </c>
      <c r="P667" s="7"/>
      <c r="Q667" s="16">
        <f>+IF(IFERROR(VLOOKUP(Tabla3[[#This Row],[Cliente factura]],Tabla4[[NIT]:[TOTAL CREDITO]],3,FALSE),0)="",0,IFERROR(VLOOKUP(Tabla3[[#This Row],[Cliente factura]],Tabla4[[NIT]:[TOTAL CREDITO]],3,FALSE),0))</f>
        <v>1290813</v>
      </c>
      <c r="R667" s="9">
        <f>+IFERROR(VLOOKUP(Tabla3[[#This Row],[Cliente factura]],Tabla4[[NIT]:[TOTAL CREDITO]],6,FALSE),0)</f>
        <v>0</v>
      </c>
      <c r="S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7" s="10" t="str">
        <f>VLOOKUP(Tabla3[[#This Row],[Razón social cliente factura]]&amp;Tabla3[[#This Row],[Desc. ciudad]],'Estandar de Rutas'!$C$1:$E$553,2,FALSE)</f>
        <v>9.1.A</v>
      </c>
      <c r="U667" s="130">
        <f>IFERROR(VLOOKUP(Tabla3[[#This Row],[Referencia]]&amp;Tabla3[[#This Row],[Desc detalle ext 1]],Tabla1[[Referencia-Color]:[Disponibilidad]],3,FALSE),0)</f>
        <v>3</v>
      </c>
      <c r="V667" s="13"/>
      <c r="W667" s="17">
        <f>+Tabla3[[#This Row],[Cant. Programada]]*Tabla3[[#This Row],[Precio unit]]</f>
        <v>0</v>
      </c>
      <c r="X667" s="130"/>
      <c r="Y667" s="129"/>
      <c r="Z667" s="8" t="str">
        <f>+Tabla3[[#This Row],[Referencia]]&amp;Tabla3[[#This Row],[Desc detalle ext 1]]</f>
        <v xml:space="preserve">*XR 150L                                          NEGRO    </v>
      </c>
      <c r="AA667" s="128" t="e">
        <f>+VLOOKUP(Tabla3[[#This Row],[CODIGO2]],ESTANDAR!$B$3:$C$9,2,FALSE)</f>
        <v>#N/A</v>
      </c>
      <c r="AB667" s="128" t="str">
        <f>+MID(Tabla3[[#This Row],['# Viaje]],10,1)</f>
        <v/>
      </c>
    </row>
    <row r="668" spans="1:28" ht="15" hidden="1" customHeight="1">
      <c r="A668" s="173" t="s">
        <v>1582</v>
      </c>
      <c r="B668" s="174">
        <v>42948</v>
      </c>
      <c r="C668" s="173" t="s">
        <v>1231</v>
      </c>
      <c r="D668" s="173" t="s">
        <v>1487</v>
      </c>
      <c r="E668" s="173" t="s">
        <v>1479</v>
      </c>
      <c r="F668" s="173">
        <v>1</v>
      </c>
      <c r="G668" s="173" t="s">
        <v>87</v>
      </c>
      <c r="H668" s="173">
        <v>1</v>
      </c>
      <c r="I668" s="173" t="s">
        <v>1583</v>
      </c>
      <c r="J668" s="173" t="s">
        <v>1428</v>
      </c>
      <c r="K668" s="173" t="s">
        <v>1429</v>
      </c>
      <c r="L668" s="173"/>
      <c r="M668" s="173" t="s">
        <v>158</v>
      </c>
      <c r="N668" s="173">
        <v>900485301</v>
      </c>
      <c r="O668" s="175">
        <v>3067227</v>
      </c>
      <c r="P668" s="7"/>
      <c r="Q668" s="16">
        <f>+IF(IFERROR(VLOOKUP(Tabla3[[#This Row],[Cliente factura]],Tabla4[[NIT]:[TOTAL CREDITO]],3,FALSE),0)="",0,IFERROR(VLOOKUP(Tabla3[[#This Row],[Cliente factura]],Tabla4[[NIT]:[TOTAL CREDITO]],3,FALSE),0))</f>
        <v>1290813</v>
      </c>
      <c r="R668" s="9">
        <f>+IFERROR(VLOOKUP(Tabla3[[#This Row],[Cliente factura]],Tabla4[[NIT]:[TOTAL CREDITO]],6,FALSE),0)</f>
        <v>0</v>
      </c>
      <c r="S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8" s="10" t="str">
        <f>VLOOKUP(Tabla3[[#This Row],[Razón social cliente factura]]&amp;Tabla3[[#This Row],[Desc. ciudad]],'Estandar de Rutas'!$C$1:$E$553,2,FALSE)</f>
        <v>9.1.A</v>
      </c>
      <c r="U668" s="130">
        <f>IFERROR(VLOOKUP(Tabla3[[#This Row],[Referencia]]&amp;Tabla3[[#This Row],[Desc detalle ext 1]],Tabla1[[Referencia-Color]:[Disponibilidad]],3,FALSE),0)</f>
        <v>0</v>
      </c>
      <c r="V668" s="13"/>
      <c r="W668" s="17">
        <f>+Tabla3[[#This Row],[Cant. Programada]]*Tabla3[[#This Row],[Precio unit]]</f>
        <v>0</v>
      </c>
      <c r="X668" s="8"/>
      <c r="Y668" s="8"/>
      <c r="Z668" s="8" t="str">
        <f>+Tabla3[[#This Row],[Referencia]]&amp;Tabla3[[#This Row],[Desc detalle ext 1]]</f>
        <v>DREAM  NEO                                        NEGRO AZU</v>
      </c>
      <c r="AA668" s="128" t="e">
        <f>+VLOOKUP(Tabla3[[#This Row],[CODIGO2]],ESTANDAR!$B$3:$C$9,2,FALSE)</f>
        <v>#N/A</v>
      </c>
      <c r="AB668" s="128" t="str">
        <f>+MID(Tabla3[[#This Row],['# Viaje]],10,1)</f>
        <v/>
      </c>
    </row>
    <row r="669" spans="1:28" ht="15" hidden="1" customHeight="1">
      <c r="A669" s="173" t="s">
        <v>1584</v>
      </c>
      <c r="B669" s="174">
        <v>42948</v>
      </c>
      <c r="C669" s="173" t="s">
        <v>1231</v>
      </c>
      <c r="D669" s="173" t="s">
        <v>1487</v>
      </c>
      <c r="E669" s="173" t="s">
        <v>1479</v>
      </c>
      <c r="F669" s="173">
        <v>1</v>
      </c>
      <c r="G669" s="173" t="s">
        <v>87</v>
      </c>
      <c r="H669" s="173">
        <v>1</v>
      </c>
      <c r="I669" s="173" t="s">
        <v>1585</v>
      </c>
      <c r="J669" s="173" t="s">
        <v>27</v>
      </c>
      <c r="K669" s="173" t="s">
        <v>32</v>
      </c>
      <c r="L669" s="173"/>
      <c r="M669" s="173" t="s">
        <v>157</v>
      </c>
      <c r="N669" s="173">
        <v>900485301</v>
      </c>
      <c r="O669" s="175">
        <v>5789916</v>
      </c>
      <c r="P669" s="7"/>
      <c r="Q669" s="16">
        <f>+IF(IFERROR(VLOOKUP(Tabla3[[#This Row],[Cliente factura]],Tabla4[[NIT]:[TOTAL CREDITO]],3,FALSE),0)="",0,IFERROR(VLOOKUP(Tabla3[[#This Row],[Cliente factura]],Tabla4[[NIT]:[TOTAL CREDITO]],3,FALSE),0))</f>
        <v>1290813</v>
      </c>
      <c r="R669" s="9">
        <f>+IFERROR(VLOOKUP(Tabla3[[#This Row],[Cliente factura]],Tabla4[[NIT]:[TOTAL CREDITO]],6,FALSE),0)</f>
        <v>0</v>
      </c>
      <c r="S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9" s="10" t="str">
        <f>VLOOKUP(Tabla3[[#This Row],[Razón social cliente factura]]&amp;Tabla3[[#This Row],[Desc. ciudad]],'Estandar de Rutas'!$C$1:$E$553,2,FALSE)</f>
        <v>9.1</v>
      </c>
      <c r="U669" s="130">
        <f>IFERROR(VLOOKUP(Tabla3[[#This Row],[Referencia]]&amp;Tabla3[[#This Row],[Desc detalle ext 1]],Tabla1[[Referencia-Color]:[Disponibilidad]],3,FALSE),0)</f>
        <v>7</v>
      </c>
      <c r="V669" s="13"/>
      <c r="W669" s="17">
        <f>+Tabla3[[#This Row],[Cant. Programada]]*Tabla3[[#This Row],[Precio unit]]</f>
        <v>0</v>
      </c>
      <c r="X669" s="8"/>
      <c r="Y669" s="8"/>
      <c r="Z669" s="8" t="str">
        <f>+Tabla3[[#This Row],[Referencia]]&amp;Tabla3[[#This Row],[Desc detalle ext 1]]</f>
        <v>*XR 150L                                          NEGRO ROJ</v>
      </c>
      <c r="AA669" s="128" t="e">
        <f>+VLOOKUP(Tabla3[[#This Row],[CODIGO2]],ESTANDAR!$B$3:$C$9,2,FALSE)</f>
        <v>#N/A</v>
      </c>
      <c r="AB669" s="128" t="str">
        <f>+MID(Tabla3[[#This Row],['# Viaje]],10,1)</f>
        <v/>
      </c>
    </row>
    <row r="670" spans="1:28" ht="15" hidden="1" customHeight="1">
      <c r="A670" s="173" t="s">
        <v>1584</v>
      </c>
      <c r="B670" s="174">
        <v>42948</v>
      </c>
      <c r="C670" s="173" t="s">
        <v>1231</v>
      </c>
      <c r="D670" s="173" t="s">
        <v>1487</v>
      </c>
      <c r="E670" s="173" t="s">
        <v>1479</v>
      </c>
      <c r="F670" s="173">
        <v>1</v>
      </c>
      <c r="G670" s="173" t="s">
        <v>87</v>
      </c>
      <c r="H670" s="173">
        <v>1</v>
      </c>
      <c r="I670" s="173" t="s">
        <v>1585</v>
      </c>
      <c r="J670" s="173" t="s">
        <v>27</v>
      </c>
      <c r="K670" s="173" t="s">
        <v>26</v>
      </c>
      <c r="L670" s="173"/>
      <c r="M670" s="173" t="s">
        <v>157</v>
      </c>
      <c r="N670" s="173">
        <v>900485301</v>
      </c>
      <c r="O670" s="175">
        <v>5789916</v>
      </c>
      <c r="P670" s="7"/>
      <c r="Q670" s="16">
        <f>+IF(IFERROR(VLOOKUP(Tabla3[[#This Row],[Cliente factura]],Tabla4[[NIT]:[TOTAL CREDITO]],3,FALSE),0)="",0,IFERROR(VLOOKUP(Tabla3[[#This Row],[Cliente factura]],Tabla4[[NIT]:[TOTAL CREDITO]],3,FALSE),0))</f>
        <v>1290813</v>
      </c>
      <c r="R670" s="9">
        <f>+IFERROR(VLOOKUP(Tabla3[[#This Row],[Cliente factura]],Tabla4[[NIT]:[TOTAL CREDITO]],6,FALSE),0)</f>
        <v>0</v>
      </c>
      <c r="S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0" s="10" t="str">
        <f>VLOOKUP(Tabla3[[#This Row],[Razón social cliente factura]]&amp;Tabla3[[#This Row],[Desc. ciudad]],'Estandar de Rutas'!$C$1:$E$553,2,FALSE)</f>
        <v>9.1</v>
      </c>
      <c r="U670" s="130">
        <f>IFERROR(VLOOKUP(Tabla3[[#This Row],[Referencia]]&amp;Tabla3[[#This Row],[Desc detalle ext 1]],Tabla1[[Referencia-Color]:[Disponibilidad]],3,FALSE),0)</f>
        <v>59</v>
      </c>
      <c r="V670" s="13"/>
      <c r="W670" s="17">
        <f>+Tabla3[[#This Row],[Cant. Programada]]*Tabla3[[#This Row],[Precio unit]]</f>
        <v>0</v>
      </c>
      <c r="X670" s="8"/>
      <c r="Y670" s="8"/>
      <c r="Z670" s="8" t="str">
        <f>+Tabla3[[#This Row],[Referencia]]&amp;Tabla3[[#This Row],[Desc detalle ext 1]]</f>
        <v>*XR 150L                                          NEGRO BLA</v>
      </c>
      <c r="AA670" s="128" t="e">
        <f>+VLOOKUP(Tabla3[[#This Row],[CODIGO2]],ESTANDAR!$B$3:$C$9,2,FALSE)</f>
        <v>#N/A</v>
      </c>
      <c r="AB670" s="128" t="str">
        <f>+MID(Tabla3[[#This Row],['# Viaje]],10,1)</f>
        <v/>
      </c>
    </row>
    <row r="671" spans="1:28" ht="15" hidden="1" customHeight="1">
      <c r="A671" s="173" t="s">
        <v>1584</v>
      </c>
      <c r="B671" s="174">
        <v>42948</v>
      </c>
      <c r="C671" s="173" t="s">
        <v>1231</v>
      </c>
      <c r="D671" s="173" t="s">
        <v>1487</v>
      </c>
      <c r="E671" s="173" t="s">
        <v>1479</v>
      </c>
      <c r="F671" s="173">
        <v>1</v>
      </c>
      <c r="G671" s="173" t="s">
        <v>87</v>
      </c>
      <c r="H671" s="173">
        <v>1</v>
      </c>
      <c r="I671" s="173" t="s">
        <v>1585</v>
      </c>
      <c r="J671" s="173" t="s">
        <v>27</v>
      </c>
      <c r="K671" s="173" t="s">
        <v>16</v>
      </c>
      <c r="L671" s="173"/>
      <c r="M671" s="173" t="s">
        <v>157</v>
      </c>
      <c r="N671" s="173">
        <v>900485301</v>
      </c>
      <c r="O671" s="175">
        <v>5789916</v>
      </c>
      <c r="P671" s="7"/>
      <c r="Q671" s="16">
        <f>+IF(IFERROR(VLOOKUP(Tabla3[[#This Row],[Cliente factura]],Tabla4[[NIT]:[TOTAL CREDITO]],3,FALSE),0)="",0,IFERROR(VLOOKUP(Tabla3[[#This Row],[Cliente factura]],Tabla4[[NIT]:[TOTAL CREDITO]],3,FALSE),0))</f>
        <v>1290813</v>
      </c>
      <c r="R671" s="9">
        <f>+IFERROR(VLOOKUP(Tabla3[[#This Row],[Cliente factura]],Tabla4[[NIT]:[TOTAL CREDITO]],6,FALSE),0)</f>
        <v>0</v>
      </c>
      <c r="S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1" s="10" t="str">
        <f>VLOOKUP(Tabla3[[#This Row],[Razón social cliente factura]]&amp;Tabla3[[#This Row],[Desc. ciudad]],'Estandar de Rutas'!$C$1:$E$553,2,FALSE)</f>
        <v>9.1</v>
      </c>
      <c r="U671" s="130">
        <f>IFERROR(VLOOKUP(Tabla3[[#This Row],[Referencia]]&amp;Tabla3[[#This Row],[Desc detalle ext 1]],Tabla1[[Referencia-Color]:[Disponibilidad]],3,FALSE),0)</f>
        <v>3</v>
      </c>
      <c r="V671" s="13"/>
      <c r="W671" s="17">
        <f>+Tabla3[[#This Row],[Cant. Programada]]*Tabla3[[#This Row],[Precio unit]]</f>
        <v>0</v>
      </c>
      <c r="X671" s="8"/>
      <c r="Y671" s="8"/>
      <c r="Z671" s="8" t="str">
        <f>+Tabla3[[#This Row],[Referencia]]&amp;Tabla3[[#This Row],[Desc detalle ext 1]]</f>
        <v xml:space="preserve">*XR 150L                                          NEGRO    </v>
      </c>
      <c r="AA671" s="128" t="e">
        <f>+VLOOKUP(Tabla3[[#This Row],[CODIGO2]],ESTANDAR!$B$3:$C$9,2,FALSE)</f>
        <v>#N/A</v>
      </c>
      <c r="AB671" s="128" t="str">
        <f>+MID(Tabla3[[#This Row],['# Viaje]],10,1)</f>
        <v/>
      </c>
    </row>
    <row r="672" spans="1:28" ht="15" hidden="1" customHeight="1">
      <c r="A672" s="173" t="s">
        <v>1584</v>
      </c>
      <c r="B672" s="174">
        <v>42948</v>
      </c>
      <c r="C672" s="173" t="s">
        <v>1231</v>
      </c>
      <c r="D672" s="173" t="s">
        <v>1487</v>
      </c>
      <c r="E672" s="173" t="s">
        <v>1479</v>
      </c>
      <c r="F672" s="173">
        <v>1</v>
      </c>
      <c r="G672" s="173" t="s">
        <v>87</v>
      </c>
      <c r="H672" s="173">
        <v>1</v>
      </c>
      <c r="I672" s="173" t="s">
        <v>1585</v>
      </c>
      <c r="J672" s="173" t="s">
        <v>1451</v>
      </c>
      <c r="K672" s="173" t="s">
        <v>16</v>
      </c>
      <c r="L672" s="173"/>
      <c r="M672" s="173" t="s">
        <v>157</v>
      </c>
      <c r="N672" s="173">
        <v>900485301</v>
      </c>
      <c r="O672" s="175">
        <v>3696639</v>
      </c>
      <c r="P672" s="7"/>
      <c r="Q672" s="16">
        <f>+IF(IFERROR(VLOOKUP(Tabla3[[#This Row],[Cliente factura]],Tabla4[[NIT]:[TOTAL CREDITO]],3,FALSE),0)="",0,IFERROR(VLOOKUP(Tabla3[[#This Row],[Cliente factura]],Tabla4[[NIT]:[TOTAL CREDITO]],3,FALSE),0))</f>
        <v>1290813</v>
      </c>
      <c r="R672" s="9">
        <f>+IFERROR(VLOOKUP(Tabla3[[#This Row],[Cliente factura]],Tabla4[[NIT]:[TOTAL CREDITO]],6,FALSE),0)</f>
        <v>0</v>
      </c>
      <c r="S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2" s="10" t="str">
        <f>VLOOKUP(Tabla3[[#This Row],[Razón social cliente factura]]&amp;Tabla3[[#This Row],[Desc. ciudad]],'Estandar de Rutas'!$C$1:$E$553,2,FALSE)</f>
        <v>9.1</v>
      </c>
      <c r="U672" s="130">
        <f>IFERROR(VLOOKUP(Tabla3[[#This Row],[Referencia]]&amp;Tabla3[[#This Row],[Desc detalle ext 1]],Tabla1[[Referencia-Color]:[Disponibilidad]],3,FALSE),0)</f>
        <v>3</v>
      </c>
      <c r="V672" s="13"/>
      <c r="W672" s="17">
        <f>+Tabla3[[#This Row],[Cant. Programada]]*Tabla3[[#This Row],[Precio unit]]</f>
        <v>0</v>
      </c>
      <c r="X672" s="129"/>
      <c r="Y672" s="129"/>
      <c r="Z672" s="8" t="str">
        <f>+Tabla3[[#This Row],[Referencia]]&amp;Tabla3[[#This Row],[Desc detalle ext 1]]</f>
        <v xml:space="preserve">CB 110 DLX                                        NEGRO    </v>
      </c>
      <c r="AA672" s="128" t="e">
        <f>+VLOOKUP(Tabla3[[#This Row],[CODIGO2]],ESTANDAR!$B$3:$C$9,2,FALSE)</f>
        <v>#N/A</v>
      </c>
      <c r="AB672" s="128" t="str">
        <f>+MID(Tabla3[[#This Row],['# Viaje]],10,1)</f>
        <v/>
      </c>
    </row>
    <row r="673" spans="1:28" ht="15" hidden="1" customHeight="1">
      <c r="A673" s="173" t="s">
        <v>1586</v>
      </c>
      <c r="B673" s="174">
        <v>42948</v>
      </c>
      <c r="C673" s="173" t="s">
        <v>1231</v>
      </c>
      <c r="D673" s="173" t="s">
        <v>1487</v>
      </c>
      <c r="E673" s="173" t="s">
        <v>1479</v>
      </c>
      <c r="F673" s="173">
        <v>1</v>
      </c>
      <c r="G673" s="173" t="s">
        <v>87</v>
      </c>
      <c r="H673" s="173">
        <v>1</v>
      </c>
      <c r="I673" s="173" t="s">
        <v>1587</v>
      </c>
      <c r="J673" s="173" t="s">
        <v>27</v>
      </c>
      <c r="K673" s="173" t="s">
        <v>26</v>
      </c>
      <c r="L673" s="173"/>
      <c r="M673" s="173" t="s">
        <v>339</v>
      </c>
      <c r="N673" s="173">
        <v>900485301</v>
      </c>
      <c r="O673" s="175">
        <v>5789916</v>
      </c>
      <c r="P673" s="7"/>
      <c r="Q673" s="16">
        <f>+IF(IFERROR(VLOOKUP(Tabla3[[#This Row],[Cliente factura]],Tabla4[[NIT]:[TOTAL CREDITO]],3,FALSE),0)="",0,IFERROR(VLOOKUP(Tabla3[[#This Row],[Cliente factura]],Tabla4[[NIT]:[TOTAL CREDITO]],3,FALSE),0))</f>
        <v>1290813</v>
      </c>
      <c r="R673" s="9">
        <f>+IFERROR(VLOOKUP(Tabla3[[#This Row],[Cliente factura]],Tabla4[[NIT]:[TOTAL CREDITO]],6,FALSE),0)</f>
        <v>0</v>
      </c>
      <c r="S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3" s="10" t="str">
        <f>VLOOKUP(Tabla3[[#This Row],[Razón social cliente factura]]&amp;Tabla3[[#This Row],[Desc. ciudad]],'Estandar de Rutas'!$C$1:$E$553,2,FALSE)</f>
        <v>9.1.A</v>
      </c>
      <c r="U673" s="130">
        <f>IFERROR(VLOOKUP(Tabla3[[#This Row],[Referencia]]&amp;Tabla3[[#This Row],[Desc detalle ext 1]],Tabla1[[Referencia-Color]:[Disponibilidad]],3,FALSE),0)</f>
        <v>59</v>
      </c>
      <c r="V673" s="13"/>
      <c r="W673" s="17">
        <f>+Tabla3[[#This Row],[Cant. Programada]]*Tabla3[[#This Row],[Precio unit]]</f>
        <v>0</v>
      </c>
      <c r="X673" s="8"/>
      <c r="Y673" s="8"/>
      <c r="Z673" s="8" t="str">
        <f>+Tabla3[[#This Row],[Referencia]]&amp;Tabla3[[#This Row],[Desc detalle ext 1]]</f>
        <v>*XR 150L                                          NEGRO BLA</v>
      </c>
      <c r="AA673" s="128" t="e">
        <f>+VLOOKUP(Tabla3[[#This Row],[CODIGO2]],ESTANDAR!$B$3:$C$9,2,FALSE)</f>
        <v>#N/A</v>
      </c>
      <c r="AB673" s="128" t="str">
        <f>+MID(Tabla3[[#This Row],['# Viaje]],10,1)</f>
        <v/>
      </c>
    </row>
    <row r="674" spans="1:28" ht="15" hidden="1" customHeight="1">
      <c r="A674" s="173" t="s">
        <v>1586</v>
      </c>
      <c r="B674" s="174">
        <v>42948</v>
      </c>
      <c r="C674" s="173" t="s">
        <v>1231</v>
      </c>
      <c r="D674" s="173" t="s">
        <v>1487</v>
      </c>
      <c r="E674" s="173" t="s">
        <v>1479</v>
      </c>
      <c r="F674" s="173">
        <v>1</v>
      </c>
      <c r="G674" s="173" t="s">
        <v>87</v>
      </c>
      <c r="H674" s="173">
        <v>1</v>
      </c>
      <c r="I674" s="173" t="s">
        <v>1587</v>
      </c>
      <c r="J674" s="173" t="s">
        <v>27</v>
      </c>
      <c r="K674" s="173" t="s">
        <v>16</v>
      </c>
      <c r="L674" s="173"/>
      <c r="M674" s="173" t="s">
        <v>339</v>
      </c>
      <c r="N674" s="173">
        <v>900485301</v>
      </c>
      <c r="O674" s="175">
        <v>5789916</v>
      </c>
      <c r="P674" s="7"/>
      <c r="Q674" s="16">
        <f>+IF(IFERROR(VLOOKUP(Tabla3[[#This Row],[Cliente factura]],Tabla4[[NIT]:[TOTAL CREDITO]],3,FALSE),0)="",0,IFERROR(VLOOKUP(Tabla3[[#This Row],[Cliente factura]],Tabla4[[NIT]:[TOTAL CREDITO]],3,FALSE),0))</f>
        <v>1290813</v>
      </c>
      <c r="R674" s="9">
        <f>+IFERROR(VLOOKUP(Tabla3[[#This Row],[Cliente factura]],Tabla4[[NIT]:[TOTAL CREDITO]],6,FALSE),0)</f>
        <v>0</v>
      </c>
      <c r="S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4" s="10" t="str">
        <f>VLOOKUP(Tabla3[[#This Row],[Razón social cliente factura]]&amp;Tabla3[[#This Row],[Desc. ciudad]],'Estandar de Rutas'!$C$1:$E$553,2,FALSE)</f>
        <v>9.1.A</v>
      </c>
      <c r="U674" s="130">
        <f>IFERROR(VLOOKUP(Tabla3[[#This Row],[Referencia]]&amp;Tabla3[[#This Row],[Desc detalle ext 1]],Tabla1[[Referencia-Color]:[Disponibilidad]],3,FALSE),0)</f>
        <v>3</v>
      </c>
      <c r="V674" s="13"/>
      <c r="W674" s="17">
        <f>+Tabla3[[#This Row],[Cant. Programada]]*Tabla3[[#This Row],[Precio unit]]</f>
        <v>0</v>
      </c>
      <c r="X674" s="130"/>
      <c r="Y674" s="129"/>
      <c r="Z674" s="8" t="str">
        <f>+Tabla3[[#This Row],[Referencia]]&amp;Tabla3[[#This Row],[Desc detalle ext 1]]</f>
        <v xml:space="preserve">*XR 150L                                          NEGRO    </v>
      </c>
      <c r="AA674" s="128" t="e">
        <f>+VLOOKUP(Tabla3[[#This Row],[CODIGO2]],ESTANDAR!$B$3:$C$9,2,FALSE)</f>
        <v>#N/A</v>
      </c>
      <c r="AB674" s="128" t="str">
        <f>+MID(Tabla3[[#This Row],['# Viaje]],10,1)</f>
        <v/>
      </c>
    </row>
    <row r="675" spans="1:28" ht="15" hidden="1" customHeight="1">
      <c r="A675" s="173" t="s">
        <v>1588</v>
      </c>
      <c r="B675" s="174">
        <v>42948</v>
      </c>
      <c r="C675" s="173" t="s">
        <v>1231</v>
      </c>
      <c r="D675" s="173" t="s">
        <v>1487</v>
      </c>
      <c r="E675" s="173" t="s">
        <v>1479</v>
      </c>
      <c r="F675" s="173">
        <v>1</v>
      </c>
      <c r="G675" s="173" t="s">
        <v>87</v>
      </c>
      <c r="H675" s="173">
        <v>1</v>
      </c>
      <c r="I675" s="173" t="s">
        <v>1589</v>
      </c>
      <c r="J675" s="173" t="s">
        <v>14</v>
      </c>
      <c r="K675" s="173" t="s">
        <v>17</v>
      </c>
      <c r="L675" s="173"/>
      <c r="M675" s="173" t="s">
        <v>88</v>
      </c>
      <c r="N675" s="173">
        <v>900485301</v>
      </c>
      <c r="O675" s="175">
        <v>3360504</v>
      </c>
      <c r="P675" s="7"/>
      <c r="Q675" s="16">
        <f>+IF(IFERROR(VLOOKUP(Tabla3[[#This Row],[Cliente factura]],Tabla4[[NIT]:[TOTAL CREDITO]],3,FALSE),0)="",0,IFERROR(VLOOKUP(Tabla3[[#This Row],[Cliente factura]],Tabla4[[NIT]:[TOTAL CREDITO]],3,FALSE),0))</f>
        <v>1290813</v>
      </c>
      <c r="R675" s="9">
        <f>+IFERROR(VLOOKUP(Tabla3[[#This Row],[Cliente factura]],Tabla4[[NIT]:[TOTAL CREDITO]],6,FALSE),0)</f>
        <v>0</v>
      </c>
      <c r="S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5" s="10" t="str">
        <f>VLOOKUP(Tabla3[[#This Row],[Razón social cliente factura]]&amp;Tabla3[[#This Row],[Desc. ciudad]],'Estandar de Rutas'!$C$1:$E$553,2,FALSE)</f>
        <v>10.2</v>
      </c>
      <c r="U675" s="130">
        <f>IFERROR(VLOOKUP(Tabla3[[#This Row],[Referencia]]&amp;Tabla3[[#This Row],[Desc detalle ext 1]],Tabla1[[Referencia-Color]:[Disponibilidad]],3,FALSE),0)</f>
        <v>38</v>
      </c>
      <c r="V675" s="13"/>
      <c r="W675" s="17">
        <f>+Tabla3[[#This Row],[Cant. Programada]]*Tabla3[[#This Row],[Precio unit]]</f>
        <v>0</v>
      </c>
      <c r="X675" s="130"/>
      <c r="Y675" s="129"/>
      <c r="Z675" s="8" t="str">
        <f>+Tabla3[[#This Row],[Referencia]]&amp;Tabla3[[#This Row],[Desc detalle ext 1]]</f>
        <v>*CB-110                                           ROJO SPOR</v>
      </c>
      <c r="AA675" s="128" t="e">
        <f>+VLOOKUP(Tabla3[[#This Row],[CODIGO2]],ESTANDAR!$B$3:$C$9,2,FALSE)</f>
        <v>#N/A</v>
      </c>
      <c r="AB675" s="128" t="str">
        <f>+MID(Tabla3[[#This Row],['# Viaje]],10,1)</f>
        <v/>
      </c>
    </row>
    <row r="676" spans="1:28" ht="15" hidden="1" customHeight="1">
      <c r="A676" s="173" t="s">
        <v>1588</v>
      </c>
      <c r="B676" s="174">
        <v>42948</v>
      </c>
      <c r="C676" s="173" t="s">
        <v>1231</v>
      </c>
      <c r="D676" s="173" t="s">
        <v>1487</v>
      </c>
      <c r="E676" s="173" t="s">
        <v>1479</v>
      </c>
      <c r="F676" s="173">
        <v>1</v>
      </c>
      <c r="G676" s="173" t="s">
        <v>87</v>
      </c>
      <c r="H676" s="173">
        <v>1</v>
      </c>
      <c r="I676" s="173" t="s">
        <v>1589</v>
      </c>
      <c r="J676" s="173" t="s">
        <v>14</v>
      </c>
      <c r="K676" s="173" t="s">
        <v>16</v>
      </c>
      <c r="L676" s="173"/>
      <c r="M676" s="173" t="s">
        <v>88</v>
      </c>
      <c r="N676" s="173">
        <v>900485301</v>
      </c>
      <c r="O676" s="175">
        <v>3360504</v>
      </c>
      <c r="P676" s="7"/>
      <c r="Q676" s="16">
        <f>+IF(IFERROR(VLOOKUP(Tabla3[[#This Row],[Cliente factura]],Tabla4[[NIT]:[TOTAL CREDITO]],3,FALSE),0)="",0,IFERROR(VLOOKUP(Tabla3[[#This Row],[Cliente factura]],Tabla4[[NIT]:[TOTAL CREDITO]],3,FALSE),0))</f>
        <v>1290813</v>
      </c>
      <c r="R676" s="9">
        <f>+IFERROR(VLOOKUP(Tabla3[[#This Row],[Cliente factura]],Tabla4[[NIT]:[TOTAL CREDITO]],6,FALSE),0)</f>
        <v>0</v>
      </c>
      <c r="S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6" s="10" t="str">
        <f>VLOOKUP(Tabla3[[#This Row],[Razón social cliente factura]]&amp;Tabla3[[#This Row],[Desc. ciudad]],'Estandar de Rutas'!$C$1:$E$553,2,FALSE)</f>
        <v>10.2</v>
      </c>
      <c r="U676" s="130">
        <f>IFERROR(VLOOKUP(Tabla3[[#This Row],[Referencia]]&amp;Tabla3[[#This Row],[Desc detalle ext 1]],Tabla1[[Referencia-Color]:[Disponibilidad]],3,FALSE),0)</f>
        <v>83</v>
      </c>
      <c r="V676" s="13"/>
      <c r="W676" s="17">
        <f>+Tabla3[[#This Row],[Cant. Programada]]*Tabla3[[#This Row],[Precio unit]]</f>
        <v>0</v>
      </c>
      <c r="X676" s="130"/>
      <c r="Y676" s="129"/>
      <c r="Z676" s="8" t="str">
        <f>+Tabla3[[#This Row],[Referencia]]&amp;Tabla3[[#This Row],[Desc detalle ext 1]]</f>
        <v xml:space="preserve">*CB-110                                           NEGRO    </v>
      </c>
      <c r="AA676" s="128" t="e">
        <f>+VLOOKUP(Tabla3[[#This Row],[CODIGO2]],ESTANDAR!$B$3:$C$9,2,FALSE)</f>
        <v>#N/A</v>
      </c>
      <c r="AB676" s="128" t="str">
        <f>+MID(Tabla3[[#This Row],['# Viaje]],10,1)</f>
        <v/>
      </c>
    </row>
    <row r="677" spans="1:28" ht="15" hidden="1" customHeight="1">
      <c r="A677" s="173" t="s">
        <v>1588</v>
      </c>
      <c r="B677" s="174">
        <v>42948</v>
      </c>
      <c r="C677" s="173" t="s">
        <v>1231</v>
      </c>
      <c r="D677" s="173" t="s">
        <v>1487</v>
      </c>
      <c r="E677" s="173" t="s">
        <v>1479</v>
      </c>
      <c r="F677" s="173">
        <v>1</v>
      </c>
      <c r="G677" s="173" t="s">
        <v>87</v>
      </c>
      <c r="H677" s="173">
        <v>1</v>
      </c>
      <c r="I677" s="173" t="s">
        <v>1589</v>
      </c>
      <c r="J677" s="173" t="s">
        <v>14</v>
      </c>
      <c r="K677" s="173" t="s">
        <v>15</v>
      </c>
      <c r="L677" s="173"/>
      <c r="M677" s="173" t="s">
        <v>88</v>
      </c>
      <c r="N677" s="173">
        <v>900485301</v>
      </c>
      <c r="O677" s="175">
        <v>3360504</v>
      </c>
      <c r="P677" s="7"/>
      <c r="Q677" s="16">
        <f>+IF(IFERROR(VLOOKUP(Tabla3[[#This Row],[Cliente factura]],Tabla4[[NIT]:[TOTAL CREDITO]],3,FALSE),0)="",0,IFERROR(VLOOKUP(Tabla3[[#This Row],[Cliente factura]],Tabla4[[NIT]:[TOTAL CREDITO]],3,FALSE),0))</f>
        <v>1290813</v>
      </c>
      <c r="R677" s="9">
        <f>+IFERROR(VLOOKUP(Tabla3[[#This Row],[Cliente factura]],Tabla4[[NIT]:[TOTAL CREDITO]],6,FALSE),0)</f>
        <v>0</v>
      </c>
      <c r="S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7" s="10" t="str">
        <f>VLOOKUP(Tabla3[[#This Row],[Razón social cliente factura]]&amp;Tabla3[[#This Row],[Desc. ciudad]],'Estandar de Rutas'!$C$1:$E$553,2,FALSE)</f>
        <v>10.2</v>
      </c>
      <c r="U677" s="130">
        <f>IFERROR(VLOOKUP(Tabla3[[#This Row],[Referencia]]&amp;Tabla3[[#This Row],[Desc detalle ext 1]],Tabla1[[Referencia-Color]:[Disponibilidad]],3,FALSE),0)</f>
        <v>99</v>
      </c>
      <c r="V677" s="13"/>
      <c r="W677" s="17">
        <f>+Tabla3[[#This Row],[Cant. Programada]]*Tabla3[[#This Row],[Precio unit]]</f>
        <v>0</v>
      </c>
      <c r="X677" s="130"/>
      <c r="Y677" s="129"/>
      <c r="Z677" s="8" t="str">
        <f>+Tabla3[[#This Row],[Referencia]]&amp;Tabla3[[#This Row],[Desc detalle ext 1]]</f>
        <v>*CB-110                                           AZUL FIJI</v>
      </c>
      <c r="AA677" s="128" t="e">
        <f>+VLOOKUP(Tabla3[[#This Row],[CODIGO2]],ESTANDAR!$B$3:$C$9,2,FALSE)</f>
        <v>#N/A</v>
      </c>
      <c r="AB677" s="128" t="str">
        <f>+MID(Tabla3[[#This Row],['# Viaje]],10,1)</f>
        <v/>
      </c>
    </row>
    <row r="678" spans="1:28" ht="15" hidden="1" customHeight="1">
      <c r="A678" s="173" t="s">
        <v>1588</v>
      </c>
      <c r="B678" s="174">
        <v>42948</v>
      </c>
      <c r="C678" s="173" t="s">
        <v>1231</v>
      </c>
      <c r="D678" s="173" t="s">
        <v>1487</v>
      </c>
      <c r="E678" s="173" t="s">
        <v>1479</v>
      </c>
      <c r="F678" s="173">
        <v>2</v>
      </c>
      <c r="G678" s="173" t="s">
        <v>87</v>
      </c>
      <c r="H678" s="173">
        <v>2</v>
      </c>
      <c r="I678" s="173" t="s">
        <v>1589</v>
      </c>
      <c r="J678" s="173" t="s">
        <v>27</v>
      </c>
      <c r="K678" s="173" t="s">
        <v>32</v>
      </c>
      <c r="L678" s="173"/>
      <c r="M678" s="173" t="s">
        <v>88</v>
      </c>
      <c r="N678" s="173">
        <v>900485301</v>
      </c>
      <c r="O678" s="175">
        <v>5789916</v>
      </c>
      <c r="P678" s="7"/>
      <c r="Q678" s="16">
        <f>+IF(IFERROR(VLOOKUP(Tabla3[[#This Row],[Cliente factura]],Tabla4[[NIT]:[TOTAL CREDITO]],3,FALSE),0)="",0,IFERROR(VLOOKUP(Tabla3[[#This Row],[Cliente factura]],Tabla4[[NIT]:[TOTAL CREDITO]],3,FALSE),0))</f>
        <v>1290813</v>
      </c>
      <c r="R678" s="9">
        <f>+IFERROR(VLOOKUP(Tabla3[[#This Row],[Cliente factura]],Tabla4[[NIT]:[TOTAL CREDITO]],6,FALSE),0)</f>
        <v>0</v>
      </c>
      <c r="S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8" s="10" t="str">
        <f>VLOOKUP(Tabla3[[#This Row],[Razón social cliente factura]]&amp;Tabla3[[#This Row],[Desc. ciudad]],'Estandar de Rutas'!$C$1:$E$553,2,FALSE)</f>
        <v>10.2</v>
      </c>
      <c r="U678" s="130">
        <f>IFERROR(VLOOKUP(Tabla3[[#This Row],[Referencia]]&amp;Tabla3[[#This Row],[Desc detalle ext 1]],Tabla1[[Referencia-Color]:[Disponibilidad]],3,FALSE),0)</f>
        <v>7</v>
      </c>
      <c r="V678" s="13"/>
      <c r="W678" s="17">
        <f>+Tabla3[[#This Row],[Cant. Programada]]*Tabla3[[#This Row],[Precio unit]]</f>
        <v>0</v>
      </c>
      <c r="X678" s="8"/>
      <c r="Y678" s="8"/>
      <c r="Z678" s="8" t="str">
        <f>+Tabla3[[#This Row],[Referencia]]&amp;Tabla3[[#This Row],[Desc detalle ext 1]]</f>
        <v>*XR 150L                                          NEGRO ROJ</v>
      </c>
      <c r="AA678" s="128" t="e">
        <f>+VLOOKUP(Tabla3[[#This Row],[CODIGO2]],ESTANDAR!$B$3:$C$9,2,FALSE)</f>
        <v>#N/A</v>
      </c>
      <c r="AB678" s="128" t="str">
        <f>+MID(Tabla3[[#This Row],['# Viaje]],10,1)</f>
        <v/>
      </c>
    </row>
    <row r="679" spans="1:28" ht="15" hidden="1" customHeight="1">
      <c r="A679" s="173" t="s">
        <v>1588</v>
      </c>
      <c r="B679" s="174">
        <v>42948</v>
      </c>
      <c r="C679" s="173" t="s">
        <v>1231</v>
      </c>
      <c r="D679" s="173" t="s">
        <v>1487</v>
      </c>
      <c r="E679" s="173" t="s">
        <v>1479</v>
      </c>
      <c r="F679" s="173">
        <v>2</v>
      </c>
      <c r="G679" s="173" t="s">
        <v>87</v>
      </c>
      <c r="H679" s="173">
        <v>2</v>
      </c>
      <c r="I679" s="173" t="s">
        <v>1589</v>
      </c>
      <c r="J679" s="173" t="s">
        <v>27</v>
      </c>
      <c r="K679" s="173" t="s">
        <v>26</v>
      </c>
      <c r="L679" s="173"/>
      <c r="M679" s="173" t="s">
        <v>88</v>
      </c>
      <c r="N679" s="173">
        <v>900485301</v>
      </c>
      <c r="O679" s="175">
        <v>5789916</v>
      </c>
      <c r="P679" s="7"/>
      <c r="Q679" s="16">
        <f>+IF(IFERROR(VLOOKUP(Tabla3[[#This Row],[Cliente factura]],Tabla4[[NIT]:[TOTAL CREDITO]],3,FALSE),0)="",0,IFERROR(VLOOKUP(Tabla3[[#This Row],[Cliente factura]],Tabla4[[NIT]:[TOTAL CREDITO]],3,FALSE),0))</f>
        <v>1290813</v>
      </c>
      <c r="R679" s="9">
        <f>+IFERROR(VLOOKUP(Tabla3[[#This Row],[Cliente factura]],Tabla4[[NIT]:[TOTAL CREDITO]],6,FALSE),0)</f>
        <v>0</v>
      </c>
      <c r="S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9" s="10" t="str">
        <f>VLOOKUP(Tabla3[[#This Row],[Razón social cliente factura]]&amp;Tabla3[[#This Row],[Desc. ciudad]],'Estandar de Rutas'!$C$1:$E$553,2,FALSE)</f>
        <v>10.2</v>
      </c>
      <c r="U679" s="130">
        <f>IFERROR(VLOOKUP(Tabla3[[#This Row],[Referencia]]&amp;Tabla3[[#This Row],[Desc detalle ext 1]],Tabla1[[Referencia-Color]:[Disponibilidad]],3,FALSE),0)</f>
        <v>59</v>
      </c>
      <c r="V679" s="13"/>
      <c r="W679" s="17">
        <f>+Tabla3[[#This Row],[Cant. Programada]]*Tabla3[[#This Row],[Precio unit]]</f>
        <v>0</v>
      </c>
      <c r="X679" s="129"/>
      <c r="Y679" s="129"/>
      <c r="Z679" s="8" t="str">
        <f>+Tabla3[[#This Row],[Referencia]]&amp;Tabla3[[#This Row],[Desc detalle ext 1]]</f>
        <v>*XR 150L                                          NEGRO BLA</v>
      </c>
      <c r="AA679" s="128" t="e">
        <f>+VLOOKUP(Tabla3[[#This Row],[CODIGO2]],ESTANDAR!$B$3:$C$9,2,FALSE)</f>
        <v>#N/A</v>
      </c>
      <c r="AB679" s="128" t="str">
        <f>+MID(Tabla3[[#This Row],['# Viaje]],10,1)</f>
        <v/>
      </c>
    </row>
    <row r="680" spans="1:28" ht="15" hidden="1" customHeight="1">
      <c r="A680" s="173" t="s">
        <v>1588</v>
      </c>
      <c r="B680" s="174">
        <v>42948</v>
      </c>
      <c r="C680" s="173" t="s">
        <v>1231</v>
      </c>
      <c r="D680" s="173" t="s">
        <v>1487</v>
      </c>
      <c r="E680" s="173" t="s">
        <v>1479</v>
      </c>
      <c r="F680" s="173">
        <v>2</v>
      </c>
      <c r="G680" s="173" t="s">
        <v>87</v>
      </c>
      <c r="H680" s="173">
        <v>2</v>
      </c>
      <c r="I680" s="173" t="s">
        <v>1589</v>
      </c>
      <c r="J680" s="173" t="s">
        <v>27</v>
      </c>
      <c r="K680" s="173" t="s">
        <v>16</v>
      </c>
      <c r="L680" s="173"/>
      <c r="M680" s="173" t="s">
        <v>88</v>
      </c>
      <c r="N680" s="173">
        <v>900485301</v>
      </c>
      <c r="O680" s="175">
        <v>5789916</v>
      </c>
      <c r="P680" s="7"/>
      <c r="Q680" s="16">
        <f>+IF(IFERROR(VLOOKUP(Tabla3[[#This Row],[Cliente factura]],Tabla4[[NIT]:[TOTAL CREDITO]],3,FALSE),0)="",0,IFERROR(VLOOKUP(Tabla3[[#This Row],[Cliente factura]],Tabla4[[NIT]:[TOTAL CREDITO]],3,FALSE),0))</f>
        <v>1290813</v>
      </c>
      <c r="R680" s="9">
        <f>+IFERROR(VLOOKUP(Tabla3[[#This Row],[Cliente factura]],Tabla4[[NIT]:[TOTAL CREDITO]],6,FALSE),0)</f>
        <v>0</v>
      </c>
      <c r="S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0" s="10" t="str">
        <f>VLOOKUP(Tabla3[[#This Row],[Razón social cliente factura]]&amp;Tabla3[[#This Row],[Desc. ciudad]],'Estandar de Rutas'!$C$1:$E$553,2,FALSE)</f>
        <v>10.2</v>
      </c>
      <c r="U680" s="130">
        <f>IFERROR(VLOOKUP(Tabla3[[#This Row],[Referencia]]&amp;Tabla3[[#This Row],[Desc detalle ext 1]],Tabla1[[Referencia-Color]:[Disponibilidad]],3,FALSE),0)</f>
        <v>3</v>
      </c>
      <c r="V680" s="13"/>
      <c r="W680" s="17">
        <f>+Tabla3[[#This Row],[Cant. Programada]]*Tabla3[[#This Row],[Precio unit]]</f>
        <v>0</v>
      </c>
      <c r="X680" s="129"/>
      <c r="Y680" s="129"/>
      <c r="Z680" s="8" t="str">
        <f>+Tabla3[[#This Row],[Referencia]]&amp;Tabla3[[#This Row],[Desc detalle ext 1]]</f>
        <v xml:space="preserve">*XR 150L                                          NEGRO    </v>
      </c>
      <c r="AA680" s="128" t="e">
        <f>+VLOOKUP(Tabla3[[#This Row],[CODIGO2]],ESTANDAR!$B$3:$C$9,2,FALSE)</f>
        <v>#N/A</v>
      </c>
      <c r="AB680" s="128" t="str">
        <f>+MID(Tabla3[[#This Row],['# Viaje]],10,1)</f>
        <v/>
      </c>
    </row>
    <row r="681" spans="1:28" ht="15" hidden="1" customHeight="1">
      <c r="A681" s="173" t="s">
        <v>1588</v>
      </c>
      <c r="B681" s="174">
        <v>42948</v>
      </c>
      <c r="C681" s="173" t="s">
        <v>1231</v>
      </c>
      <c r="D681" s="173" t="s">
        <v>1487</v>
      </c>
      <c r="E681" s="173" t="s">
        <v>1479</v>
      </c>
      <c r="F681" s="173">
        <v>1</v>
      </c>
      <c r="G681" s="173" t="s">
        <v>87</v>
      </c>
      <c r="H681" s="173">
        <v>1</v>
      </c>
      <c r="I681" s="173" t="s">
        <v>1589</v>
      </c>
      <c r="J681" s="173" t="s">
        <v>1428</v>
      </c>
      <c r="K681" s="173" t="s">
        <v>32</v>
      </c>
      <c r="L681" s="173"/>
      <c r="M681" s="173" t="s">
        <v>88</v>
      </c>
      <c r="N681" s="173">
        <v>900485301</v>
      </c>
      <c r="O681" s="175">
        <v>3067227</v>
      </c>
      <c r="P681" s="7"/>
      <c r="Q681" s="16">
        <f>+IF(IFERROR(VLOOKUP(Tabla3[[#This Row],[Cliente factura]],Tabla4[[NIT]:[TOTAL CREDITO]],3,FALSE),0)="",0,IFERROR(VLOOKUP(Tabla3[[#This Row],[Cliente factura]],Tabla4[[NIT]:[TOTAL CREDITO]],3,FALSE),0))</f>
        <v>1290813</v>
      </c>
      <c r="R681" s="9">
        <f>+IFERROR(VLOOKUP(Tabla3[[#This Row],[Cliente factura]],Tabla4[[NIT]:[TOTAL CREDITO]],6,FALSE),0)</f>
        <v>0</v>
      </c>
      <c r="S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1" s="10" t="str">
        <f>VLOOKUP(Tabla3[[#This Row],[Razón social cliente factura]]&amp;Tabla3[[#This Row],[Desc. ciudad]],'Estandar de Rutas'!$C$1:$E$553,2,FALSE)</f>
        <v>10.2</v>
      </c>
      <c r="U681" s="130">
        <f>IFERROR(VLOOKUP(Tabla3[[#This Row],[Referencia]]&amp;Tabla3[[#This Row],[Desc detalle ext 1]],Tabla1[[Referencia-Color]:[Disponibilidad]],3,FALSE),0)</f>
        <v>0</v>
      </c>
      <c r="V681" s="13"/>
      <c r="W681" s="17">
        <f>+Tabla3[[#This Row],[Cant. Programada]]*Tabla3[[#This Row],[Precio unit]]</f>
        <v>0</v>
      </c>
      <c r="X681" s="130"/>
      <c r="Y681" s="129"/>
      <c r="Z681" s="8" t="str">
        <f>+Tabla3[[#This Row],[Referencia]]&amp;Tabla3[[#This Row],[Desc detalle ext 1]]</f>
        <v>DREAM  NEO                                        NEGRO ROJ</v>
      </c>
      <c r="AA681" s="128" t="e">
        <f>+VLOOKUP(Tabla3[[#This Row],[CODIGO2]],ESTANDAR!$B$3:$C$9,2,FALSE)</f>
        <v>#N/A</v>
      </c>
      <c r="AB681" s="128" t="str">
        <f>+MID(Tabla3[[#This Row],['# Viaje]],10,1)</f>
        <v/>
      </c>
    </row>
    <row r="682" spans="1:28" ht="15" hidden="1" customHeight="1">
      <c r="A682" s="173" t="s">
        <v>1588</v>
      </c>
      <c r="B682" s="174">
        <v>42948</v>
      </c>
      <c r="C682" s="173" t="s">
        <v>1231</v>
      </c>
      <c r="D682" s="173" t="s">
        <v>1487</v>
      </c>
      <c r="E682" s="173" t="s">
        <v>1479</v>
      </c>
      <c r="F682" s="173">
        <v>1</v>
      </c>
      <c r="G682" s="173" t="s">
        <v>87</v>
      </c>
      <c r="H682" s="173">
        <v>1</v>
      </c>
      <c r="I682" s="173" t="s">
        <v>1589</v>
      </c>
      <c r="J682" s="173" t="s">
        <v>1428</v>
      </c>
      <c r="K682" s="173" t="s">
        <v>1429</v>
      </c>
      <c r="L682" s="173"/>
      <c r="M682" s="173" t="s">
        <v>88</v>
      </c>
      <c r="N682" s="173">
        <v>900485301</v>
      </c>
      <c r="O682" s="175">
        <v>3067227</v>
      </c>
      <c r="P682" s="7"/>
      <c r="Q682" s="16">
        <f>+IF(IFERROR(VLOOKUP(Tabla3[[#This Row],[Cliente factura]],Tabla4[[NIT]:[TOTAL CREDITO]],3,FALSE),0)="",0,IFERROR(VLOOKUP(Tabla3[[#This Row],[Cliente factura]],Tabla4[[NIT]:[TOTAL CREDITO]],3,FALSE),0))</f>
        <v>1290813</v>
      </c>
      <c r="R682" s="9">
        <f>+IFERROR(VLOOKUP(Tabla3[[#This Row],[Cliente factura]],Tabla4[[NIT]:[TOTAL CREDITO]],6,FALSE),0)</f>
        <v>0</v>
      </c>
      <c r="S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2" s="10" t="str">
        <f>VLOOKUP(Tabla3[[#This Row],[Razón social cliente factura]]&amp;Tabla3[[#This Row],[Desc. ciudad]],'Estandar de Rutas'!$C$1:$E$553,2,FALSE)</f>
        <v>10.2</v>
      </c>
      <c r="U682" s="130">
        <f>IFERROR(VLOOKUP(Tabla3[[#This Row],[Referencia]]&amp;Tabla3[[#This Row],[Desc detalle ext 1]],Tabla1[[Referencia-Color]:[Disponibilidad]],3,FALSE),0)</f>
        <v>0</v>
      </c>
      <c r="V682" s="13"/>
      <c r="W682" s="17">
        <f>+Tabla3[[#This Row],[Cant. Programada]]*Tabla3[[#This Row],[Precio unit]]</f>
        <v>0</v>
      </c>
      <c r="X682" s="8"/>
      <c r="Y682" s="8"/>
      <c r="Z682" s="8" t="str">
        <f>+Tabla3[[#This Row],[Referencia]]&amp;Tabla3[[#This Row],[Desc detalle ext 1]]</f>
        <v>DREAM  NEO                                        NEGRO AZU</v>
      </c>
      <c r="AA682" s="128" t="e">
        <f>+VLOOKUP(Tabla3[[#This Row],[CODIGO2]],ESTANDAR!$B$3:$C$9,2,FALSE)</f>
        <v>#N/A</v>
      </c>
      <c r="AB682" s="128" t="str">
        <f>+MID(Tabla3[[#This Row],['# Viaje]],10,1)</f>
        <v/>
      </c>
    </row>
    <row r="683" spans="1:28" ht="15" hidden="1" customHeight="1">
      <c r="A683" s="173" t="s">
        <v>1590</v>
      </c>
      <c r="B683" s="174">
        <v>42948</v>
      </c>
      <c r="C683" s="173" t="s">
        <v>1231</v>
      </c>
      <c r="D683" s="173" t="s">
        <v>1237</v>
      </c>
      <c r="E683" s="173" t="s">
        <v>1479</v>
      </c>
      <c r="F683" s="173">
        <v>5</v>
      </c>
      <c r="G683" s="173" t="s">
        <v>71</v>
      </c>
      <c r="H683" s="173">
        <v>5</v>
      </c>
      <c r="I683" s="173" t="s">
        <v>72</v>
      </c>
      <c r="J683" s="173" t="s">
        <v>27</v>
      </c>
      <c r="K683" s="173" t="s">
        <v>26</v>
      </c>
      <c r="L683" s="173"/>
      <c r="M683" s="173" t="s">
        <v>73</v>
      </c>
      <c r="N683" s="173">
        <v>16614938</v>
      </c>
      <c r="O683" s="175">
        <v>5789916</v>
      </c>
      <c r="P683" s="7"/>
      <c r="Q683" s="16">
        <f>+IF(IFERROR(VLOOKUP(Tabla3[[#This Row],[Cliente factura]],Tabla4[[NIT]:[TOTAL CREDITO]],3,FALSE),0)="",0,IFERROR(VLOOKUP(Tabla3[[#This Row],[Cliente factura]],Tabla4[[NIT]:[TOTAL CREDITO]],3,FALSE),0))</f>
        <v>47000000</v>
      </c>
      <c r="R683" s="9">
        <f>+IFERROR(VLOOKUP(Tabla3[[#This Row],[Cliente factura]],Tabla4[[NIT]:[TOTAL CREDITO]],6,FALSE),0)</f>
        <v>325000000</v>
      </c>
      <c r="S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3" s="10" t="str">
        <f>VLOOKUP(Tabla3[[#This Row],[Razón social cliente factura]]&amp;Tabla3[[#This Row],[Desc. ciudad]],'Estandar de Rutas'!$C$1:$E$553,2,FALSE)</f>
        <v>5.2.A</v>
      </c>
      <c r="U683" s="130">
        <f>IFERROR(VLOOKUP(Tabla3[[#This Row],[Referencia]]&amp;Tabla3[[#This Row],[Desc detalle ext 1]],Tabla1[[Referencia-Color]:[Disponibilidad]],3,FALSE),0)</f>
        <v>59</v>
      </c>
      <c r="V683" s="13"/>
      <c r="W683" s="17">
        <f>+Tabla3[[#This Row],[Cant. Programada]]*Tabla3[[#This Row],[Precio unit]]</f>
        <v>0</v>
      </c>
      <c r="X683" s="129"/>
      <c r="Y683" s="129"/>
      <c r="Z683" s="8" t="str">
        <f>+Tabla3[[#This Row],[Referencia]]&amp;Tabla3[[#This Row],[Desc detalle ext 1]]</f>
        <v>*XR 150L                                          NEGRO BLA</v>
      </c>
      <c r="AA683" s="128" t="e">
        <f>+VLOOKUP(Tabla3[[#This Row],[CODIGO2]],ESTANDAR!$B$3:$C$9,2,FALSE)</f>
        <v>#N/A</v>
      </c>
      <c r="AB683" s="128" t="str">
        <f>+MID(Tabla3[[#This Row],['# Viaje]],10,1)</f>
        <v/>
      </c>
    </row>
    <row r="684" spans="1:28" ht="15" hidden="1" customHeight="1">
      <c r="A684" s="173" t="s">
        <v>1590</v>
      </c>
      <c r="B684" s="174">
        <v>42948</v>
      </c>
      <c r="C684" s="173" t="s">
        <v>1231</v>
      </c>
      <c r="D684" s="173" t="s">
        <v>1237</v>
      </c>
      <c r="E684" s="173" t="s">
        <v>1479</v>
      </c>
      <c r="F684" s="173">
        <v>22</v>
      </c>
      <c r="G684" s="173" t="s">
        <v>71</v>
      </c>
      <c r="H684" s="173">
        <v>22</v>
      </c>
      <c r="I684" s="173" t="s">
        <v>72</v>
      </c>
      <c r="J684" s="173" t="s">
        <v>27</v>
      </c>
      <c r="K684" s="173" t="s">
        <v>16</v>
      </c>
      <c r="L684" s="173"/>
      <c r="M684" s="173" t="s">
        <v>73</v>
      </c>
      <c r="N684" s="173">
        <v>16614938</v>
      </c>
      <c r="O684" s="175">
        <v>5789916</v>
      </c>
      <c r="P684" s="7"/>
      <c r="Q684" s="16">
        <f>+IF(IFERROR(VLOOKUP(Tabla3[[#This Row],[Cliente factura]],Tabla4[[NIT]:[TOTAL CREDITO]],3,FALSE),0)="",0,IFERROR(VLOOKUP(Tabla3[[#This Row],[Cliente factura]],Tabla4[[NIT]:[TOTAL CREDITO]],3,FALSE),0))</f>
        <v>47000000</v>
      </c>
      <c r="R684" s="9">
        <f>+IFERROR(VLOOKUP(Tabla3[[#This Row],[Cliente factura]],Tabla4[[NIT]:[TOTAL CREDITO]],6,FALSE),0)</f>
        <v>325000000</v>
      </c>
      <c r="S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4" s="10" t="str">
        <f>VLOOKUP(Tabla3[[#This Row],[Razón social cliente factura]]&amp;Tabla3[[#This Row],[Desc. ciudad]],'Estandar de Rutas'!$C$1:$E$553,2,FALSE)</f>
        <v>5.2.A</v>
      </c>
      <c r="U684" s="130">
        <f>IFERROR(VLOOKUP(Tabla3[[#This Row],[Referencia]]&amp;Tabla3[[#This Row],[Desc detalle ext 1]],Tabla1[[Referencia-Color]:[Disponibilidad]],3,FALSE),0)</f>
        <v>3</v>
      </c>
      <c r="V684" s="13"/>
      <c r="W684" s="17">
        <f>+Tabla3[[#This Row],[Cant. Programada]]*Tabla3[[#This Row],[Precio unit]]</f>
        <v>0</v>
      </c>
      <c r="X684" s="8"/>
      <c r="Y684" s="8"/>
      <c r="Z684" s="8" t="str">
        <f>+Tabla3[[#This Row],[Referencia]]&amp;Tabla3[[#This Row],[Desc detalle ext 1]]</f>
        <v xml:space="preserve">*XR 150L                                          NEGRO    </v>
      </c>
      <c r="AA684" s="128" t="e">
        <f>+VLOOKUP(Tabla3[[#This Row],[CODIGO2]],ESTANDAR!$B$3:$C$9,2,FALSE)</f>
        <v>#N/A</v>
      </c>
      <c r="AB684" s="128" t="str">
        <f>+MID(Tabla3[[#This Row],['# Viaje]],10,1)</f>
        <v/>
      </c>
    </row>
    <row r="685" spans="1:28" ht="15" hidden="1" customHeight="1">
      <c r="A685" s="173" t="s">
        <v>1590</v>
      </c>
      <c r="B685" s="174">
        <v>42948</v>
      </c>
      <c r="C685" s="173" t="s">
        <v>1231</v>
      </c>
      <c r="D685" s="173" t="s">
        <v>1237</v>
      </c>
      <c r="E685" s="173" t="s">
        <v>1479</v>
      </c>
      <c r="F685" s="173">
        <v>2</v>
      </c>
      <c r="G685" s="173" t="s">
        <v>71</v>
      </c>
      <c r="H685" s="173">
        <v>2</v>
      </c>
      <c r="I685" s="173" t="s">
        <v>72</v>
      </c>
      <c r="J685" s="173" t="s">
        <v>354</v>
      </c>
      <c r="K685" s="173" t="s">
        <v>17</v>
      </c>
      <c r="L685" s="173"/>
      <c r="M685" s="173" t="s">
        <v>73</v>
      </c>
      <c r="N685" s="173">
        <v>16614938</v>
      </c>
      <c r="O685" s="175">
        <v>6133613</v>
      </c>
      <c r="P685" s="7"/>
      <c r="Q685" s="16">
        <f>+IF(IFERROR(VLOOKUP(Tabla3[[#This Row],[Cliente factura]],Tabla4[[NIT]:[TOTAL CREDITO]],3,FALSE),0)="",0,IFERROR(VLOOKUP(Tabla3[[#This Row],[Cliente factura]],Tabla4[[NIT]:[TOTAL CREDITO]],3,FALSE),0))</f>
        <v>47000000</v>
      </c>
      <c r="R685" s="9">
        <f>+IFERROR(VLOOKUP(Tabla3[[#This Row],[Cliente factura]],Tabla4[[NIT]:[TOTAL CREDITO]],6,FALSE),0)</f>
        <v>325000000</v>
      </c>
      <c r="S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5" s="10" t="str">
        <f>VLOOKUP(Tabla3[[#This Row],[Razón social cliente factura]]&amp;Tabla3[[#This Row],[Desc. ciudad]],'Estandar de Rutas'!$C$1:$E$553,2,FALSE)</f>
        <v>5.2.A</v>
      </c>
      <c r="U685" s="130">
        <f>IFERROR(VLOOKUP(Tabla3[[#This Row],[Referencia]]&amp;Tabla3[[#This Row],[Desc detalle ext 1]],Tabla1[[Referencia-Color]:[Disponibilidad]],3,FALSE),0)</f>
        <v>48</v>
      </c>
      <c r="V685" s="13"/>
      <c r="W685" s="17">
        <f>+Tabla3[[#This Row],[Cant. Programada]]*Tabla3[[#This Row],[Precio unit]]</f>
        <v>0</v>
      </c>
      <c r="X685" s="129"/>
      <c r="Y685" s="129"/>
      <c r="Z685" s="8" t="str">
        <f>+Tabla3[[#This Row],[Referencia]]&amp;Tabla3[[#This Row],[Desc detalle ext 1]]</f>
        <v>CB 160F DLX                                       ROJO SPOR</v>
      </c>
      <c r="AA685" s="128" t="e">
        <f>+VLOOKUP(Tabla3[[#This Row],[CODIGO2]],ESTANDAR!$B$3:$C$9,2,FALSE)</f>
        <v>#N/A</v>
      </c>
      <c r="AB685" s="128" t="str">
        <f>+MID(Tabla3[[#This Row],['# Viaje]],10,1)</f>
        <v/>
      </c>
    </row>
    <row r="686" spans="1:28" ht="15" hidden="1" customHeight="1">
      <c r="A686" s="173" t="s">
        <v>1590</v>
      </c>
      <c r="B686" s="174">
        <v>42948</v>
      </c>
      <c r="C686" s="173" t="s">
        <v>1231</v>
      </c>
      <c r="D686" s="173" t="s">
        <v>1237</v>
      </c>
      <c r="E686" s="173" t="s">
        <v>1479</v>
      </c>
      <c r="F686" s="173">
        <v>1</v>
      </c>
      <c r="G686" s="173" t="s">
        <v>71</v>
      </c>
      <c r="H686" s="173">
        <v>1</v>
      </c>
      <c r="I686" s="173" t="s">
        <v>72</v>
      </c>
      <c r="J686" s="173" t="s">
        <v>354</v>
      </c>
      <c r="K686" s="173" t="s">
        <v>355</v>
      </c>
      <c r="L686" s="173"/>
      <c r="M686" s="173" t="s">
        <v>73</v>
      </c>
      <c r="N686" s="173">
        <v>16614938</v>
      </c>
      <c r="O686" s="175">
        <v>6133613</v>
      </c>
      <c r="P686" s="7"/>
      <c r="Q686" s="16">
        <f>+IF(IFERROR(VLOOKUP(Tabla3[[#This Row],[Cliente factura]],Tabla4[[NIT]:[TOTAL CREDITO]],3,FALSE),0)="",0,IFERROR(VLOOKUP(Tabla3[[#This Row],[Cliente factura]],Tabla4[[NIT]:[TOTAL CREDITO]],3,FALSE),0))</f>
        <v>47000000</v>
      </c>
      <c r="R686" s="9">
        <f>+IFERROR(VLOOKUP(Tabla3[[#This Row],[Cliente factura]],Tabla4[[NIT]:[TOTAL CREDITO]],6,FALSE),0)</f>
        <v>325000000</v>
      </c>
      <c r="S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6" s="10" t="str">
        <f>VLOOKUP(Tabla3[[#This Row],[Razón social cliente factura]]&amp;Tabla3[[#This Row],[Desc. ciudad]],'Estandar de Rutas'!$C$1:$E$553,2,FALSE)</f>
        <v>5.2.A</v>
      </c>
      <c r="U686" s="130">
        <f>IFERROR(VLOOKUP(Tabla3[[#This Row],[Referencia]]&amp;Tabla3[[#This Row],[Desc detalle ext 1]],Tabla1[[Referencia-Color]:[Disponibilidad]],3,FALSE),0)</f>
        <v>0</v>
      </c>
      <c r="V686" s="13"/>
      <c r="W686" s="17">
        <f>+Tabla3[[#This Row],[Cant. Programada]]*Tabla3[[#This Row],[Precio unit]]</f>
        <v>0</v>
      </c>
      <c r="X686" s="129"/>
      <c r="Y686" s="129"/>
      <c r="Z686" s="8" t="str">
        <f>+Tabla3[[#This Row],[Referencia]]&amp;Tabla3[[#This Row],[Desc detalle ext 1]]</f>
        <v>CB 160F DLX                                       NEGRO PER</v>
      </c>
      <c r="AA686" s="128" t="e">
        <f>+VLOOKUP(Tabla3[[#This Row],[CODIGO2]],ESTANDAR!$B$3:$C$9,2,FALSE)</f>
        <v>#N/A</v>
      </c>
      <c r="AB686" s="128" t="str">
        <f>+MID(Tabla3[[#This Row],['# Viaje]],10,1)</f>
        <v/>
      </c>
    </row>
    <row r="687" spans="1:28" ht="15" hidden="1" customHeight="1">
      <c r="A687" s="173" t="s">
        <v>1590</v>
      </c>
      <c r="B687" s="174">
        <v>42948</v>
      </c>
      <c r="C687" s="173" t="s">
        <v>1231</v>
      </c>
      <c r="D687" s="173" t="s">
        <v>1237</v>
      </c>
      <c r="E687" s="173" t="s">
        <v>1479</v>
      </c>
      <c r="F687" s="173">
        <v>10</v>
      </c>
      <c r="G687" s="173" t="s">
        <v>71</v>
      </c>
      <c r="H687" s="173">
        <v>10</v>
      </c>
      <c r="I687" s="173" t="s">
        <v>72</v>
      </c>
      <c r="J687" s="173" t="s">
        <v>1433</v>
      </c>
      <c r="K687" s="173" t="s">
        <v>1434</v>
      </c>
      <c r="L687" s="173"/>
      <c r="M687" s="173" t="s">
        <v>73</v>
      </c>
      <c r="N687" s="173">
        <v>16614938</v>
      </c>
      <c r="O687" s="175">
        <v>3521008</v>
      </c>
      <c r="P687" s="7"/>
      <c r="Q687" s="16">
        <f>+IF(IFERROR(VLOOKUP(Tabla3[[#This Row],[Cliente factura]],Tabla4[[NIT]:[TOTAL CREDITO]],3,FALSE),0)="",0,IFERROR(VLOOKUP(Tabla3[[#This Row],[Cliente factura]],Tabla4[[NIT]:[TOTAL CREDITO]],3,FALSE),0))</f>
        <v>47000000</v>
      </c>
      <c r="R687" s="9">
        <f>+IFERROR(VLOOKUP(Tabla3[[#This Row],[Cliente factura]],Tabla4[[NIT]:[TOTAL CREDITO]],6,FALSE),0)</f>
        <v>325000000</v>
      </c>
      <c r="S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7" s="10" t="str">
        <f>VLOOKUP(Tabla3[[#This Row],[Razón social cliente factura]]&amp;Tabla3[[#This Row],[Desc. ciudad]],'Estandar de Rutas'!$C$1:$E$553,2,FALSE)</f>
        <v>5.2.A</v>
      </c>
      <c r="U687" s="130">
        <f>IFERROR(VLOOKUP(Tabla3[[#This Row],[Referencia]]&amp;Tabla3[[#This Row],[Desc detalle ext 1]],Tabla1[[Referencia-Color]:[Disponibilidad]],3,FALSE),0)</f>
        <v>23</v>
      </c>
      <c r="V687" s="13"/>
      <c r="W687" s="17">
        <f>+Tabla3[[#This Row],[Cant. Programada]]*Tabla3[[#This Row],[Precio unit]]</f>
        <v>0</v>
      </c>
      <c r="X687" s="8"/>
      <c r="Y687" s="8"/>
      <c r="Z687" s="8" t="str">
        <f>+Tabla3[[#This Row],[Referencia]]&amp;Tabla3[[#This Row],[Desc detalle ext 1]]</f>
        <v>DIO  110                                          BLANCO NE</v>
      </c>
      <c r="AA687" s="128" t="e">
        <f>+VLOOKUP(Tabla3[[#This Row],[CODIGO2]],ESTANDAR!$B$3:$C$9,2,FALSE)</f>
        <v>#N/A</v>
      </c>
      <c r="AB687" s="128" t="str">
        <f>+MID(Tabla3[[#This Row],['# Viaje]],10,1)</f>
        <v/>
      </c>
    </row>
    <row r="688" spans="1:28" ht="15" hidden="1" customHeight="1">
      <c r="A688" s="173" t="s">
        <v>1590</v>
      </c>
      <c r="B688" s="174">
        <v>42948</v>
      </c>
      <c r="C688" s="173" t="s">
        <v>1231</v>
      </c>
      <c r="D688" s="173" t="s">
        <v>1237</v>
      </c>
      <c r="E688" s="173" t="s">
        <v>1479</v>
      </c>
      <c r="F688" s="173">
        <v>3</v>
      </c>
      <c r="G688" s="173" t="s">
        <v>71</v>
      </c>
      <c r="H688" s="173">
        <v>3</v>
      </c>
      <c r="I688" s="173" t="s">
        <v>72</v>
      </c>
      <c r="J688" s="173" t="s">
        <v>1433</v>
      </c>
      <c r="K688" s="173" t="s">
        <v>1431</v>
      </c>
      <c r="L688" s="173"/>
      <c r="M688" s="173" t="s">
        <v>73</v>
      </c>
      <c r="N688" s="173">
        <v>16614938</v>
      </c>
      <c r="O688" s="175">
        <v>3521008</v>
      </c>
      <c r="P688" s="7"/>
      <c r="Q688" s="16">
        <f>+IF(IFERROR(VLOOKUP(Tabla3[[#This Row],[Cliente factura]],Tabla4[[NIT]:[TOTAL CREDITO]],3,FALSE),0)="",0,IFERROR(VLOOKUP(Tabla3[[#This Row],[Cliente factura]],Tabla4[[NIT]:[TOTAL CREDITO]],3,FALSE),0))</f>
        <v>47000000</v>
      </c>
      <c r="R688" s="9">
        <f>+IFERROR(VLOOKUP(Tabla3[[#This Row],[Cliente factura]],Tabla4[[NIT]:[TOTAL CREDITO]],6,FALSE),0)</f>
        <v>325000000</v>
      </c>
      <c r="S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8" s="10" t="str">
        <f>VLOOKUP(Tabla3[[#This Row],[Razón social cliente factura]]&amp;Tabla3[[#This Row],[Desc. ciudad]],'Estandar de Rutas'!$C$1:$E$553,2,FALSE)</f>
        <v>5.2.A</v>
      </c>
      <c r="U688" s="130">
        <f>IFERROR(VLOOKUP(Tabla3[[#This Row],[Referencia]]&amp;Tabla3[[#This Row],[Desc detalle ext 1]],Tabla1[[Referencia-Color]:[Disponibilidad]],3,FALSE),0)</f>
        <v>0</v>
      </c>
      <c r="V688" s="13"/>
      <c r="W688" s="17">
        <f>+Tabla3[[#This Row],[Cant. Programada]]*Tabla3[[#This Row],[Precio unit]]</f>
        <v>0</v>
      </c>
      <c r="X688" s="129"/>
      <c r="Y688" s="129"/>
      <c r="Z688" s="8" t="str">
        <f>+Tabla3[[#This Row],[Referencia]]&amp;Tabla3[[#This Row],[Desc detalle ext 1]]</f>
        <v xml:space="preserve">DIO  110                                          ROJO     </v>
      </c>
      <c r="AA688" s="128" t="e">
        <f>+VLOOKUP(Tabla3[[#This Row],[CODIGO2]],ESTANDAR!$B$3:$C$9,2,FALSE)</f>
        <v>#N/A</v>
      </c>
      <c r="AB688" s="128" t="str">
        <f>+MID(Tabla3[[#This Row],['# Viaje]],10,1)</f>
        <v/>
      </c>
    </row>
    <row r="689" spans="1:28" ht="15" hidden="1" customHeight="1">
      <c r="A689" s="173" t="s">
        <v>1590</v>
      </c>
      <c r="B689" s="174">
        <v>42948</v>
      </c>
      <c r="C689" s="173" t="s">
        <v>1231</v>
      </c>
      <c r="D689" s="173" t="s">
        <v>1237</v>
      </c>
      <c r="E689" s="173" t="s">
        <v>1479</v>
      </c>
      <c r="F689" s="173">
        <v>5</v>
      </c>
      <c r="G689" s="173" t="s">
        <v>71</v>
      </c>
      <c r="H689" s="173">
        <v>5</v>
      </c>
      <c r="I689" s="173" t="s">
        <v>72</v>
      </c>
      <c r="J689" s="173" t="s">
        <v>1433</v>
      </c>
      <c r="K689" s="173" t="s">
        <v>1452</v>
      </c>
      <c r="L689" s="173"/>
      <c r="M689" s="173" t="s">
        <v>73</v>
      </c>
      <c r="N689" s="173">
        <v>16614938</v>
      </c>
      <c r="O689" s="175">
        <v>3521008</v>
      </c>
      <c r="P689" s="7"/>
      <c r="Q689" s="16">
        <f>+IF(IFERROR(VLOOKUP(Tabla3[[#This Row],[Cliente factura]],Tabla4[[NIT]:[TOTAL CREDITO]],3,FALSE),0)="",0,IFERROR(VLOOKUP(Tabla3[[#This Row],[Cliente factura]],Tabla4[[NIT]:[TOTAL CREDITO]],3,FALSE),0))</f>
        <v>47000000</v>
      </c>
      <c r="R689" s="9">
        <f>+IFERROR(VLOOKUP(Tabla3[[#This Row],[Cliente factura]],Tabla4[[NIT]:[TOTAL CREDITO]],6,FALSE),0)</f>
        <v>325000000</v>
      </c>
      <c r="S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9" s="10" t="str">
        <f>VLOOKUP(Tabla3[[#This Row],[Razón social cliente factura]]&amp;Tabla3[[#This Row],[Desc. ciudad]],'Estandar de Rutas'!$C$1:$E$553,2,FALSE)</f>
        <v>5.2.A</v>
      </c>
      <c r="U689" s="130">
        <f>IFERROR(VLOOKUP(Tabla3[[#This Row],[Referencia]]&amp;Tabla3[[#This Row],[Desc detalle ext 1]],Tabla1[[Referencia-Color]:[Disponibilidad]],3,FALSE),0)</f>
        <v>0</v>
      </c>
      <c r="V689" s="13"/>
      <c r="W689" s="17">
        <f>+Tabla3[[#This Row],[Cant. Programada]]*Tabla3[[#This Row],[Precio unit]]</f>
        <v>0</v>
      </c>
      <c r="X689" s="130"/>
      <c r="Y689" s="8"/>
      <c r="Z689" s="8" t="str">
        <f>+Tabla3[[#This Row],[Referencia]]&amp;Tabla3[[#This Row],[Desc detalle ext 1]]</f>
        <v xml:space="preserve">DIO  110                                          AZUL     </v>
      </c>
      <c r="AA689" s="128" t="e">
        <f>+VLOOKUP(Tabla3[[#This Row],[CODIGO2]],ESTANDAR!$B$3:$C$9,2,FALSE)</f>
        <v>#N/A</v>
      </c>
      <c r="AB689" s="128" t="str">
        <f>+MID(Tabla3[[#This Row],['# Viaje]],10,1)</f>
        <v/>
      </c>
    </row>
    <row r="690" spans="1:28" ht="15" hidden="1" customHeight="1">
      <c r="A690" s="173" t="s">
        <v>1590</v>
      </c>
      <c r="B690" s="174">
        <v>42948</v>
      </c>
      <c r="C690" s="173" t="s">
        <v>1231</v>
      </c>
      <c r="D690" s="173" t="s">
        <v>1237</v>
      </c>
      <c r="E690" s="173" t="s">
        <v>1479</v>
      </c>
      <c r="F690" s="173">
        <v>1</v>
      </c>
      <c r="G690" s="173" t="s">
        <v>71</v>
      </c>
      <c r="H690" s="173">
        <v>1</v>
      </c>
      <c r="I690" s="173" t="s">
        <v>72</v>
      </c>
      <c r="J690" s="173" t="s">
        <v>1428</v>
      </c>
      <c r="K690" s="173" t="s">
        <v>1461</v>
      </c>
      <c r="L690" s="173"/>
      <c r="M690" s="173" t="s">
        <v>73</v>
      </c>
      <c r="N690" s="173">
        <v>16614938</v>
      </c>
      <c r="O690" s="175">
        <v>3067227</v>
      </c>
      <c r="P690" s="7"/>
      <c r="Q690" s="16">
        <f>+IF(IFERROR(VLOOKUP(Tabla3[[#This Row],[Cliente factura]],Tabla4[[NIT]:[TOTAL CREDITO]],3,FALSE),0)="",0,IFERROR(VLOOKUP(Tabla3[[#This Row],[Cliente factura]],Tabla4[[NIT]:[TOTAL CREDITO]],3,FALSE),0))</f>
        <v>47000000</v>
      </c>
      <c r="R690" s="9">
        <f>+IFERROR(VLOOKUP(Tabla3[[#This Row],[Cliente factura]],Tabla4[[NIT]:[TOTAL CREDITO]],6,FALSE),0)</f>
        <v>325000000</v>
      </c>
      <c r="S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0" s="10" t="str">
        <f>VLOOKUP(Tabla3[[#This Row],[Razón social cliente factura]]&amp;Tabla3[[#This Row],[Desc. ciudad]],'Estandar de Rutas'!$C$1:$E$553,2,FALSE)</f>
        <v>5.2.A</v>
      </c>
      <c r="U690" s="130">
        <f>IFERROR(VLOOKUP(Tabla3[[#This Row],[Referencia]]&amp;Tabla3[[#This Row],[Desc detalle ext 1]],Tabla1[[Referencia-Color]:[Disponibilidad]],3,FALSE),0)</f>
        <v>0</v>
      </c>
      <c r="V690" s="13"/>
      <c r="W690" s="17">
        <f>+Tabla3[[#This Row],[Cant. Programada]]*Tabla3[[#This Row],[Precio unit]]</f>
        <v>0</v>
      </c>
      <c r="X690" s="8"/>
      <c r="Y690" s="8"/>
      <c r="Z690" s="8" t="str">
        <f>+Tabla3[[#This Row],[Referencia]]&amp;Tabla3[[#This Row],[Desc detalle ext 1]]</f>
        <v>DREAM  NEO                                        ROJO ALFA</v>
      </c>
      <c r="AA690" s="128" t="e">
        <f>+VLOOKUP(Tabla3[[#This Row],[CODIGO2]],ESTANDAR!$B$3:$C$9,2,FALSE)</f>
        <v>#N/A</v>
      </c>
      <c r="AB690" s="128" t="str">
        <f>+MID(Tabla3[[#This Row],['# Viaje]],10,1)</f>
        <v/>
      </c>
    </row>
    <row r="691" spans="1:28" ht="15" hidden="1" customHeight="1">
      <c r="A691" s="173" t="s">
        <v>1590</v>
      </c>
      <c r="B691" s="174">
        <v>42948</v>
      </c>
      <c r="C691" s="173" t="s">
        <v>1231</v>
      </c>
      <c r="D691" s="173" t="s">
        <v>1237</v>
      </c>
      <c r="E691" s="173" t="s">
        <v>1479</v>
      </c>
      <c r="F691" s="173">
        <v>8</v>
      </c>
      <c r="G691" s="173" t="s">
        <v>71</v>
      </c>
      <c r="H691" s="173">
        <v>8</v>
      </c>
      <c r="I691" s="173" t="s">
        <v>72</v>
      </c>
      <c r="J691" s="173" t="s">
        <v>1428</v>
      </c>
      <c r="K691" s="173" t="s">
        <v>1429</v>
      </c>
      <c r="L691" s="173"/>
      <c r="M691" s="173" t="s">
        <v>73</v>
      </c>
      <c r="N691" s="173">
        <v>16614938</v>
      </c>
      <c r="O691" s="175">
        <v>3067227</v>
      </c>
      <c r="P691" s="7"/>
      <c r="Q691" s="16">
        <f>+IF(IFERROR(VLOOKUP(Tabla3[[#This Row],[Cliente factura]],Tabla4[[NIT]:[TOTAL CREDITO]],3,FALSE),0)="",0,IFERROR(VLOOKUP(Tabla3[[#This Row],[Cliente factura]],Tabla4[[NIT]:[TOTAL CREDITO]],3,FALSE),0))</f>
        <v>47000000</v>
      </c>
      <c r="R691" s="9">
        <f>+IFERROR(VLOOKUP(Tabla3[[#This Row],[Cliente factura]],Tabla4[[NIT]:[TOTAL CREDITO]],6,FALSE),0)</f>
        <v>325000000</v>
      </c>
      <c r="S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1" s="10" t="str">
        <f>VLOOKUP(Tabla3[[#This Row],[Razón social cliente factura]]&amp;Tabla3[[#This Row],[Desc. ciudad]],'Estandar de Rutas'!$C$1:$E$553,2,FALSE)</f>
        <v>5.2.A</v>
      </c>
      <c r="U691" s="130">
        <f>IFERROR(VLOOKUP(Tabla3[[#This Row],[Referencia]]&amp;Tabla3[[#This Row],[Desc detalle ext 1]],Tabla1[[Referencia-Color]:[Disponibilidad]],3,FALSE),0)</f>
        <v>0</v>
      </c>
      <c r="V691" s="13"/>
      <c r="W691" s="17">
        <f>+Tabla3[[#This Row],[Cant. Programada]]*Tabla3[[#This Row],[Precio unit]]</f>
        <v>0</v>
      </c>
      <c r="X691" s="8"/>
      <c r="Y691" s="8"/>
      <c r="Z691" s="8" t="str">
        <f>+Tabla3[[#This Row],[Referencia]]&amp;Tabla3[[#This Row],[Desc detalle ext 1]]</f>
        <v>DREAM  NEO                                        NEGRO AZU</v>
      </c>
      <c r="AA691" s="128" t="e">
        <f>+VLOOKUP(Tabla3[[#This Row],[CODIGO2]],ESTANDAR!$B$3:$C$9,2,FALSE)</f>
        <v>#N/A</v>
      </c>
      <c r="AB691" s="128" t="str">
        <f>+MID(Tabla3[[#This Row],['# Viaje]],10,1)</f>
        <v/>
      </c>
    </row>
    <row r="692" spans="1:28" ht="15" hidden="1" customHeight="1">
      <c r="A692" s="173" t="s">
        <v>1590</v>
      </c>
      <c r="B692" s="174">
        <v>42948</v>
      </c>
      <c r="C692" s="173" t="s">
        <v>1231</v>
      </c>
      <c r="D692" s="173" t="s">
        <v>1237</v>
      </c>
      <c r="E692" s="173" t="s">
        <v>1479</v>
      </c>
      <c r="F692" s="173">
        <v>8</v>
      </c>
      <c r="G692" s="173" t="s">
        <v>71</v>
      </c>
      <c r="H692" s="173">
        <v>8</v>
      </c>
      <c r="I692" s="173" t="s">
        <v>72</v>
      </c>
      <c r="J692" s="173" t="s">
        <v>1430</v>
      </c>
      <c r="K692" s="173" t="s">
        <v>16</v>
      </c>
      <c r="L692" s="173"/>
      <c r="M692" s="173" t="s">
        <v>73</v>
      </c>
      <c r="N692" s="173">
        <v>16614938</v>
      </c>
      <c r="O692" s="175">
        <v>3941176</v>
      </c>
      <c r="P692" s="7"/>
      <c r="Q692" s="16">
        <f>+IF(IFERROR(VLOOKUP(Tabla3[[#This Row],[Cliente factura]],Tabla4[[NIT]:[TOTAL CREDITO]],3,FALSE),0)="",0,IFERROR(VLOOKUP(Tabla3[[#This Row],[Cliente factura]],Tabla4[[NIT]:[TOTAL CREDITO]],3,FALSE),0))</f>
        <v>47000000</v>
      </c>
      <c r="R692" s="9">
        <f>+IFERROR(VLOOKUP(Tabla3[[#This Row],[Cliente factura]],Tabla4[[NIT]:[TOTAL CREDITO]],6,FALSE),0)</f>
        <v>325000000</v>
      </c>
      <c r="S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2" s="10" t="str">
        <f>VLOOKUP(Tabla3[[#This Row],[Razón social cliente factura]]&amp;Tabla3[[#This Row],[Desc. ciudad]],'Estandar de Rutas'!$C$1:$E$553,2,FALSE)</f>
        <v>5.2.A</v>
      </c>
      <c r="U692" s="130">
        <f>IFERROR(VLOOKUP(Tabla3[[#This Row],[Referencia]]&amp;Tabla3[[#This Row],[Desc detalle ext 1]],Tabla1[[Referencia-Color]:[Disponibilidad]],3,FALSE),0)</f>
        <v>0</v>
      </c>
      <c r="V692" s="13"/>
      <c r="W692" s="17">
        <f>+Tabla3[[#This Row],[Cant. Programada]]*Tabla3[[#This Row],[Precio unit]]</f>
        <v>0</v>
      </c>
      <c r="X692" s="8"/>
      <c r="Y692" s="8"/>
      <c r="Z692" s="8" t="str">
        <f>+Tabla3[[#This Row],[Referencia]]&amp;Tabla3[[#This Row],[Desc detalle ext 1]]</f>
        <v xml:space="preserve">WAVE 110S                                         NEGRO    </v>
      </c>
      <c r="AA692" s="128" t="e">
        <f>+VLOOKUP(Tabla3[[#This Row],[CODIGO2]],ESTANDAR!$B$3:$C$9,2,FALSE)</f>
        <v>#N/A</v>
      </c>
      <c r="AB692" s="128" t="str">
        <f>+MID(Tabla3[[#This Row],['# Viaje]],10,1)</f>
        <v/>
      </c>
    </row>
    <row r="693" spans="1:28" ht="15" hidden="1" customHeight="1">
      <c r="A693" s="173" t="s">
        <v>1590</v>
      </c>
      <c r="B693" s="174">
        <v>42948</v>
      </c>
      <c r="C693" s="173" t="s">
        <v>1231</v>
      </c>
      <c r="D693" s="173" t="s">
        <v>1237</v>
      </c>
      <c r="E693" s="173" t="s">
        <v>1479</v>
      </c>
      <c r="F693" s="173">
        <v>6</v>
      </c>
      <c r="G693" s="173" t="s">
        <v>71</v>
      </c>
      <c r="H693" s="173">
        <v>6</v>
      </c>
      <c r="I693" s="173" t="s">
        <v>72</v>
      </c>
      <c r="J693" s="173" t="s">
        <v>1430</v>
      </c>
      <c r="K693" s="173" t="s">
        <v>1431</v>
      </c>
      <c r="L693" s="173"/>
      <c r="M693" s="173" t="s">
        <v>73</v>
      </c>
      <c r="N693" s="173">
        <v>16614938</v>
      </c>
      <c r="O693" s="175">
        <v>3941176</v>
      </c>
      <c r="P693" s="7"/>
      <c r="Q693" s="16">
        <f>+IF(IFERROR(VLOOKUP(Tabla3[[#This Row],[Cliente factura]],Tabla4[[NIT]:[TOTAL CREDITO]],3,FALSE),0)="",0,IFERROR(VLOOKUP(Tabla3[[#This Row],[Cliente factura]],Tabla4[[NIT]:[TOTAL CREDITO]],3,FALSE),0))</f>
        <v>47000000</v>
      </c>
      <c r="R693" s="9">
        <f>+IFERROR(VLOOKUP(Tabla3[[#This Row],[Cliente factura]],Tabla4[[NIT]:[TOTAL CREDITO]],6,FALSE),0)</f>
        <v>325000000</v>
      </c>
      <c r="S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3" s="10" t="str">
        <f>VLOOKUP(Tabla3[[#This Row],[Razón social cliente factura]]&amp;Tabla3[[#This Row],[Desc. ciudad]],'Estandar de Rutas'!$C$1:$E$553,2,FALSE)</f>
        <v>5.2.A</v>
      </c>
      <c r="U693" s="130">
        <f>IFERROR(VLOOKUP(Tabla3[[#This Row],[Referencia]]&amp;Tabla3[[#This Row],[Desc detalle ext 1]],Tabla1[[Referencia-Color]:[Disponibilidad]],3,FALSE),0)</f>
        <v>0</v>
      </c>
      <c r="V693" s="13"/>
      <c r="W693" s="17">
        <f>+Tabla3[[#This Row],[Cant. Programada]]*Tabla3[[#This Row],[Precio unit]]</f>
        <v>0</v>
      </c>
      <c r="X693" s="8"/>
      <c r="Y693" s="8"/>
      <c r="Z693" s="8" t="str">
        <f>+Tabla3[[#This Row],[Referencia]]&amp;Tabla3[[#This Row],[Desc detalle ext 1]]</f>
        <v xml:space="preserve">WAVE 110S                                         ROJO     </v>
      </c>
      <c r="AA693" s="128" t="e">
        <f>+VLOOKUP(Tabla3[[#This Row],[CODIGO2]],ESTANDAR!$B$3:$C$9,2,FALSE)</f>
        <v>#N/A</v>
      </c>
      <c r="AB693" s="128" t="str">
        <f>+MID(Tabla3[[#This Row],['# Viaje]],10,1)</f>
        <v/>
      </c>
    </row>
    <row r="694" spans="1:28" ht="15" hidden="1" customHeight="1">
      <c r="A694" s="173" t="s">
        <v>1590</v>
      </c>
      <c r="B694" s="174">
        <v>42948</v>
      </c>
      <c r="C694" s="173" t="s">
        <v>1231</v>
      </c>
      <c r="D694" s="173" t="s">
        <v>1237</v>
      </c>
      <c r="E694" s="173" t="s">
        <v>1479</v>
      </c>
      <c r="F694" s="173">
        <v>4</v>
      </c>
      <c r="G694" s="173" t="s">
        <v>71</v>
      </c>
      <c r="H694" s="173">
        <v>4</v>
      </c>
      <c r="I694" s="173" t="s">
        <v>72</v>
      </c>
      <c r="J694" s="173" t="s">
        <v>1234</v>
      </c>
      <c r="K694" s="173" t="s">
        <v>44</v>
      </c>
      <c r="L694" s="173"/>
      <c r="M694" s="173" t="s">
        <v>73</v>
      </c>
      <c r="N694" s="173">
        <v>16614938</v>
      </c>
      <c r="O694" s="175">
        <v>5453782</v>
      </c>
      <c r="P694" s="7"/>
      <c r="Q694" s="16">
        <f>+IF(IFERROR(VLOOKUP(Tabla3[[#This Row],[Cliente factura]],Tabla4[[NIT]:[TOTAL CREDITO]],3,FALSE),0)="",0,IFERROR(VLOOKUP(Tabla3[[#This Row],[Cliente factura]],Tabla4[[NIT]:[TOTAL CREDITO]],3,FALSE),0))</f>
        <v>47000000</v>
      </c>
      <c r="R694" s="9">
        <f>+IFERROR(VLOOKUP(Tabla3[[#This Row],[Cliente factura]],Tabla4[[NIT]:[TOTAL CREDITO]],6,FALSE),0)</f>
        <v>325000000</v>
      </c>
      <c r="S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4" s="10" t="str">
        <f>VLOOKUP(Tabla3[[#This Row],[Razón social cliente factura]]&amp;Tabla3[[#This Row],[Desc. ciudad]],'Estandar de Rutas'!$C$1:$E$553,2,FALSE)</f>
        <v>5.2.A</v>
      </c>
      <c r="U694" s="130">
        <f>IFERROR(VLOOKUP(Tabla3[[#This Row],[Referencia]]&amp;Tabla3[[#This Row],[Desc detalle ext 1]],Tabla1[[Referencia-Color]:[Disponibilidad]],3,FALSE),0)</f>
        <v>1</v>
      </c>
      <c r="V694" s="13"/>
      <c r="W694" s="17">
        <f>+Tabla3[[#This Row],[Cant. Programada]]*Tabla3[[#This Row],[Precio unit]]</f>
        <v>0</v>
      </c>
      <c r="X694" s="130"/>
      <c r="Y694" s="8"/>
      <c r="Z694" s="8" t="str">
        <f>+Tabla3[[#This Row],[Referencia]]&amp;Tabla3[[#This Row],[Desc detalle ext 1]]</f>
        <v>CB 160F STD                                       BLANCO PE</v>
      </c>
      <c r="AA694" s="128" t="e">
        <f>+VLOOKUP(Tabla3[[#This Row],[CODIGO2]],ESTANDAR!$B$3:$C$9,2,FALSE)</f>
        <v>#N/A</v>
      </c>
      <c r="AB694" s="128" t="str">
        <f>+MID(Tabla3[[#This Row],['# Viaje]],10,1)</f>
        <v/>
      </c>
    </row>
    <row r="695" spans="1:28" ht="15" hidden="1" customHeight="1">
      <c r="A695" s="173" t="s">
        <v>1590</v>
      </c>
      <c r="B695" s="174">
        <v>42948</v>
      </c>
      <c r="C695" s="173" t="s">
        <v>1231</v>
      </c>
      <c r="D695" s="173" t="s">
        <v>1237</v>
      </c>
      <c r="E695" s="173" t="s">
        <v>1479</v>
      </c>
      <c r="F695" s="173">
        <v>4</v>
      </c>
      <c r="G695" s="173" t="s">
        <v>71</v>
      </c>
      <c r="H695" s="173">
        <v>4</v>
      </c>
      <c r="I695" s="173" t="s">
        <v>72</v>
      </c>
      <c r="J695" s="173" t="s">
        <v>1234</v>
      </c>
      <c r="K695" s="173" t="s">
        <v>355</v>
      </c>
      <c r="L695" s="173"/>
      <c r="M695" s="173" t="s">
        <v>73</v>
      </c>
      <c r="N695" s="173">
        <v>16614938</v>
      </c>
      <c r="O695" s="175">
        <v>5453782</v>
      </c>
      <c r="P695" s="7"/>
      <c r="Q695" s="16">
        <f>+IF(IFERROR(VLOOKUP(Tabla3[[#This Row],[Cliente factura]],Tabla4[[NIT]:[TOTAL CREDITO]],3,FALSE),0)="",0,IFERROR(VLOOKUP(Tabla3[[#This Row],[Cliente factura]],Tabla4[[NIT]:[TOTAL CREDITO]],3,FALSE),0))</f>
        <v>47000000</v>
      </c>
      <c r="R695" s="9">
        <f>+IFERROR(VLOOKUP(Tabla3[[#This Row],[Cliente factura]],Tabla4[[NIT]:[TOTAL CREDITO]],6,FALSE),0)</f>
        <v>325000000</v>
      </c>
      <c r="S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5" s="10" t="str">
        <f>VLOOKUP(Tabla3[[#This Row],[Razón social cliente factura]]&amp;Tabla3[[#This Row],[Desc. ciudad]],'Estandar de Rutas'!$C$1:$E$553,2,FALSE)</f>
        <v>5.2.A</v>
      </c>
      <c r="U695" s="130">
        <f>IFERROR(VLOOKUP(Tabla3[[#This Row],[Referencia]]&amp;Tabla3[[#This Row],[Desc detalle ext 1]],Tabla1[[Referencia-Color]:[Disponibilidad]],3,FALSE),0)</f>
        <v>0</v>
      </c>
      <c r="V695" s="13"/>
      <c r="W695" s="17">
        <f>+Tabla3[[#This Row],[Cant. Programada]]*Tabla3[[#This Row],[Precio unit]]</f>
        <v>0</v>
      </c>
      <c r="X695" s="8"/>
      <c r="Y695" s="8"/>
      <c r="Z695" s="8" t="str">
        <f>+Tabla3[[#This Row],[Referencia]]&amp;Tabla3[[#This Row],[Desc detalle ext 1]]</f>
        <v>CB 160F STD                                       NEGRO PER</v>
      </c>
      <c r="AA695" s="128" t="e">
        <f>+VLOOKUP(Tabla3[[#This Row],[CODIGO2]],ESTANDAR!$B$3:$C$9,2,FALSE)</f>
        <v>#N/A</v>
      </c>
      <c r="AB695" s="128" t="str">
        <f>+MID(Tabla3[[#This Row],['# Viaje]],10,1)</f>
        <v/>
      </c>
    </row>
    <row r="696" spans="1:28" ht="15" hidden="1" customHeight="1">
      <c r="A696" s="173" t="s">
        <v>1590</v>
      </c>
      <c r="B696" s="174">
        <v>42948</v>
      </c>
      <c r="C696" s="173" t="s">
        <v>1231</v>
      </c>
      <c r="D696" s="173" t="s">
        <v>1237</v>
      </c>
      <c r="E696" s="173" t="s">
        <v>1479</v>
      </c>
      <c r="F696" s="173">
        <v>10</v>
      </c>
      <c r="G696" s="173" t="s">
        <v>71</v>
      </c>
      <c r="H696" s="173">
        <v>10</v>
      </c>
      <c r="I696" s="173" t="s">
        <v>72</v>
      </c>
      <c r="J696" s="173" t="s">
        <v>1451</v>
      </c>
      <c r="K696" s="173" t="s">
        <v>1452</v>
      </c>
      <c r="L696" s="173"/>
      <c r="M696" s="173" t="s">
        <v>73</v>
      </c>
      <c r="N696" s="173">
        <v>16614938</v>
      </c>
      <c r="O696" s="175">
        <v>3696639</v>
      </c>
      <c r="P696" s="7"/>
      <c r="Q696" s="16">
        <f>+IF(IFERROR(VLOOKUP(Tabla3[[#This Row],[Cliente factura]],Tabla4[[NIT]:[TOTAL CREDITO]],3,FALSE),0)="",0,IFERROR(VLOOKUP(Tabla3[[#This Row],[Cliente factura]],Tabla4[[NIT]:[TOTAL CREDITO]],3,FALSE),0))</f>
        <v>47000000</v>
      </c>
      <c r="R696" s="9">
        <f>+IFERROR(VLOOKUP(Tabla3[[#This Row],[Cliente factura]],Tabla4[[NIT]:[TOTAL CREDITO]],6,FALSE),0)</f>
        <v>325000000</v>
      </c>
      <c r="S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6" s="10" t="str">
        <f>VLOOKUP(Tabla3[[#This Row],[Razón social cliente factura]]&amp;Tabla3[[#This Row],[Desc. ciudad]],'Estandar de Rutas'!$C$1:$E$553,2,FALSE)</f>
        <v>5.2.A</v>
      </c>
      <c r="U696" s="130">
        <f>IFERROR(VLOOKUP(Tabla3[[#This Row],[Referencia]]&amp;Tabla3[[#This Row],[Desc detalle ext 1]],Tabla1[[Referencia-Color]:[Disponibilidad]],3,FALSE),0)</f>
        <v>21</v>
      </c>
      <c r="V696" s="13"/>
      <c r="W696" s="17">
        <f>+Tabla3[[#This Row],[Cant. Programada]]*Tabla3[[#This Row],[Precio unit]]</f>
        <v>0</v>
      </c>
      <c r="X696" s="8"/>
      <c r="Y696" s="8"/>
      <c r="Z696" s="8" t="str">
        <f>+Tabla3[[#This Row],[Referencia]]&amp;Tabla3[[#This Row],[Desc detalle ext 1]]</f>
        <v xml:space="preserve">CB 110 DLX                                        AZUL     </v>
      </c>
      <c r="AA696" s="128" t="e">
        <f>+VLOOKUP(Tabla3[[#This Row],[CODIGO2]],ESTANDAR!$B$3:$C$9,2,FALSE)</f>
        <v>#N/A</v>
      </c>
      <c r="AB696" s="128" t="str">
        <f>+MID(Tabla3[[#This Row],['# Viaje]],10,1)</f>
        <v/>
      </c>
    </row>
    <row r="697" spans="1:28" ht="15" hidden="1" customHeight="1">
      <c r="A697" s="173" t="s">
        <v>1590</v>
      </c>
      <c r="B697" s="174">
        <v>42948</v>
      </c>
      <c r="C697" s="173" t="s">
        <v>1231</v>
      </c>
      <c r="D697" s="173" t="s">
        <v>1237</v>
      </c>
      <c r="E697" s="173" t="s">
        <v>1479</v>
      </c>
      <c r="F697" s="173">
        <v>10</v>
      </c>
      <c r="G697" s="173" t="s">
        <v>71</v>
      </c>
      <c r="H697" s="173">
        <v>10</v>
      </c>
      <c r="I697" s="173" t="s">
        <v>72</v>
      </c>
      <c r="J697" s="173" t="s">
        <v>1451</v>
      </c>
      <c r="K697" s="173" t="s">
        <v>1449</v>
      </c>
      <c r="L697" s="173"/>
      <c r="M697" s="173" t="s">
        <v>73</v>
      </c>
      <c r="N697" s="173">
        <v>16614938</v>
      </c>
      <c r="O697" s="175">
        <v>3696639</v>
      </c>
      <c r="P697" s="7"/>
      <c r="Q697" s="16">
        <f>+IF(IFERROR(VLOOKUP(Tabla3[[#This Row],[Cliente factura]],Tabla4[[NIT]:[TOTAL CREDITO]],3,FALSE),0)="",0,IFERROR(VLOOKUP(Tabla3[[#This Row],[Cliente factura]],Tabla4[[NIT]:[TOTAL CREDITO]],3,FALSE),0))</f>
        <v>47000000</v>
      </c>
      <c r="R697" s="9">
        <f>+IFERROR(VLOOKUP(Tabla3[[#This Row],[Cliente factura]],Tabla4[[NIT]:[TOTAL CREDITO]],6,FALSE),0)</f>
        <v>325000000</v>
      </c>
      <c r="S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7" s="10" t="str">
        <f>VLOOKUP(Tabla3[[#This Row],[Razón social cliente factura]]&amp;Tabla3[[#This Row],[Desc. ciudad]],'Estandar de Rutas'!$C$1:$E$553,2,FALSE)</f>
        <v>5.2.A</v>
      </c>
      <c r="U697" s="130">
        <f>IFERROR(VLOOKUP(Tabla3[[#This Row],[Referencia]]&amp;Tabla3[[#This Row],[Desc detalle ext 1]],Tabla1[[Referencia-Color]:[Disponibilidad]],3,FALSE),0)</f>
        <v>24</v>
      </c>
      <c r="V697" s="13"/>
      <c r="W697" s="17">
        <f>+Tabla3[[#This Row],[Cant. Programada]]*Tabla3[[#This Row],[Precio unit]]</f>
        <v>0</v>
      </c>
      <c r="X697" s="129"/>
      <c r="Y697" s="8"/>
      <c r="Z697" s="8" t="str">
        <f>+Tabla3[[#This Row],[Referencia]]&amp;Tabla3[[#This Row],[Desc detalle ext 1]]</f>
        <v xml:space="preserve">CB 110 DLX                                        GRIS     </v>
      </c>
      <c r="AA697" s="128" t="e">
        <f>+VLOOKUP(Tabla3[[#This Row],[CODIGO2]],ESTANDAR!$B$3:$C$9,2,FALSE)</f>
        <v>#N/A</v>
      </c>
      <c r="AB697" s="128" t="str">
        <f>+MID(Tabla3[[#This Row],['# Viaje]],10,1)</f>
        <v/>
      </c>
    </row>
    <row r="698" spans="1:28" ht="15" hidden="1" customHeight="1">
      <c r="A698" s="173" t="s">
        <v>1590</v>
      </c>
      <c r="B698" s="174">
        <v>42948</v>
      </c>
      <c r="C698" s="173" t="s">
        <v>1231</v>
      </c>
      <c r="D698" s="173" t="s">
        <v>1237</v>
      </c>
      <c r="E698" s="173" t="s">
        <v>1479</v>
      </c>
      <c r="F698" s="173">
        <v>55</v>
      </c>
      <c r="G698" s="173" t="s">
        <v>71</v>
      </c>
      <c r="H698" s="173">
        <v>55</v>
      </c>
      <c r="I698" s="173" t="s">
        <v>72</v>
      </c>
      <c r="J698" s="173" t="s">
        <v>1451</v>
      </c>
      <c r="K698" s="173" t="s">
        <v>16</v>
      </c>
      <c r="L698" s="173"/>
      <c r="M698" s="173" t="s">
        <v>73</v>
      </c>
      <c r="N698" s="173">
        <v>16614938</v>
      </c>
      <c r="O698" s="175">
        <v>3696639</v>
      </c>
      <c r="P698" s="7"/>
      <c r="Q698" s="16">
        <f>+IF(IFERROR(VLOOKUP(Tabla3[[#This Row],[Cliente factura]],Tabla4[[NIT]:[TOTAL CREDITO]],3,FALSE),0)="",0,IFERROR(VLOOKUP(Tabla3[[#This Row],[Cliente factura]],Tabla4[[NIT]:[TOTAL CREDITO]],3,FALSE),0))</f>
        <v>47000000</v>
      </c>
      <c r="R698" s="9">
        <f>+IFERROR(VLOOKUP(Tabla3[[#This Row],[Cliente factura]],Tabla4[[NIT]:[TOTAL CREDITO]],6,FALSE),0)</f>
        <v>325000000</v>
      </c>
      <c r="S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8" s="10" t="str">
        <f>VLOOKUP(Tabla3[[#This Row],[Razón social cliente factura]]&amp;Tabla3[[#This Row],[Desc. ciudad]],'Estandar de Rutas'!$C$1:$E$553,2,FALSE)</f>
        <v>5.2.A</v>
      </c>
      <c r="U698" s="130">
        <f>IFERROR(VLOOKUP(Tabla3[[#This Row],[Referencia]]&amp;Tabla3[[#This Row],[Desc detalle ext 1]],Tabla1[[Referencia-Color]:[Disponibilidad]],3,FALSE),0)</f>
        <v>3</v>
      </c>
      <c r="V698" s="13"/>
      <c r="W698" s="17">
        <f>+Tabla3[[#This Row],[Cant. Programada]]*Tabla3[[#This Row],[Precio unit]]</f>
        <v>0</v>
      </c>
      <c r="X698" s="129"/>
      <c r="Y698" s="129"/>
      <c r="Z698" s="8" t="str">
        <f>+Tabla3[[#This Row],[Referencia]]&amp;Tabla3[[#This Row],[Desc detalle ext 1]]</f>
        <v xml:space="preserve">CB 110 DLX                                        NEGRO    </v>
      </c>
      <c r="AA698" s="128" t="e">
        <f>+VLOOKUP(Tabla3[[#This Row],[CODIGO2]],ESTANDAR!$B$3:$C$9,2,FALSE)</f>
        <v>#N/A</v>
      </c>
      <c r="AB698" s="128" t="str">
        <f>+MID(Tabla3[[#This Row],['# Viaje]],10,1)</f>
        <v/>
      </c>
    </row>
    <row r="699" spans="1:28" ht="15" hidden="1" customHeight="1">
      <c r="A699" s="173" t="s">
        <v>1591</v>
      </c>
      <c r="B699" s="174">
        <v>42948</v>
      </c>
      <c r="C699" s="173" t="s">
        <v>1231</v>
      </c>
      <c r="D699" s="173" t="s">
        <v>1478</v>
      </c>
      <c r="E699" s="173" t="s">
        <v>1479</v>
      </c>
      <c r="F699" s="173">
        <v>6</v>
      </c>
      <c r="G699" s="173" t="s">
        <v>59</v>
      </c>
      <c r="H699" s="173">
        <v>6</v>
      </c>
      <c r="I699" s="173" t="s">
        <v>1553</v>
      </c>
      <c r="J699" s="173" t="s">
        <v>1451</v>
      </c>
      <c r="K699" s="173" t="s">
        <v>16</v>
      </c>
      <c r="L699" s="173"/>
      <c r="M699" s="173" t="s">
        <v>60</v>
      </c>
      <c r="N699" s="173">
        <v>891903377</v>
      </c>
      <c r="O699" s="175">
        <v>3696639</v>
      </c>
      <c r="P699" s="7"/>
      <c r="Q699" s="16">
        <f>+IF(IFERROR(VLOOKUP(Tabla3[[#This Row],[Cliente factura]],Tabla4[[NIT]:[TOTAL CREDITO]],3,FALSE),0)="",0,IFERROR(VLOOKUP(Tabla3[[#This Row],[Cliente factura]],Tabla4[[NIT]:[TOTAL CREDITO]],3,FALSE),0))</f>
        <v>116885711</v>
      </c>
      <c r="R699" s="9">
        <f>+IFERROR(VLOOKUP(Tabla3[[#This Row],[Cliente factura]],Tabla4[[NIT]:[TOTAL CREDITO]],6,FALSE),0)</f>
        <v>0</v>
      </c>
      <c r="S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9" s="10" t="str">
        <f>VLOOKUP(Tabla3[[#This Row],[Razón social cliente factura]]&amp;Tabla3[[#This Row],[Desc. ciudad]],'Estandar de Rutas'!$C$1:$E$553,2,FALSE)</f>
        <v>1.1</v>
      </c>
      <c r="U699" s="130">
        <f>IFERROR(VLOOKUP(Tabla3[[#This Row],[Referencia]]&amp;Tabla3[[#This Row],[Desc detalle ext 1]],Tabla1[[Referencia-Color]:[Disponibilidad]],3,FALSE),0)</f>
        <v>3</v>
      </c>
      <c r="V699" s="13"/>
      <c r="W699" s="17">
        <f>+Tabla3[[#This Row],[Cant. Programada]]*Tabla3[[#This Row],[Precio unit]]</f>
        <v>0</v>
      </c>
      <c r="X699" s="8"/>
      <c r="Y699" s="8"/>
      <c r="Z699" s="8" t="str">
        <f>+Tabla3[[#This Row],[Referencia]]&amp;Tabla3[[#This Row],[Desc detalle ext 1]]</f>
        <v xml:space="preserve">CB 110 DLX                                        NEGRO    </v>
      </c>
      <c r="AA699" s="128" t="e">
        <f>+VLOOKUP(Tabla3[[#This Row],[CODIGO2]],ESTANDAR!$B$3:$C$9,2,FALSE)</f>
        <v>#N/A</v>
      </c>
      <c r="AB699" s="128" t="str">
        <f>+MID(Tabla3[[#This Row],['# Viaje]],10,1)</f>
        <v/>
      </c>
    </row>
    <row r="700" spans="1:28" ht="15" hidden="1" customHeight="1">
      <c r="A700" s="173" t="s">
        <v>1592</v>
      </c>
      <c r="B700" s="174">
        <v>42948</v>
      </c>
      <c r="C700" s="173" t="s">
        <v>1231</v>
      </c>
      <c r="D700" s="173" t="s">
        <v>1237</v>
      </c>
      <c r="E700" s="173" t="s">
        <v>1479</v>
      </c>
      <c r="F700" s="173">
        <v>1</v>
      </c>
      <c r="G700" s="173" t="s">
        <v>35</v>
      </c>
      <c r="H700" s="173">
        <v>1</v>
      </c>
      <c r="I700" s="173" t="s">
        <v>35</v>
      </c>
      <c r="J700" s="173" t="s">
        <v>27</v>
      </c>
      <c r="K700" s="173" t="s">
        <v>32</v>
      </c>
      <c r="L700" s="173"/>
      <c r="M700" s="173" t="s">
        <v>255</v>
      </c>
      <c r="N700" s="173">
        <v>14011711</v>
      </c>
      <c r="O700" s="175">
        <v>5789916</v>
      </c>
      <c r="P700" s="7"/>
      <c r="Q700" s="16">
        <f>+IF(IFERROR(VLOOKUP(Tabla3[[#This Row],[Cliente factura]],Tabla4[[NIT]:[TOTAL CREDITO]],3,FALSE),0)="",0,IFERROR(VLOOKUP(Tabla3[[#This Row],[Cliente factura]],Tabla4[[NIT]:[TOTAL CREDITO]],3,FALSE),0))</f>
        <v>20739828</v>
      </c>
      <c r="R700" s="9">
        <f>+IFERROR(VLOOKUP(Tabla3[[#This Row],[Cliente factura]],Tabla4[[NIT]:[TOTAL CREDITO]],6,FALSE),0)</f>
        <v>200000000</v>
      </c>
      <c r="S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0" s="10" t="str">
        <f>VLOOKUP(Tabla3[[#This Row],[Razón social cliente factura]]&amp;Tabla3[[#This Row],[Desc. ciudad]],'Estandar de Rutas'!$C$1:$E$553,2,FALSE)</f>
        <v>7.1</v>
      </c>
      <c r="U700" s="130">
        <f>IFERROR(VLOOKUP(Tabla3[[#This Row],[Referencia]]&amp;Tabla3[[#This Row],[Desc detalle ext 1]],Tabla1[[Referencia-Color]:[Disponibilidad]],3,FALSE),0)</f>
        <v>7</v>
      </c>
      <c r="V700" s="13"/>
      <c r="W700" s="17">
        <f>+Tabla3[[#This Row],[Cant. Programada]]*Tabla3[[#This Row],[Precio unit]]</f>
        <v>0</v>
      </c>
      <c r="X700" s="8"/>
      <c r="Y700" s="8"/>
      <c r="Z700" s="8" t="str">
        <f>+Tabla3[[#This Row],[Referencia]]&amp;Tabla3[[#This Row],[Desc detalle ext 1]]</f>
        <v>*XR 150L                                          NEGRO ROJ</v>
      </c>
      <c r="AA700" s="128" t="e">
        <f>+VLOOKUP(Tabla3[[#This Row],[CODIGO2]],ESTANDAR!$B$3:$C$9,2,FALSE)</f>
        <v>#N/A</v>
      </c>
      <c r="AB700" s="128" t="str">
        <f>+MID(Tabla3[[#This Row],['# Viaje]],10,1)</f>
        <v/>
      </c>
    </row>
    <row r="701" spans="1:28" ht="15" hidden="1" customHeight="1">
      <c r="A701" s="173" t="s">
        <v>1592</v>
      </c>
      <c r="B701" s="174">
        <v>42948</v>
      </c>
      <c r="C701" s="173" t="s">
        <v>1231</v>
      </c>
      <c r="D701" s="173" t="s">
        <v>1237</v>
      </c>
      <c r="E701" s="173" t="s">
        <v>1479</v>
      </c>
      <c r="F701" s="173">
        <v>1</v>
      </c>
      <c r="G701" s="173" t="s">
        <v>35</v>
      </c>
      <c r="H701" s="173">
        <v>1</v>
      </c>
      <c r="I701" s="173" t="s">
        <v>35</v>
      </c>
      <c r="J701" s="173" t="s">
        <v>10</v>
      </c>
      <c r="K701" s="173" t="s">
        <v>11</v>
      </c>
      <c r="L701" s="173"/>
      <c r="M701" s="173" t="s">
        <v>255</v>
      </c>
      <c r="N701" s="173">
        <v>14011711</v>
      </c>
      <c r="O701" s="175">
        <v>7554622</v>
      </c>
      <c r="P701" s="7"/>
      <c r="Q701" s="16">
        <f>+IF(IFERROR(VLOOKUP(Tabla3[[#This Row],[Cliente factura]],Tabla4[[NIT]:[TOTAL CREDITO]],3,FALSE),0)="",0,IFERROR(VLOOKUP(Tabla3[[#This Row],[Cliente factura]],Tabla4[[NIT]:[TOTAL CREDITO]],3,FALSE),0))</f>
        <v>20739828</v>
      </c>
      <c r="R701" s="9">
        <f>+IFERROR(VLOOKUP(Tabla3[[#This Row],[Cliente factura]],Tabla4[[NIT]:[TOTAL CREDITO]],6,FALSE),0)</f>
        <v>200000000</v>
      </c>
      <c r="S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1" s="10" t="str">
        <f>VLOOKUP(Tabla3[[#This Row],[Razón social cliente factura]]&amp;Tabla3[[#This Row],[Desc. ciudad]],'Estandar de Rutas'!$C$1:$E$553,2,FALSE)</f>
        <v>7.1</v>
      </c>
      <c r="U701" s="130">
        <f>IFERROR(VLOOKUP(Tabla3[[#This Row],[Referencia]]&amp;Tabla3[[#This Row],[Desc detalle ext 1]],Tabla1[[Referencia-Color]:[Disponibilidad]],3,FALSE),0)</f>
        <v>0</v>
      </c>
      <c r="V701" s="13"/>
      <c r="W701" s="17">
        <f>+Tabla3[[#This Row],[Cant. Programada]]*Tabla3[[#This Row],[Precio unit]]</f>
        <v>0</v>
      </c>
      <c r="X701" s="8"/>
      <c r="Y701" s="8"/>
      <c r="Z701" s="8" t="str">
        <f>+Tabla3[[#This Row],[Referencia]]&amp;Tabla3[[#This Row],[Desc detalle ext 1]]</f>
        <v>CB 190R                                           NEGRO ONI</v>
      </c>
      <c r="AA701" s="128" t="e">
        <f>+VLOOKUP(Tabla3[[#This Row],[CODIGO2]],ESTANDAR!$B$3:$C$9,2,FALSE)</f>
        <v>#N/A</v>
      </c>
      <c r="AB701" s="128" t="str">
        <f>+MID(Tabla3[[#This Row],['# Viaje]],10,1)</f>
        <v/>
      </c>
    </row>
    <row r="702" spans="1:28" ht="15" hidden="1" customHeight="1">
      <c r="A702" s="173" t="s">
        <v>1592</v>
      </c>
      <c r="B702" s="174">
        <v>42948</v>
      </c>
      <c r="C702" s="173" t="s">
        <v>1231</v>
      </c>
      <c r="D702" s="173" t="s">
        <v>1237</v>
      </c>
      <c r="E702" s="173" t="s">
        <v>1479</v>
      </c>
      <c r="F702" s="173">
        <v>1</v>
      </c>
      <c r="G702" s="173" t="s">
        <v>35</v>
      </c>
      <c r="H702" s="173">
        <v>1</v>
      </c>
      <c r="I702" s="173" t="s">
        <v>35</v>
      </c>
      <c r="J702" s="173" t="s">
        <v>354</v>
      </c>
      <c r="K702" s="173" t="s">
        <v>355</v>
      </c>
      <c r="L702" s="173"/>
      <c r="M702" s="173" t="s">
        <v>255</v>
      </c>
      <c r="N702" s="173">
        <v>14011711</v>
      </c>
      <c r="O702" s="175">
        <v>6133613</v>
      </c>
      <c r="P702" s="7"/>
      <c r="Q702" s="16">
        <f>+IF(IFERROR(VLOOKUP(Tabla3[[#This Row],[Cliente factura]],Tabla4[[NIT]:[TOTAL CREDITO]],3,FALSE),0)="",0,IFERROR(VLOOKUP(Tabla3[[#This Row],[Cliente factura]],Tabla4[[NIT]:[TOTAL CREDITO]],3,FALSE),0))</f>
        <v>20739828</v>
      </c>
      <c r="R702" s="9">
        <f>+IFERROR(VLOOKUP(Tabla3[[#This Row],[Cliente factura]],Tabla4[[NIT]:[TOTAL CREDITO]],6,FALSE),0)</f>
        <v>200000000</v>
      </c>
      <c r="S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2" s="10" t="str">
        <f>VLOOKUP(Tabla3[[#This Row],[Razón social cliente factura]]&amp;Tabla3[[#This Row],[Desc. ciudad]],'Estandar de Rutas'!$C$1:$E$553,2,FALSE)</f>
        <v>7.1</v>
      </c>
      <c r="U702" s="130">
        <f>IFERROR(VLOOKUP(Tabla3[[#This Row],[Referencia]]&amp;Tabla3[[#This Row],[Desc detalle ext 1]],Tabla1[[Referencia-Color]:[Disponibilidad]],3,FALSE),0)</f>
        <v>0</v>
      </c>
      <c r="V702" s="13"/>
      <c r="W702" s="17">
        <f>+Tabla3[[#This Row],[Cant. Programada]]*Tabla3[[#This Row],[Precio unit]]</f>
        <v>0</v>
      </c>
      <c r="X702" s="8"/>
      <c r="Y702" s="8"/>
      <c r="Z702" s="8" t="str">
        <f>+Tabla3[[#This Row],[Referencia]]&amp;Tabla3[[#This Row],[Desc detalle ext 1]]</f>
        <v>CB 160F DLX                                       NEGRO PER</v>
      </c>
      <c r="AA702" s="128" t="e">
        <f>+VLOOKUP(Tabla3[[#This Row],[CODIGO2]],ESTANDAR!$B$3:$C$9,2,FALSE)</f>
        <v>#N/A</v>
      </c>
      <c r="AB702" s="128" t="str">
        <f>+MID(Tabla3[[#This Row],['# Viaje]],10,1)</f>
        <v/>
      </c>
    </row>
    <row r="703" spans="1:28" ht="15" hidden="1" customHeight="1">
      <c r="A703" s="173" t="s">
        <v>1592</v>
      </c>
      <c r="B703" s="174">
        <v>42948</v>
      </c>
      <c r="C703" s="173" t="s">
        <v>1231</v>
      </c>
      <c r="D703" s="173" t="s">
        <v>1237</v>
      </c>
      <c r="E703" s="173" t="s">
        <v>1479</v>
      </c>
      <c r="F703" s="173">
        <v>1</v>
      </c>
      <c r="G703" s="173" t="s">
        <v>35</v>
      </c>
      <c r="H703" s="173">
        <v>1</v>
      </c>
      <c r="I703" s="173" t="s">
        <v>35</v>
      </c>
      <c r="J703" s="173" t="s">
        <v>354</v>
      </c>
      <c r="K703" s="173" t="s">
        <v>17</v>
      </c>
      <c r="L703" s="173"/>
      <c r="M703" s="173" t="s">
        <v>255</v>
      </c>
      <c r="N703" s="173">
        <v>14011711</v>
      </c>
      <c r="O703" s="175">
        <v>6133613</v>
      </c>
      <c r="P703" s="7"/>
      <c r="Q703" s="16">
        <f>+IF(IFERROR(VLOOKUP(Tabla3[[#This Row],[Cliente factura]],Tabla4[[NIT]:[TOTAL CREDITO]],3,FALSE),0)="",0,IFERROR(VLOOKUP(Tabla3[[#This Row],[Cliente factura]],Tabla4[[NIT]:[TOTAL CREDITO]],3,FALSE),0))</f>
        <v>20739828</v>
      </c>
      <c r="R703" s="9">
        <f>+IFERROR(VLOOKUP(Tabla3[[#This Row],[Cliente factura]],Tabla4[[NIT]:[TOTAL CREDITO]],6,FALSE),0)</f>
        <v>200000000</v>
      </c>
      <c r="S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3" s="10" t="str">
        <f>VLOOKUP(Tabla3[[#This Row],[Razón social cliente factura]]&amp;Tabla3[[#This Row],[Desc. ciudad]],'Estandar de Rutas'!$C$1:$E$553,2,FALSE)</f>
        <v>7.1</v>
      </c>
      <c r="U703" s="130">
        <f>IFERROR(VLOOKUP(Tabla3[[#This Row],[Referencia]]&amp;Tabla3[[#This Row],[Desc detalle ext 1]],Tabla1[[Referencia-Color]:[Disponibilidad]],3,FALSE),0)</f>
        <v>48</v>
      </c>
      <c r="V703" s="13"/>
      <c r="W703" s="17">
        <f>+Tabla3[[#This Row],[Cant. Programada]]*Tabla3[[#This Row],[Precio unit]]</f>
        <v>0</v>
      </c>
      <c r="X703" s="8"/>
      <c r="Y703" s="8"/>
      <c r="Z703" s="8" t="str">
        <f>+Tabla3[[#This Row],[Referencia]]&amp;Tabla3[[#This Row],[Desc detalle ext 1]]</f>
        <v>CB 160F DLX                                       ROJO SPOR</v>
      </c>
      <c r="AA703" s="128" t="e">
        <f>+VLOOKUP(Tabla3[[#This Row],[CODIGO2]],ESTANDAR!$B$3:$C$9,2,FALSE)</f>
        <v>#N/A</v>
      </c>
      <c r="AB703" s="128" t="str">
        <f>+MID(Tabla3[[#This Row],['# Viaje]],10,1)</f>
        <v/>
      </c>
    </row>
    <row r="704" spans="1:28" ht="15" hidden="1" customHeight="1">
      <c r="A704" s="173" t="s">
        <v>1592</v>
      </c>
      <c r="B704" s="174">
        <v>42948</v>
      </c>
      <c r="C704" s="173" t="s">
        <v>1231</v>
      </c>
      <c r="D704" s="173" t="s">
        <v>1237</v>
      </c>
      <c r="E704" s="173" t="s">
        <v>1479</v>
      </c>
      <c r="F704" s="173">
        <v>1</v>
      </c>
      <c r="G704" s="173" t="s">
        <v>35</v>
      </c>
      <c r="H704" s="173">
        <v>1</v>
      </c>
      <c r="I704" s="173" t="s">
        <v>35</v>
      </c>
      <c r="J704" s="173" t="s">
        <v>1234</v>
      </c>
      <c r="K704" s="173" t="s">
        <v>17</v>
      </c>
      <c r="L704" s="173"/>
      <c r="M704" s="173" t="s">
        <v>255</v>
      </c>
      <c r="N704" s="173">
        <v>14011711</v>
      </c>
      <c r="O704" s="175">
        <v>5453782</v>
      </c>
      <c r="P704" s="7"/>
      <c r="Q704" s="16">
        <f>+IF(IFERROR(VLOOKUP(Tabla3[[#This Row],[Cliente factura]],Tabla4[[NIT]:[TOTAL CREDITO]],3,FALSE),0)="",0,IFERROR(VLOOKUP(Tabla3[[#This Row],[Cliente factura]],Tabla4[[NIT]:[TOTAL CREDITO]],3,FALSE),0))</f>
        <v>20739828</v>
      </c>
      <c r="R704" s="9">
        <f>+IFERROR(VLOOKUP(Tabla3[[#This Row],[Cliente factura]],Tabla4[[NIT]:[TOTAL CREDITO]],6,FALSE),0)</f>
        <v>200000000</v>
      </c>
      <c r="S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4" s="10" t="str">
        <f>VLOOKUP(Tabla3[[#This Row],[Razón social cliente factura]]&amp;Tabla3[[#This Row],[Desc. ciudad]],'Estandar de Rutas'!$C$1:$E$553,2,FALSE)</f>
        <v>7.1</v>
      </c>
      <c r="U704" s="130">
        <f>IFERROR(VLOOKUP(Tabla3[[#This Row],[Referencia]]&amp;Tabla3[[#This Row],[Desc detalle ext 1]],Tabla1[[Referencia-Color]:[Disponibilidad]],3,FALSE),0)</f>
        <v>0</v>
      </c>
      <c r="V704" s="13"/>
      <c r="W704" s="17">
        <f>+Tabla3[[#This Row],[Cant. Programada]]*Tabla3[[#This Row],[Precio unit]]</f>
        <v>0</v>
      </c>
      <c r="X704" s="8"/>
      <c r="Y704" s="8"/>
      <c r="Z704" s="8" t="str">
        <f>+Tabla3[[#This Row],[Referencia]]&amp;Tabla3[[#This Row],[Desc detalle ext 1]]</f>
        <v>CB 160F STD                                       ROJO SPOR</v>
      </c>
      <c r="AA704" s="128" t="e">
        <f>+VLOOKUP(Tabla3[[#This Row],[CODIGO2]],ESTANDAR!$B$3:$C$9,2,FALSE)</f>
        <v>#N/A</v>
      </c>
      <c r="AB704" s="128" t="str">
        <f>+MID(Tabla3[[#This Row],['# Viaje]],10,1)</f>
        <v/>
      </c>
    </row>
    <row r="705" spans="1:28" ht="15" hidden="1" customHeight="1">
      <c r="A705" s="173" t="s">
        <v>1592</v>
      </c>
      <c r="B705" s="174">
        <v>42948</v>
      </c>
      <c r="C705" s="173" t="s">
        <v>1231</v>
      </c>
      <c r="D705" s="173" t="s">
        <v>1237</v>
      </c>
      <c r="E705" s="173" t="s">
        <v>1479</v>
      </c>
      <c r="F705" s="173">
        <v>1</v>
      </c>
      <c r="G705" s="173" t="s">
        <v>35</v>
      </c>
      <c r="H705" s="173">
        <v>1</v>
      </c>
      <c r="I705" s="173" t="s">
        <v>35</v>
      </c>
      <c r="J705" s="173" t="s">
        <v>1234</v>
      </c>
      <c r="K705" s="173" t="s">
        <v>355</v>
      </c>
      <c r="L705" s="173"/>
      <c r="M705" s="173" t="s">
        <v>255</v>
      </c>
      <c r="N705" s="173">
        <v>14011711</v>
      </c>
      <c r="O705" s="175">
        <v>5453782</v>
      </c>
      <c r="P705" s="7"/>
      <c r="Q705" s="16">
        <f>+IF(IFERROR(VLOOKUP(Tabla3[[#This Row],[Cliente factura]],Tabla4[[NIT]:[TOTAL CREDITO]],3,FALSE),0)="",0,IFERROR(VLOOKUP(Tabla3[[#This Row],[Cliente factura]],Tabla4[[NIT]:[TOTAL CREDITO]],3,FALSE),0))</f>
        <v>20739828</v>
      </c>
      <c r="R705" s="9">
        <f>+IFERROR(VLOOKUP(Tabla3[[#This Row],[Cliente factura]],Tabla4[[NIT]:[TOTAL CREDITO]],6,FALSE),0)</f>
        <v>200000000</v>
      </c>
      <c r="S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5" s="10" t="str">
        <f>VLOOKUP(Tabla3[[#This Row],[Razón social cliente factura]]&amp;Tabla3[[#This Row],[Desc. ciudad]],'Estandar de Rutas'!$C$1:$E$553,2,FALSE)</f>
        <v>7.1</v>
      </c>
      <c r="U705" s="130">
        <f>IFERROR(VLOOKUP(Tabla3[[#This Row],[Referencia]]&amp;Tabla3[[#This Row],[Desc detalle ext 1]],Tabla1[[Referencia-Color]:[Disponibilidad]],3,FALSE),0)</f>
        <v>0</v>
      </c>
      <c r="V705" s="13"/>
      <c r="W705" s="17">
        <f>+Tabla3[[#This Row],[Cant. Programada]]*Tabla3[[#This Row],[Precio unit]]</f>
        <v>0</v>
      </c>
      <c r="X705" s="8"/>
      <c r="Y705" s="8"/>
      <c r="Z705" s="8" t="str">
        <f>+Tabla3[[#This Row],[Referencia]]&amp;Tabla3[[#This Row],[Desc detalle ext 1]]</f>
        <v>CB 160F STD                                       NEGRO PER</v>
      </c>
      <c r="AA705" s="128" t="e">
        <f>+VLOOKUP(Tabla3[[#This Row],[CODIGO2]],ESTANDAR!$B$3:$C$9,2,FALSE)</f>
        <v>#N/A</v>
      </c>
      <c r="AB705" s="128" t="str">
        <f>+MID(Tabla3[[#This Row],['# Viaje]],10,1)</f>
        <v/>
      </c>
    </row>
    <row r="706" spans="1:28" ht="15" hidden="1" customHeight="1">
      <c r="A706" s="173" t="s">
        <v>1593</v>
      </c>
      <c r="B706" s="174">
        <v>42948</v>
      </c>
      <c r="C706" s="173" t="s">
        <v>1231</v>
      </c>
      <c r="D706" s="173" t="s">
        <v>1237</v>
      </c>
      <c r="E706" s="173" t="s">
        <v>1479</v>
      </c>
      <c r="F706" s="173">
        <v>1</v>
      </c>
      <c r="G706" s="173" t="s">
        <v>35</v>
      </c>
      <c r="H706" s="173">
        <v>1</v>
      </c>
      <c r="I706" s="173" t="s">
        <v>1594</v>
      </c>
      <c r="J706" s="173" t="s">
        <v>27</v>
      </c>
      <c r="K706" s="173" t="s">
        <v>16</v>
      </c>
      <c r="L706" s="173"/>
      <c r="M706" s="173" t="s">
        <v>207</v>
      </c>
      <c r="N706" s="173">
        <v>14011711</v>
      </c>
      <c r="O706" s="175">
        <v>5789916</v>
      </c>
      <c r="P706" s="7"/>
      <c r="Q706" s="16">
        <f>+IF(IFERROR(VLOOKUP(Tabla3[[#This Row],[Cliente factura]],Tabla4[[NIT]:[TOTAL CREDITO]],3,FALSE),0)="",0,IFERROR(VLOOKUP(Tabla3[[#This Row],[Cliente factura]],Tabla4[[NIT]:[TOTAL CREDITO]],3,FALSE),0))</f>
        <v>20739828</v>
      </c>
      <c r="R706" s="9">
        <f>+IFERROR(VLOOKUP(Tabla3[[#This Row],[Cliente factura]],Tabla4[[NIT]:[TOTAL CREDITO]],6,FALSE),0)</f>
        <v>200000000</v>
      </c>
      <c r="S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6" s="10" t="str">
        <f>VLOOKUP(Tabla3[[#This Row],[Razón social cliente factura]]&amp;Tabla3[[#This Row],[Desc. ciudad]],'Estandar de Rutas'!$C$1:$E$553,2,FALSE)</f>
        <v>6.1</v>
      </c>
      <c r="U706" s="130">
        <f>IFERROR(VLOOKUP(Tabla3[[#This Row],[Referencia]]&amp;Tabla3[[#This Row],[Desc detalle ext 1]],Tabla1[[Referencia-Color]:[Disponibilidad]],3,FALSE),0)</f>
        <v>3</v>
      </c>
      <c r="V706" s="13"/>
      <c r="W706" s="17">
        <f>+Tabla3[[#This Row],[Cant. Programada]]*Tabla3[[#This Row],[Precio unit]]</f>
        <v>0</v>
      </c>
      <c r="X706" s="8"/>
      <c r="Y706" s="8"/>
      <c r="Z706" s="8" t="str">
        <f>+Tabla3[[#This Row],[Referencia]]&amp;Tabla3[[#This Row],[Desc detalle ext 1]]</f>
        <v xml:space="preserve">*XR 150L                                          NEGRO    </v>
      </c>
      <c r="AA706" s="128" t="e">
        <f>+VLOOKUP(Tabla3[[#This Row],[CODIGO2]],ESTANDAR!$B$3:$C$9,2,FALSE)</f>
        <v>#N/A</v>
      </c>
      <c r="AB706" s="128" t="str">
        <f>+MID(Tabla3[[#This Row],['# Viaje]],10,1)</f>
        <v/>
      </c>
    </row>
    <row r="707" spans="1:28" ht="15" hidden="1" customHeight="1">
      <c r="A707" s="173" t="s">
        <v>1593</v>
      </c>
      <c r="B707" s="174">
        <v>42948</v>
      </c>
      <c r="C707" s="173" t="s">
        <v>1231</v>
      </c>
      <c r="D707" s="173" t="s">
        <v>1237</v>
      </c>
      <c r="E707" s="173" t="s">
        <v>1479</v>
      </c>
      <c r="F707" s="173">
        <v>1</v>
      </c>
      <c r="G707" s="173" t="s">
        <v>35</v>
      </c>
      <c r="H707" s="173">
        <v>1</v>
      </c>
      <c r="I707" s="173" t="s">
        <v>1594</v>
      </c>
      <c r="J707" s="173" t="s">
        <v>10</v>
      </c>
      <c r="K707" s="173" t="s">
        <v>13</v>
      </c>
      <c r="L707" s="173"/>
      <c r="M707" s="173" t="s">
        <v>207</v>
      </c>
      <c r="N707" s="173">
        <v>14011711</v>
      </c>
      <c r="O707" s="175">
        <v>7554622</v>
      </c>
      <c r="P707" s="7"/>
      <c r="Q707" s="16">
        <f>+IF(IFERROR(VLOOKUP(Tabla3[[#This Row],[Cliente factura]],Tabla4[[NIT]:[TOTAL CREDITO]],3,FALSE),0)="",0,IFERROR(VLOOKUP(Tabla3[[#This Row],[Cliente factura]],Tabla4[[NIT]:[TOTAL CREDITO]],3,FALSE),0))</f>
        <v>20739828</v>
      </c>
      <c r="R707" s="9">
        <f>+IFERROR(VLOOKUP(Tabla3[[#This Row],[Cliente factura]],Tabla4[[NIT]:[TOTAL CREDITO]],6,FALSE),0)</f>
        <v>200000000</v>
      </c>
      <c r="S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7" s="10" t="str">
        <f>VLOOKUP(Tabla3[[#This Row],[Razón social cliente factura]]&amp;Tabla3[[#This Row],[Desc. ciudad]],'Estandar de Rutas'!$C$1:$E$553,2,FALSE)</f>
        <v>6.1</v>
      </c>
      <c r="U707" s="130">
        <f>IFERROR(VLOOKUP(Tabla3[[#This Row],[Referencia]]&amp;Tabla3[[#This Row],[Desc detalle ext 1]],Tabla1[[Referencia-Color]:[Disponibilidad]],3,FALSE),0)</f>
        <v>75</v>
      </c>
      <c r="V707" s="13"/>
      <c r="W707" s="17">
        <f>+Tabla3[[#This Row],[Cant. Programada]]*Tabla3[[#This Row],[Precio unit]]</f>
        <v>0</v>
      </c>
      <c r="X707" s="8"/>
      <c r="Y707" s="8"/>
      <c r="Z707" s="8" t="str">
        <f>+Tabla3[[#This Row],[Referencia]]&amp;Tabla3[[#This Row],[Desc detalle ext 1]]</f>
        <v>CB 190R                                           ROJO NEGR</v>
      </c>
      <c r="AA707" s="128" t="e">
        <f>+VLOOKUP(Tabla3[[#This Row],[CODIGO2]],ESTANDAR!$B$3:$C$9,2,FALSE)</f>
        <v>#N/A</v>
      </c>
      <c r="AB707" s="128" t="str">
        <f>+MID(Tabla3[[#This Row],['# Viaje]],10,1)</f>
        <v/>
      </c>
    </row>
    <row r="708" spans="1:28" ht="15" hidden="1" customHeight="1">
      <c r="A708" s="173" t="s">
        <v>1593</v>
      </c>
      <c r="B708" s="174">
        <v>42948</v>
      </c>
      <c r="C708" s="173" t="s">
        <v>1231</v>
      </c>
      <c r="D708" s="173" t="s">
        <v>1237</v>
      </c>
      <c r="E708" s="173" t="s">
        <v>1479</v>
      </c>
      <c r="F708" s="173">
        <v>1</v>
      </c>
      <c r="G708" s="173" t="s">
        <v>35</v>
      </c>
      <c r="H708" s="173">
        <v>1</v>
      </c>
      <c r="I708" s="173" t="s">
        <v>1594</v>
      </c>
      <c r="J708" s="173" t="s">
        <v>354</v>
      </c>
      <c r="K708" s="173" t="s">
        <v>474</v>
      </c>
      <c r="L708" s="173"/>
      <c r="M708" s="173" t="s">
        <v>207</v>
      </c>
      <c r="N708" s="173">
        <v>14011711</v>
      </c>
      <c r="O708" s="175">
        <v>6133613</v>
      </c>
      <c r="P708" s="7"/>
      <c r="Q708" s="16">
        <f>+IF(IFERROR(VLOOKUP(Tabla3[[#This Row],[Cliente factura]],Tabla4[[NIT]:[TOTAL CREDITO]],3,FALSE),0)="",0,IFERROR(VLOOKUP(Tabla3[[#This Row],[Cliente factura]],Tabla4[[NIT]:[TOTAL CREDITO]],3,FALSE),0))</f>
        <v>20739828</v>
      </c>
      <c r="R708" s="9">
        <f>+IFERROR(VLOOKUP(Tabla3[[#This Row],[Cliente factura]],Tabla4[[NIT]:[TOTAL CREDITO]],6,FALSE),0)</f>
        <v>200000000</v>
      </c>
      <c r="S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8" s="10" t="str">
        <f>VLOOKUP(Tabla3[[#This Row],[Razón social cliente factura]]&amp;Tabla3[[#This Row],[Desc. ciudad]],'Estandar de Rutas'!$C$1:$E$553,2,FALSE)</f>
        <v>6.1</v>
      </c>
      <c r="U708" s="130">
        <f>IFERROR(VLOOKUP(Tabla3[[#This Row],[Referencia]]&amp;Tabla3[[#This Row],[Desc detalle ext 1]],Tabla1[[Referencia-Color]:[Disponibilidad]],3,FALSE),0)</f>
        <v>3</v>
      </c>
      <c r="V708" s="13"/>
      <c r="W708" s="17">
        <f>+Tabla3[[#This Row],[Cant. Programada]]*Tabla3[[#This Row],[Precio unit]]</f>
        <v>0</v>
      </c>
      <c r="X708" s="129"/>
      <c r="Y708" s="8"/>
      <c r="Z708" s="8" t="str">
        <f>+Tabla3[[#This Row],[Referencia]]&amp;Tabla3[[#This Row],[Desc detalle ext 1]]</f>
        <v>CB 160F DLX                                       NARANJA N</v>
      </c>
      <c r="AA708" s="128" t="e">
        <f>+VLOOKUP(Tabla3[[#This Row],[CODIGO2]],ESTANDAR!$B$3:$C$9,2,FALSE)</f>
        <v>#N/A</v>
      </c>
      <c r="AB708" s="128" t="str">
        <f>+MID(Tabla3[[#This Row],['# Viaje]],10,1)</f>
        <v/>
      </c>
    </row>
    <row r="709" spans="1:28" ht="15" hidden="1" customHeight="1">
      <c r="A709" s="173" t="s">
        <v>1593</v>
      </c>
      <c r="B709" s="174">
        <v>42948</v>
      </c>
      <c r="C709" s="173" t="s">
        <v>1231</v>
      </c>
      <c r="D709" s="173" t="s">
        <v>1237</v>
      </c>
      <c r="E709" s="173" t="s">
        <v>1479</v>
      </c>
      <c r="F709" s="173">
        <v>1</v>
      </c>
      <c r="G709" s="173" t="s">
        <v>35</v>
      </c>
      <c r="H709" s="173">
        <v>1</v>
      </c>
      <c r="I709" s="173" t="s">
        <v>1594</v>
      </c>
      <c r="J709" s="173" t="s">
        <v>1433</v>
      </c>
      <c r="K709" s="173" t="s">
        <v>1431</v>
      </c>
      <c r="L709" s="173"/>
      <c r="M709" s="173" t="s">
        <v>207</v>
      </c>
      <c r="N709" s="173">
        <v>14011711</v>
      </c>
      <c r="O709" s="175">
        <v>3521008</v>
      </c>
      <c r="P709" s="7"/>
      <c r="Q709" s="16">
        <f>+IF(IFERROR(VLOOKUP(Tabla3[[#This Row],[Cliente factura]],Tabla4[[NIT]:[TOTAL CREDITO]],3,FALSE),0)="",0,IFERROR(VLOOKUP(Tabla3[[#This Row],[Cliente factura]],Tabla4[[NIT]:[TOTAL CREDITO]],3,FALSE),0))</f>
        <v>20739828</v>
      </c>
      <c r="R709" s="9">
        <f>+IFERROR(VLOOKUP(Tabla3[[#This Row],[Cliente factura]],Tabla4[[NIT]:[TOTAL CREDITO]],6,FALSE),0)</f>
        <v>200000000</v>
      </c>
      <c r="S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9" s="10" t="str">
        <f>VLOOKUP(Tabla3[[#This Row],[Razón social cliente factura]]&amp;Tabla3[[#This Row],[Desc. ciudad]],'Estandar de Rutas'!$C$1:$E$553,2,FALSE)</f>
        <v>6.1</v>
      </c>
      <c r="U709" s="130">
        <f>IFERROR(VLOOKUP(Tabla3[[#This Row],[Referencia]]&amp;Tabla3[[#This Row],[Desc detalle ext 1]],Tabla1[[Referencia-Color]:[Disponibilidad]],3,FALSE),0)</f>
        <v>0</v>
      </c>
      <c r="V709" s="13"/>
      <c r="W709" s="17">
        <f>+Tabla3[[#This Row],[Cant. Programada]]*Tabla3[[#This Row],[Precio unit]]</f>
        <v>0</v>
      </c>
      <c r="X709" s="129"/>
      <c r="Y709" s="129"/>
      <c r="Z709" s="8" t="str">
        <f>+Tabla3[[#This Row],[Referencia]]&amp;Tabla3[[#This Row],[Desc detalle ext 1]]</f>
        <v xml:space="preserve">DIO  110                                          ROJO     </v>
      </c>
      <c r="AA709" s="128" t="e">
        <f>+VLOOKUP(Tabla3[[#This Row],[CODIGO2]],ESTANDAR!$B$3:$C$9,2,FALSE)</f>
        <v>#N/A</v>
      </c>
      <c r="AB709" s="128" t="str">
        <f>+MID(Tabla3[[#This Row],['# Viaje]],10,1)</f>
        <v/>
      </c>
    </row>
    <row r="710" spans="1:28" ht="15" hidden="1" customHeight="1">
      <c r="A710" s="173" t="s">
        <v>1593</v>
      </c>
      <c r="B710" s="174">
        <v>42948</v>
      </c>
      <c r="C710" s="173" t="s">
        <v>1231</v>
      </c>
      <c r="D710" s="173" t="s">
        <v>1237</v>
      </c>
      <c r="E710" s="173" t="s">
        <v>1479</v>
      </c>
      <c r="F710" s="173">
        <v>1</v>
      </c>
      <c r="G710" s="173" t="s">
        <v>35</v>
      </c>
      <c r="H710" s="173">
        <v>1</v>
      </c>
      <c r="I710" s="173" t="s">
        <v>1594</v>
      </c>
      <c r="J710" s="173" t="s">
        <v>1451</v>
      </c>
      <c r="K710" s="173" t="s">
        <v>1452</v>
      </c>
      <c r="L710" s="173"/>
      <c r="M710" s="173" t="s">
        <v>207</v>
      </c>
      <c r="N710" s="173">
        <v>14011711</v>
      </c>
      <c r="O710" s="175">
        <v>3696639</v>
      </c>
      <c r="P710" s="7"/>
      <c r="Q710" s="16">
        <f>+IF(IFERROR(VLOOKUP(Tabla3[[#This Row],[Cliente factura]],Tabla4[[NIT]:[TOTAL CREDITO]],3,FALSE),0)="",0,IFERROR(VLOOKUP(Tabla3[[#This Row],[Cliente factura]],Tabla4[[NIT]:[TOTAL CREDITO]],3,FALSE),0))</f>
        <v>20739828</v>
      </c>
      <c r="R710" s="9">
        <f>+IFERROR(VLOOKUP(Tabla3[[#This Row],[Cliente factura]],Tabla4[[NIT]:[TOTAL CREDITO]],6,FALSE),0)</f>
        <v>200000000</v>
      </c>
      <c r="S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0" s="10" t="str">
        <f>VLOOKUP(Tabla3[[#This Row],[Razón social cliente factura]]&amp;Tabla3[[#This Row],[Desc. ciudad]],'Estandar de Rutas'!$C$1:$E$553,2,FALSE)</f>
        <v>6.1</v>
      </c>
      <c r="U710" s="130">
        <f>IFERROR(VLOOKUP(Tabla3[[#This Row],[Referencia]]&amp;Tabla3[[#This Row],[Desc detalle ext 1]],Tabla1[[Referencia-Color]:[Disponibilidad]],3,FALSE),0)</f>
        <v>21</v>
      </c>
      <c r="V710" s="13"/>
      <c r="W710" s="17">
        <f>+Tabla3[[#This Row],[Cant. Programada]]*Tabla3[[#This Row],[Precio unit]]</f>
        <v>0</v>
      </c>
      <c r="X710" s="8"/>
      <c r="Y710" s="8"/>
      <c r="Z710" s="8" t="str">
        <f>+Tabla3[[#This Row],[Referencia]]&amp;Tabla3[[#This Row],[Desc detalle ext 1]]</f>
        <v xml:space="preserve">CB 110 DLX                                        AZUL     </v>
      </c>
      <c r="AA710" s="128" t="e">
        <f>+VLOOKUP(Tabla3[[#This Row],[CODIGO2]],ESTANDAR!$B$3:$C$9,2,FALSE)</f>
        <v>#N/A</v>
      </c>
      <c r="AB710" s="128" t="str">
        <f>+MID(Tabla3[[#This Row],['# Viaje]],10,1)</f>
        <v/>
      </c>
    </row>
    <row r="711" spans="1:28" ht="15" hidden="1" customHeight="1">
      <c r="A711" s="173" t="s">
        <v>1593</v>
      </c>
      <c r="B711" s="174">
        <v>42948</v>
      </c>
      <c r="C711" s="173" t="s">
        <v>1231</v>
      </c>
      <c r="D711" s="173" t="s">
        <v>1237</v>
      </c>
      <c r="E711" s="173" t="s">
        <v>1479</v>
      </c>
      <c r="F711" s="173">
        <v>1</v>
      </c>
      <c r="G711" s="173" t="s">
        <v>35</v>
      </c>
      <c r="H711" s="173">
        <v>1</v>
      </c>
      <c r="I711" s="173" t="s">
        <v>1594</v>
      </c>
      <c r="J711" s="173" t="s">
        <v>1451</v>
      </c>
      <c r="K711" s="173" t="s">
        <v>1431</v>
      </c>
      <c r="L711" s="173"/>
      <c r="M711" s="173" t="s">
        <v>207</v>
      </c>
      <c r="N711" s="173">
        <v>14011711</v>
      </c>
      <c r="O711" s="175">
        <v>3696639</v>
      </c>
      <c r="P711" s="7"/>
      <c r="Q711" s="16">
        <f>+IF(IFERROR(VLOOKUP(Tabla3[[#This Row],[Cliente factura]],Tabla4[[NIT]:[TOTAL CREDITO]],3,FALSE),0)="",0,IFERROR(VLOOKUP(Tabla3[[#This Row],[Cliente factura]],Tabla4[[NIT]:[TOTAL CREDITO]],3,FALSE),0))</f>
        <v>20739828</v>
      </c>
      <c r="R711" s="9">
        <f>+IFERROR(VLOOKUP(Tabla3[[#This Row],[Cliente factura]],Tabla4[[NIT]:[TOTAL CREDITO]],6,FALSE),0)</f>
        <v>200000000</v>
      </c>
      <c r="S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1" s="10" t="str">
        <f>VLOOKUP(Tabla3[[#This Row],[Razón social cliente factura]]&amp;Tabla3[[#This Row],[Desc. ciudad]],'Estandar de Rutas'!$C$1:$E$553,2,FALSE)</f>
        <v>6.1</v>
      </c>
      <c r="U711" s="130">
        <f>IFERROR(VLOOKUP(Tabla3[[#This Row],[Referencia]]&amp;Tabla3[[#This Row],[Desc detalle ext 1]],Tabla1[[Referencia-Color]:[Disponibilidad]],3,FALSE),0)</f>
        <v>21</v>
      </c>
      <c r="V711" s="13"/>
      <c r="W711" s="17">
        <f>+Tabla3[[#This Row],[Cant. Programada]]*Tabla3[[#This Row],[Precio unit]]</f>
        <v>0</v>
      </c>
      <c r="X711" s="129"/>
      <c r="Y711" s="129"/>
      <c r="Z711" s="8" t="str">
        <f>+Tabla3[[#This Row],[Referencia]]&amp;Tabla3[[#This Row],[Desc detalle ext 1]]</f>
        <v xml:space="preserve">CB 110 DLX                                        ROJO     </v>
      </c>
      <c r="AA711" s="128" t="e">
        <f>+VLOOKUP(Tabla3[[#This Row],[CODIGO2]],ESTANDAR!$B$3:$C$9,2,FALSE)</f>
        <v>#N/A</v>
      </c>
      <c r="AB711" s="128" t="str">
        <f>+MID(Tabla3[[#This Row],['# Viaje]],10,1)</f>
        <v/>
      </c>
    </row>
    <row r="712" spans="1:28" ht="15" hidden="1" customHeight="1">
      <c r="A712" s="173" t="s">
        <v>1593</v>
      </c>
      <c r="B712" s="174">
        <v>42948</v>
      </c>
      <c r="C712" s="173" t="s">
        <v>1231</v>
      </c>
      <c r="D712" s="173" t="s">
        <v>1237</v>
      </c>
      <c r="E712" s="173" t="s">
        <v>1479</v>
      </c>
      <c r="F712" s="173">
        <v>3</v>
      </c>
      <c r="G712" s="173" t="s">
        <v>35</v>
      </c>
      <c r="H712" s="173">
        <v>3</v>
      </c>
      <c r="I712" s="173" t="s">
        <v>1594</v>
      </c>
      <c r="J712" s="173" t="s">
        <v>1451</v>
      </c>
      <c r="K712" s="173" t="s">
        <v>16</v>
      </c>
      <c r="L712" s="173"/>
      <c r="M712" s="173" t="s">
        <v>207</v>
      </c>
      <c r="N712" s="173">
        <v>14011711</v>
      </c>
      <c r="O712" s="175">
        <v>3696639</v>
      </c>
      <c r="P712" s="7"/>
      <c r="Q712" s="16">
        <f>+IF(IFERROR(VLOOKUP(Tabla3[[#This Row],[Cliente factura]],Tabla4[[NIT]:[TOTAL CREDITO]],3,FALSE),0)="",0,IFERROR(VLOOKUP(Tabla3[[#This Row],[Cliente factura]],Tabla4[[NIT]:[TOTAL CREDITO]],3,FALSE),0))</f>
        <v>20739828</v>
      </c>
      <c r="R712" s="9">
        <f>+IFERROR(VLOOKUP(Tabla3[[#This Row],[Cliente factura]],Tabla4[[NIT]:[TOTAL CREDITO]],6,FALSE),0)</f>
        <v>200000000</v>
      </c>
      <c r="S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2" s="10" t="str">
        <f>VLOOKUP(Tabla3[[#This Row],[Razón social cliente factura]]&amp;Tabla3[[#This Row],[Desc. ciudad]],'Estandar de Rutas'!$C$1:$E$553,2,FALSE)</f>
        <v>6.1</v>
      </c>
      <c r="U712" s="130">
        <f>IFERROR(VLOOKUP(Tabla3[[#This Row],[Referencia]]&amp;Tabla3[[#This Row],[Desc detalle ext 1]],Tabla1[[Referencia-Color]:[Disponibilidad]],3,FALSE),0)</f>
        <v>3</v>
      </c>
      <c r="V712" s="13"/>
      <c r="W712" s="17">
        <f>+Tabla3[[#This Row],[Cant. Programada]]*Tabla3[[#This Row],[Precio unit]]</f>
        <v>0</v>
      </c>
      <c r="X712" s="129"/>
      <c r="Y712" s="129"/>
      <c r="Z712" s="8" t="str">
        <f>+Tabla3[[#This Row],[Referencia]]&amp;Tabla3[[#This Row],[Desc detalle ext 1]]</f>
        <v xml:space="preserve">CB 110 DLX                                        NEGRO    </v>
      </c>
      <c r="AA712" s="128" t="e">
        <f>+VLOOKUP(Tabla3[[#This Row],[CODIGO2]],ESTANDAR!$B$3:$C$9,2,FALSE)</f>
        <v>#N/A</v>
      </c>
      <c r="AB712" s="128" t="str">
        <f>+MID(Tabla3[[#This Row],['# Viaje]],10,1)</f>
        <v/>
      </c>
    </row>
    <row r="713" spans="1:28" ht="15" hidden="1" customHeight="1">
      <c r="A713" s="173" t="s">
        <v>1595</v>
      </c>
      <c r="B713" s="174">
        <v>42948</v>
      </c>
      <c r="C713" s="173" t="s">
        <v>1231</v>
      </c>
      <c r="D713" s="173" t="s">
        <v>1237</v>
      </c>
      <c r="E713" s="173" t="s">
        <v>1479</v>
      </c>
      <c r="F713" s="173">
        <v>1</v>
      </c>
      <c r="G713" s="173" t="s">
        <v>35</v>
      </c>
      <c r="H713" s="173">
        <v>1</v>
      </c>
      <c r="I713" s="173" t="s">
        <v>1596</v>
      </c>
      <c r="J713" s="173" t="s">
        <v>27</v>
      </c>
      <c r="K713" s="173" t="s">
        <v>26</v>
      </c>
      <c r="L713" s="173"/>
      <c r="M713" s="173" t="s">
        <v>12</v>
      </c>
      <c r="N713" s="173">
        <v>14011711</v>
      </c>
      <c r="O713" s="175">
        <v>5789916</v>
      </c>
      <c r="P713" s="7"/>
      <c r="Q713" s="16">
        <f>+IF(IFERROR(VLOOKUP(Tabla3[[#This Row],[Cliente factura]],Tabla4[[NIT]:[TOTAL CREDITO]],3,FALSE),0)="",0,IFERROR(VLOOKUP(Tabla3[[#This Row],[Cliente factura]],Tabla4[[NIT]:[TOTAL CREDITO]],3,FALSE),0))</f>
        <v>20739828</v>
      </c>
      <c r="R713" s="9">
        <f>+IFERROR(VLOOKUP(Tabla3[[#This Row],[Cliente factura]],Tabla4[[NIT]:[TOTAL CREDITO]],6,FALSE),0)</f>
        <v>200000000</v>
      </c>
      <c r="S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3" s="10" t="str">
        <f>VLOOKUP(Tabla3[[#This Row],[Razón social cliente factura]]&amp;Tabla3[[#This Row],[Desc. ciudad]],'Estandar de Rutas'!$C$1:$E$553,2,FALSE)</f>
        <v>5.1.A</v>
      </c>
      <c r="U713" s="130">
        <f>IFERROR(VLOOKUP(Tabla3[[#This Row],[Referencia]]&amp;Tabla3[[#This Row],[Desc detalle ext 1]],Tabla1[[Referencia-Color]:[Disponibilidad]],3,FALSE),0)</f>
        <v>59</v>
      </c>
      <c r="V713" s="13"/>
      <c r="W713" s="17">
        <f>+Tabla3[[#This Row],[Cant. Programada]]*Tabla3[[#This Row],[Precio unit]]</f>
        <v>0</v>
      </c>
      <c r="X713" s="130"/>
      <c r="Y713" s="8"/>
      <c r="Z713" s="8" t="str">
        <f>+Tabla3[[#This Row],[Referencia]]&amp;Tabla3[[#This Row],[Desc detalle ext 1]]</f>
        <v>*XR 150L                                          NEGRO BLA</v>
      </c>
      <c r="AA713" s="128" t="e">
        <f>+VLOOKUP(Tabla3[[#This Row],[CODIGO2]],ESTANDAR!$B$3:$C$9,2,FALSE)</f>
        <v>#N/A</v>
      </c>
      <c r="AB713" s="128" t="str">
        <f>+MID(Tabla3[[#This Row],['# Viaje]],10,1)</f>
        <v/>
      </c>
    </row>
    <row r="714" spans="1:28" ht="15" hidden="1" customHeight="1">
      <c r="A714" s="173" t="s">
        <v>1595</v>
      </c>
      <c r="B714" s="174">
        <v>42948</v>
      </c>
      <c r="C714" s="173" t="s">
        <v>1231</v>
      </c>
      <c r="D714" s="173" t="s">
        <v>1237</v>
      </c>
      <c r="E714" s="173" t="s">
        <v>1479</v>
      </c>
      <c r="F714" s="173">
        <v>1</v>
      </c>
      <c r="G714" s="173" t="s">
        <v>35</v>
      </c>
      <c r="H714" s="173">
        <v>1</v>
      </c>
      <c r="I714" s="173" t="s">
        <v>1596</v>
      </c>
      <c r="J714" s="173" t="s">
        <v>27</v>
      </c>
      <c r="K714" s="173" t="s">
        <v>16</v>
      </c>
      <c r="L714" s="173"/>
      <c r="M714" s="173" t="s">
        <v>12</v>
      </c>
      <c r="N714" s="173">
        <v>14011711</v>
      </c>
      <c r="O714" s="175">
        <v>5789916</v>
      </c>
      <c r="P714" s="7"/>
      <c r="Q714" s="16">
        <f>+IF(IFERROR(VLOOKUP(Tabla3[[#This Row],[Cliente factura]],Tabla4[[NIT]:[TOTAL CREDITO]],3,FALSE),0)="",0,IFERROR(VLOOKUP(Tabla3[[#This Row],[Cliente factura]],Tabla4[[NIT]:[TOTAL CREDITO]],3,FALSE),0))</f>
        <v>20739828</v>
      </c>
      <c r="R714" s="9">
        <f>+IFERROR(VLOOKUP(Tabla3[[#This Row],[Cliente factura]],Tabla4[[NIT]:[TOTAL CREDITO]],6,FALSE),0)</f>
        <v>200000000</v>
      </c>
      <c r="S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4" s="10" t="str">
        <f>VLOOKUP(Tabla3[[#This Row],[Razón social cliente factura]]&amp;Tabla3[[#This Row],[Desc. ciudad]],'Estandar de Rutas'!$C$1:$E$553,2,FALSE)</f>
        <v>5.1.A</v>
      </c>
      <c r="U714" s="130">
        <f>IFERROR(VLOOKUP(Tabla3[[#This Row],[Referencia]]&amp;Tabla3[[#This Row],[Desc detalle ext 1]],Tabla1[[Referencia-Color]:[Disponibilidad]],3,FALSE),0)</f>
        <v>3</v>
      </c>
      <c r="V714" s="13"/>
      <c r="W714" s="17">
        <f>+Tabla3[[#This Row],[Cant. Programada]]*Tabla3[[#This Row],[Precio unit]]</f>
        <v>0</v>
      </c>
      <c r="X714" s="8"/>
      <c r="Y714" s="8"/>
      <c r="Z714" s="8" t="str">
        <f>+Tabla3[[#This Row],[Referencia]]&amp;Tabla3[[#This Row],[Desc detalle ext 1]]</f>
        <v xml:space="preserve">*XR 150L                                          NEGRO    </v>
      </c>
      <c r="AA714" s="128" t="e">
        <f>+VLOOKUP(Tabla3[[#This Row],[CODIGO2]],ESTANDAR!$B$3:$C$9,2,FALSE)</f>
        <v>#N/A</v>
      </c>
      <c r="AB714" s="128" t="str">
        <f>+MID(Tabla3[[#This Row],['# Viaje]],10,1)</f>
        <v/>
      </c>
    </row>
    <row r="715" spans="1:28" ht="15" hidden="1" customHeight="1">
      <c r="A715" s="173" t="s">
        <v>1595</v>
      </c>
      <c r="B715" s="174">
        <v>42948</v>
      </c>
      <c r="C715" s="173" t="s">
        <v>1231</v>
      </c>
      <c r="D715" s="173" t="s">
        <v>1237</v>
      </c>
      <c r="E715" s="173" t="s">
        <v>1479</v>
      </c>
      <c r="F715" s="173">
        <v>2</v>
      </c>
      <c r="G715" s="173" t="s">
        <v>35</v>
      </c>
      <c r="H715" s="173">
        <v>2</v>
      </c>
      <c r="I715" s="173" t="s">
        <v>1596</v>
      </c>
      <c r="J715" s="173" t="s">
        <v>1451</v>
      </c>
      <c r="K715" s="173" t="s">
        <v>16</v>
      </c>
      <c r="L715" s="173"/>
      <c r="M715" s="173" t="s">
        <v>12</v>
      </c>
      <c r="N715" s="173">
        <v>14011711</v>
      </c>
      <c r="O715" s="175">
        <v>3696639</v>
      </c>
      <c r="P715" s="7"/>
      <c r="Q715" s="16">
        <f>+IF(IFERROR(VLOOKUP(Tabla3[[#This Row],[Cliente factura]],Tabla4[[NIT]:[TOTAL CREDITO]],3,FALSE),0)="",0,IFERROR(VLOOKUP(Tabla3[[#This Row],[Cliente factura]],Tabla4[[NIT]:[TOTAL CREDITO]],3,FALSE),0))</f>
        <v>20739828</v>
      </c>
      <c r="R715" s="9">
        <f>+IFERROR(VLOOKUP(Tabla3[[#This Row],[Cliente factura]],Tabla4[[NIT]:[TOTAL CREDITO]],6,FALSE),0)</f>
        <v>200000000</v>
      </c>
      <c r="S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5" s="10" t="str">
        <f>VLOOKUP(Tabla3[[#This Row],[Razón social cliente factura]]&amp;Tabla3[[#This Row],[Desc. ciudad]],'Estandar de Rutas'!$C$1:$E$553,2,FALSE)</f>
        <v>5.1.A</v>
      </c>
      <c r="U715" s="130">
        <f>IFERROR(VLOOKUP(Tabla3[[#This Row],[Referencia]]&amp;Tabla3[[#This Row],[Desc detalle ext 1]],Tabla1[[Referencia-Color]:[Disponibilidad]],3,FALSE),0)</f>
        <v>3</v>
      </c>
      <c r="V715" s="13"/>
      <c r="W715" s="17">
        <f>+Tabla3[[#This Row],[Cant. Programada]]*Tabla3[[#This Row],[Precio unit]]</f>
        <v>0</v>
      </c>
      <c r="X715" s="129"/>
      <c r="Y715" s="129"/>
      <c r="Z715" s="8" t="str">
        <f>+Tabla3[[#This Row],[Referencia]]&amp;Tabla3[[#This Row],[Desc detalle ext 1]]</f>
        <v xml:space="preserve">CB 110 DLX                                        NEGRO    </v>
      </c>
      <c r="AA715" s="128" t="e">
        <f>+VLOOKUP(Tabla3[[#This Row],[CODIGO2]],ESTANDAR!$B$3:$C$9,2,FALSE)</f>
        <v>#N/A</v>
      </c>
      <c r="AB715" s="128" t="str">
        <f>+MID(Tabla3[[#This Row],['# Viaje]],10,1)</f>
        <v/>
      </c>
    </row>
    <row r="716" spans="1:28" ht="15" hidden="1" customHeight="1">
      <c r="A716" s="173" t="s">
        <v>1597</v>
      </c>
      <c r="B716" s="174">
        <v>42948</v>
      </c>
      <c r="C716" s="173" t="s">
        <v>1231</v>
      </c>
      <c r="D716" s="173" t="s">
        <v>1478</v>
      </c>
      <c r="E716" s="173" t="s">
        <v>1479</v>
      </c>
      <c r="F716" s="173">
        <v>1</v>
      </c>
      <c r="G716" s="173" t="s">
        <v>219</v>
      </c>
      <c r="H716" s="173">
        <v>1</v>
      </c>
      <c r="I716" s="173" t="s">
        <v>1598</v>
      </c>
      <c r="J716" s="173" t="s">
        <v>1234</v>
      </c>
      <c r="K716" s="173" t="s">
        <v>355</v>
      </c>
      <c r="L716" s="173"/>
      <c r="M716" s="173" t="s">
        <v>226</v>
      </c>
      <c r="N716" s="173">
        <v>10538625</v>
      </c>
      <c r="O716" s="175">
        <v>5453782</v>
      </c>
      <c r="P716" s="7"/>
      <c r="Q716" s="16">
        <f>+IF(IFERROR(VLOOKUP(Tabla3[[#This Row],[Cliente factura]],Tabla4[[NIT]:[TOTAL CREDITO]],3,FALSE),0)="",0,IFERROR(VLOOKUP(Tabla3[[#This Row],[Cliente factura]],Tabla4[[NIT]:[TOTAL CREDITO]],3,FALSE),0))</f>
        <v>164567161</v>
      </c>
      <c r="R716" s="9">
        <f>+IFERROR(VLOOKUP(Tabla3[[#This Row],[Cliente factura]],Tabla4[[NIT]:[TOTAL CREDITO]],6,FALSE),0)</f>
        <v>80000000</v>
      </c>
      <c r="S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6" s="10" t="str">
        <f>VLOOKUP(Tabla3[[#This Row],[Razón social cliente factura]]&amp;Tabla3[[#This Row],[Desc. ciudad]],'Estandar de Rutas'!$C$1:$E$553,2,FALSE)</f>
        <v>2.1</v>
      </c>
      <c r="U716" s="130">
        <f>IFERROR(VLOOKUP(Tabla3[[#This Row],[Referencia]]&amp;Tabla3[[#This Row],[Desc detalle ext 1]],Tabla1[[Referencia-Color]:[Disponibilidad]],3,FALSE),0)</f>
        <v>0</v>
      </c>
      <c r="V716" s="13"/>
      <c r="W716" s="17">
        <f>+Tabla3[[#This Row],[Cant. Programada]]*Tabla3[[#This Row],[Precio unit]]</f>
        <v>0</v>
      </c>
      <c r="X716" s="8"/>
      <c r="Y716" s="8"/>
      <c r="Z716" s="8" t="str">
        <f>+Tabla3[[#This Row],[Referencia]]&amp;Tabla3[[#This Row],[Desc detalle ext 1]]</f>
        <v>CB 160F STD                                       NEGRO PER</v>
      </c>
      <c r="AA716" s="128" t="e">
        <f>+VLOOKUP(Tabla3[[#This Row],[CODIGO2]],ESTANDAR!$B$3:$C$9,2,FALSE)</f>
        <v>#N/A</v>
      </c>
      <c r="AB716" s="128" t="str">
        <f>+MID(Tabla3[[#This Row],['# Viaje]],10,1)</f>
        <v/>
      </c>
    </row>
    <row r="717" spans="1:28" ht="15" hidden="1" customHeight="1">
      <c r="A717" s="173" t="s">
        <v>1599</v>
      </c>
      <c r="B717" s="174">
        <v>42948</v>
      </c>
      <c r="C717" s="173" t="s">
        <v>1231</v>
      </c>
      <c r="D717" s="173" t="s">
        <v>1237</v>
      </c>
      <c r="E717" s="173" t="s">
        <v>1479</v>
      </c>
      <c r="F717" s="173">
        <v>1</v>
      </c>
      <c r="G717" s="173" t="s">
        <v>35</v>
      </c>
      <c r="H717" s="173">
        <v>1</v>
      </c>
      <c r="I717" s="173" t="s">
        <v>1600</v>
      </c>
      <c r="J717" s="173" t="s">
        <v>1234</v>
      </c>
      <c r="K717" s="173" t="s">
        <v>17</v>
      </c>
      <c r="L717" s="173"/>
      <c r="M717" s="173" t="s">
        <v>41</v>
      </c>
      <c r="N717" s="173">
        <v>14011711</v>
      </c>
      <c r="O717" s="175">
        <v>5453782</v>
      </c>
      <c r="P717" s="7"/>
      <c r="Q717" s="16">
        <f>+IF(IFERROR(VLOOKUP(Tabla3[[#This Row],[Cliente factura]],Tabla4[[NIT]:[TOTAL CREDITO]],3,FALSE),0)="",0,IFERROR(VLOOKUP(Tabla3[[#This Row],[Cliente factura]],Tabla4[[NIT]:[TOTAL CREDITO]],3,FALSE),0))</f>
        <v>20739828</v>
      </c>
      <c r="R717" s="9">
        <f>+IFERROR(VLOOKUP(Tabla3[[#This Row],[Cliente factura]],Tabla4[[NIT]:[TOTAL CREDITO]],6,FALSE),0)</f>
        <v>200000000</v>
      </c>
      <c r="S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7" s="10" t="str">
        <f>VLOOKUP(Tabla3[[#This Row],[Razón social cliente factura]]&amp;Tabla3[[#This Row],[Desc. ciudad]],'Estandar de Rutas'!$C$1:$E$553,2,FALSE)</f>
        <v>5.2</v>
      </c>
      <c r="U717" s="130">
        <f>IFERROR(VLOOKUP(Tabla3[[#This Row],[Referencia]]&amp;Tabla3[[#This Row],[Desc detalle ext 1]],Tabla1[[Referencia-Color]:[Disponibilidad]],3,FALSE),0)</f>
        <v>0</v>
      </c>
      <c r="V717" s="13"/>
      <c r="W717" s="17">
        <f>+Tabla3[[#This Row],[Cant. Programada]]*Tabla3[[#This Row],[Precio unit]]</f>
        <v>0</v>
      </c>
      <c r="X717" s="129"/>
      <c r="Y717" s="129"/>
      <c r="Z717" s="8" t="str">
        <f>+Tabla3[[#This Row],[Referencia]]&amp;Tabla3[[#This Row],[Desc detalle ext 1]]</f>
        <v>CB 160F STD                                       ROJO SPOR</v>
      </c>
      <c r="AA717" s="128" t="e">
        <f>+VLOOKUP(Tabla3[[#This Row],[CODIGO2]],ESTANDAR!$B$3:$C$9,2,FALSE)</f>
        <v>#N/A</v>
      </c>
      <c r="AB717" s="128" t="str">
        <f>+MID(Tabla3[[#This Row],['# Viaje]],10,1)</f>
        <v/>
      </c>
    </row>
    <row r="718" spans="1:28" ht="15" hidden="1" customHeight="1">
      <c r="A718" s="173" t="s">
        <v>1599</v>
      </c>
      <c r="B718" s="174">
        <v>42948</v>
      </c>
      <c r="C718" s="173" t="s">
        <v>1231</v>
      </c>
      <c r="D718" s="173" t="s">
        <v>1237</v>
      </c>
      <c r="E718" s="173" t="s">
        <v>1479</v>
      </c>
      <c r="F718" s="173">
        <v>2</v>
      </c>
      <c r="G718" s="173" t="s">
        <v>35</v>
      </c>
      <c r="H718" s="173">
        <v>2</v>
      </c>
      <c r="I718" s="173" t="s">
        <v>1600</v>
      </c>
      <c r="J718" s="173" t="s">
        <v>1451</v>
      </c>
      <c r="K718" s="173" t="s">
        <v>16</v>
      </c>
      <c r="L718" s="173"/>
      <c r="M718" s="173" t="s">
        <v>41</v>
      </c>
      <c r="N718" s="173">
        <v>14011711</v>
      </c>
      <c r="O718" s="175">
        <v>3696639</v>
      </c>
      <c r="P718" s="7"/>
      <c r="Q718" s="16">
        <f>+IF(IFERROR(VLOOKUP(Tabla3[[#This Row],[Cliente factura]],Tabla4[[NIT]:[TOTAL CREDITO]],3,FALSE),0)="",0,IFERROR(VLOOKUP(Tabla3[[#This Row],[Cliente factura]],Tabla4[[NIT]:[TOTAL CREDITO]],3,FALSE),0))</f>
        <v>20739828</v>
      </c>
      <c r="R718" s="9">
        <f>+IFERROR(VLOOKUP(Tabla3[[#This Row],[Cliente factura]],Tabla4[[NIT]:[TOTAL CREDITO]],6,FALSE),0)</f>
        <v>200000000</v>
      </c>
      <c r="S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8" s="10" t="str">
        <f>VLOOKUP(Tabla3[[#This Row],[Razón social cliente factura]]&amp;Tabla3[[#This Row],[Desc. ciudad]],'Estandar de Rutas'!$C$1:$E$553,2,FALSE)</f>
        <v>5.2</v>
      </c>
      <c r="U718" s="130">
        <f>IFERROR(VLOOKUP(Tabla3[[#This Row],[Referencia]]&amp;Tabla3[[#This Row],[Desc detalle ext 1]],Tabla1[[Referencia-Color]:[Disponibilidad]],3,FALSE),0)</f>
        <v>3</v>
      </c>
      <c r="V718" s="13"/>
      <c r="W718" s="17">
        <f>+Tabla3[[#This Row],[Cant. Programada]]*Tabla3[[#This Row],[Precio unit]]</f>
        <v>0</v>
      </c>
      <c r="X718" s="8"/>
      <c r="Y718" s="8"/>
      <c r="Z718" s="8" t="str">
        <f>+Tabla3[[#This Row],[Referencia]]&amp;Tabla3[[#This Row],[Desc detalle ext 1]]</f>
        <v xml:space="preserve">CB 110 DLX                                        NEGRO    </v>
      </c>
      <c r="AA718" s="128" t="e">
        <f>+VLOOKUP(Tabla3[[#This Row],[CODIGO2]],ESTANDAR!$B$3:$C$9,2,FALSE)</f>
        <v>#N/A</v>
      </c>
      <c r="AB718" s="128" t="str">
        <f>+MID(Tabla3[[#This Row],['# Viaje]],10,1)</f>
        <v/>
      </c>
    </row>
    <row r="719" spans="1:28" ht="15" hidden="1" customHeight="1">
      <c r="A719" s="173" t="s">
        <v>1601</v>
      </c>
      <c r="B719" s="174">
        <v>42948</v>
      </c>
      <c r="C719" s="173" t="s">
        <v>1477</v>
      </c>
      <c r="D719" s="173" t="s">
        <v>1237</v>
      </c>
      <c r="E719" s="173" t="s">
        <v>1479</v>
      </c>
      <c r="F719" s="173">
        <v>1</v>
      </c>
      <c r="G719" s="173" t="s">
        <v>203</v>
      </c>
      <c r="H719" s="173">
        <v>1</v>
      </c>
      <c r="I719" s="173" t="s">
        <v>1602</v>
      </c>
      <c r="J719" s="173" t="s">
        <v>27</v>
      </c>
      <c r="K719" s="173" t="s">
        <v>26</v>
      </c>
      <c r="L719" s="173"/>
      <c r="M719" s="173" t="s">
        <v>204</v>
      </c>
      <c r="N719" s="173">
        <v>811044897</v>
      </c>
      <c r="O719" s="175">
        <v>5789916</v>
      </c>
      <c r="P719" s="7"/>
      <c r="Q719" s="16">
        <f>+IF(IFERROR(VLOOKUP(Tabla3[[#This Row],[Cliente factura]],Tabla4[[NIT]:[TOTAL CREDITO]],3,FALSE),0)="",0,IFERROR(VLOOKUP(Tabla3[[#This Row],[Cliente factura]],Tabla4[[NIT]:[TOTAL CREDITO]],3,FALSE),0))</f>
        <v>34012723</v>
      </c>
      <c r="R719" s="9">
        <f>+IFERROR(VLOOKUP(Tabla3[[#This Row],[Cliente factura]],Tabla4[[NIT]:[TOTAL CREDITO]],6,FALSE),0)</f>
        <v>0</v>
      </c>
      <c r="S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9" s="10" t="str">
        <f>VLOOKUP(Tabla3[[#This Row],[Razón social cliente factura]]&amp;Tabla3[[#This Row],[Desc. ciudad]],'Estandar de Rutas'!$C$1:$E$553,2,FALSE)</f>
        <v>6.2</v>
      </c>
      <c r="U719" s="130">
        <f>IFERROR(VLOOKUP(Tabla3[[#This Row],[Referencia]]&amp;Tabla3[[#This Row],[Desc detalle ext 1]],Tabla1[[Referencia-Color]:[Disponibilidad]],3,FALSE),0)</f>
        <v>59</v>
      </c>
      <c r="V719" s="13"/>
      <c r="W719" s="17">
        <f>+Tabla3[[#This Row],[Cant. Programada]]*Tabla3[[#This Row],[Precio unit]]</f>
        <v>0</v>
      </c>
      <c r="X719" s="129"/>
      <c r="Y719" s="129"/>
      <c r="Z719" s="8" t="str">
        <f>+Tabla3[[#This Row],[Referencia]]&amp;Tabla3[[#This Row],[Desc detalle ext 1]]</f>
        <v>*XR 150L                                          NEGRO BLA</v>
      </c>
      <c r="AA719" s="128" t="e">
        <f>+VLOOKUP(Tabla3[[#This Row],[CODIGO2]],ESTANDAR!$B$3:$C$9,2,FALSE)</f>
        <v>#N/A</v>
      </c>
      <c r="AB719" s="128" t="str">
        <f>+MID(Tabla3[[#This Row],['# Viaje]],10,1)</f>
        <v/>
      </c>
    </row>
    <row r="720" spans="1:28" ht="15" hidden="1" customHeight="1">
      <c r="A720" s="173" t="s">
        <v>1601</v>
      </c>
      <c r="B720" s="174">
        <v>42948</v>
      </c>
      <c r="C720" s="173" t="s">
        <v>1477</v>
      </c>
      <c r="D720" s="173" t="s">
        <v>1237</v>
      </c>
      <c r="E720" s="173" t="s">
        <v>1479</v>
      </c>
      <c r="F720" s="173">
        <v>3</v>
      </c>
      <c r="G720" s="173" t="s">
        <v>203</v>
      </c>
      <c r="H720" s="173">
        <v>3</v>
      </c>
      <c r="I720" s="173" t="s">
        <v>1602</v>
      </c>
      <c r="J720" s="173" t="s">
        <v>27</v>
      </c>
      <c r="K720" s="173" t="s">
        <v>16</v>
      </c>
      <c r="L720" s="173"/>
      <c r="M720" s="173" t="s">
        <v>204</v>
      </c>
      <c r="N720" s="173">
        <v>811044897</v>
      </c>
      <c r="O720" s="175">
        <v>5789916</v>
      </c>
      <c r="P720" s="7"/>
      <c r="Q720" s="16">
        <f>+IF(IFERROR(VLOOKUP(Tabla3[[#This Row],[Cliente factura]],Tabla4[[NIT]:[TOTAL CREDITO]],3,FALSE),0)="",0,IFERROR(VLOOKUP(Tabla3[[#This Row],[Cliente factura]],Tabla4[[NIT]:[TOTAL CREDITO]],3,FALSE),0))</f>
        <v>34012723</v>
      </c>
      <c r="R720" s="9">
        <f>+IFERROR(VLOOKUP(Tabla3[[#This Row],[Cliente factura]],Tabla4[[NIT]:[TOTAL CREDITO]],6,FALSE),0)</f>
        <v>0</v>
      </c>
      <c r="S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0" s="10" t="str">
        <f>VLOOKUP(Tabla3[[#This Row],[Razón social cliente factura]]&amp;Tabla3[[#This Row],[Desc. ciudad]],'Estandar de Rutas'!$C$1:$E$553,2,FALSE)</f>
        <v>6.2</v>
      </c>
      <c r="U720" s="130">
        <f>IFERROR(VLOOKUP(Tabla3[[#This Row],[Referencia]]&amp;Tabla3[[#This Row],[Desc detalle ext 1]],Tabla1[[Referencia-Color]:[Disponibilidad]],3,FALSE),0)</f>
        <v>3</v>
      </c>
      <c r="V720" s="13">
        <v>1</v>
      </c>
      <c r="W720" s="17">
        <f>+Tabla3[[#This Row],[Cant. Programada]]*Tabla3[[#This Row],[Precio unit]]</f>
        <v>5789916</v>
      </c>
      <c r="X720" s="130" t="s">
        <v>1903</v>
      </c>
      <c r="Y720" s="129">
        <v>1</v>
      </c>
      <c r="Z720" s="8" t="str">
        <f>+Tabla3[[#This Row],[Referencia]]&amp;Tabla3[[#This Row],[Desc detalle ext 1]]</f>
        <v xml:space="preserve">*XR 150L                                          NEGRO    </v>
      </c>
      <c r="AA720" s="128" t="str">
        <f>+VLOOKUP(Tabla3[[#This Row],[CODIGO2]],ESTANDAR!$B$3:$C$9,2,FALSE)</f>
        <v>ENTREGAS</v>
      </c>
      <c r="AB720" s="128" t="str">
        <f>+MID(Tabla3[[#This Row],['# Viaje]],10,1)</f>
        <v>E</v>
      </c>
    </row>
    <row r="721" spans="1:28" ht="15" hidden="1" customHeight="1">
      <c r="A721" s="173" t="s">
        <v>1601</v>
      </c>
      <c r="B721" s="174">
        <v>42948</v>
      </c>
      <c r="C721" s="173" t="s">
        <v>1477</v>
      </c>
      <c r="D721" s="173" t="s">
        <v>1237</v>
      </c>
      <c r="E721" s="173" t="s">
        <v>1479</v>
      </c>
      <c r="F721" s="173">
        <v>2</v>
      </c>
      <c r="G721" s="173" t="s">
        <v>203</v>
      </c>
      <c r="H721" s="173">
        <v>2</v>
      </c>
      <c r="I721" s="173" t="s">
        <v>1602</v>
      </c>
      <c r="J721" s="173" t="s">
        <v>27</v>
      </c>
      <c r="K721" s="173" t="s">
        <v>32</v>
      </c>
      <c r="L721" s="173"/>
      <c r="M721" s="173" t="s">
        <v>204</v>
      </c>
      <c r="N721" s="173">
        <v>811044897</v>
      </c>
      <c r="O721" s="175">
        <v>5789916</v>
      </c>
      <c r="P721" s="7"/>
      <c r="Q721" s="16">
        <f>+IF(IFERROR(VLOOKUP(Tabla3[[#This Row],[Cliente factura]],Tabla4[[NIT]:[TOTAL CREDITO]],3,FALSE),0)="",0,IFERROR(VLOOKUP(Tabla3[[#This Row],[Cliente factura]],Tabla4[[NIT]:[TOTAL CREDITO]],3,FALSE),0))</f>
        <v>34012723</v>
      </c>
      <c r="R721" s="9">
        <f>+IFERROR(VLOOKUP(Tabla3[[#This Row],[Cliente factura]],Tabla4[[NIT]:[TOTAL CREDITO]],6,FALSE),0)</f>
        <v>0</v>
      </c>
      <c r="S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1" s="10" t="str">
        <f>VLOOKUP(Tabla3[[#This Row],[Razón social cliente factura]]&amp;Tabla3[[#This Row],[Desc. ciudad]],'Estandar de Rutas'!$C$1:$E$553,2,FALSE)</f>
        <v>6.2</v>
      </c>
      <c r="U721" s="130">
        <f>IFERROR(VLOOKUP(Tabla3[[#This Row],[Referencia]]&amp;Tabla3[[#This Row],[Desc detalle ext 1]],Tabla1[[Referencia-Color]:[Disponibilidad]],3,FALSE),0)</f>
        <v>7</v>
      </c>
      <c r="V721" s="13">
        <v>1</v>
      </c>
      <c r="W721" s="17">
        <f>+Tabla3[[#This Row],[Cant. Programada]]*Tabla3[[#This Row],[Precio unit]]</f>
        <v>5789916</v>
      </c>
      <c r="X721" s="130" t="s">
        <v>1903</v>
      </c>
      <c r="Y721" s="8">
        <v>1</v>
      </c>
      <c r="Z721" s="8" t="str">
        <f>+Tabla3[[#This Row],[Referencia]]&amp;Tabla3[[#This Row],[Desc detalle ext 1]]</f>
        <v>*XR 150L                                          NEGRO ROJ</v>
      </c>
      <c r="AA721" s="128" t="str">
        <f>+VLOOKUP(Tabla3[[#This Row],[CODIGO2]],ESTANDAR!$B$3:$C$9,2,FALSE)</f>
        <v>ENTREGAS</v>
      </c>
      <c r="AB721" s="128" t="str">
        <f>+MID(Tabla3[[#This Row],['# Viaje]],10,1)</f>
        <v>E</v>
      </c>
    </row>
    <row r="722" spans="1:28" ht="15" hidden="1" customHeight="1">
      <c r="A722" s="173" t="s">
        <v>1601</v>
      </c>
      <c r="B722" s="174">
        <v>42948</v>
      </c>
      <c r="C722" s="173" t="s">
        <v>1477</v>
      </c>
      <c r="D722" s="173" t="s">
        <v>1237</v>
      </c>
      <c r="E722" s="173" t="s">
        <v>1479</v>
      </c>
      <c r="F722" s="173">
        <v>1</v>
      </c>
      <c r="G722" s="173" t="s">
        <v>203</v>
      </c>
      <c r="H722" s="173">
        <v>1</v>
      </c>
      <c r="I722" s="173" t="s">
        <v>1602</v>
      </c>
      <c r="J722" s="173" t="s">
        <v>354</v>
      </c>
      <c r="K722" s="173" t="s">
        <v>474</v>
      </c>
      <c r="L722" s="173"/>
      <c r="M722" s="173" t="s">
        <v>204</v>
      </c>
      <c r="N722" s="173">
        <v>811044897</v>
      </c>
      <c r="O722" s="175">
        <v>6133613</v>
      </c>
      <c r="P722" s="7"/>
      <c r="Q722" s="16">
        <f>+IF(IFERROR(VLOOKUP(Tabla3[[#This Row],[Cliente factura]],Tabla4[[NIT]:[TOTAL CREDITO]],3,FALSE),0)="",0,IFERROR(VLOOKUP(Tabla3[[#This Row],[Cliente factura]],Tabla4[[NIT]:[TOTAL CREDITO]],3,FALSE),0))</f>
        <v>34012723</v>
      </c>
      <c r="R722" s="9">
        <f>+IFERROR(VLOOKUP(Tabla3[[#This Row],[Cliente factura]],Tabla4[[NIT]:[TOTAL CREDITO]],6,FALSE),0)</f>
        <v>0</v>
      </c>
      <c r="S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2" s="10" t="str">
        <f>VLOOKUP(Tabla3[[#This Row],[Razón social cliente factura]]&amp;Tabla3[[#This Row],[Desc. ciudad]],'Estandar de Rutas'!$C$1:$E$553,2,FALSE)</f>
        <v>6.2</v>
      </c>
      <c r="U722" s="130">
        <f>IFERROR(VLOOKUP(Tabla3[[#This Row],[Referencia]]&amp;Tabla3[[#This Row],[Desc detalle ext 1]],Tabla1[[Referencia-Color]:[Disponibilidad]],3,FALSE),0)</f>
        <v>3</v>
      </c>
      <c r="V722" s="13">
        <v>1</v>
      </c>
      <c r="W722" s="17">
        <f>+Tabla3[[#This Row],[Cant. Programada]]*Tabla3[[#This Row],[Precio unit]]</f>
        <v>6133613</v>
      </c>
      <c r="X722" s="130" t="s">
        <v>1903</v>
      </c>
      <c r="Y722" s="129">
        <v>1</v>
      </c>
      <c r="Z722" s="8" t="str">
        <f>+Tabla3[[#This Row],[Referencia]]&amp;Tabla3[[#This Row],[Desc detalle ext 1]]</f>
        <v>CB 160F DLX                                       NARANJA N</v>
      </c>
      <c r="AA722" s="128" t="str">
        <f>+VLOOKUP(Tabla3[[#This Row],[CODIGO2]],ESTANDAR!$B$3:$C$9,2,FALSE)</f>
        <v>ENTREGAS</v>
      </c>
      <c r="AB722" s="128" t="str">
        <f>+MID(Tabla3[[#This Row],['# Viaje]],10,1)</f>
        <v>E</v>
      </c>
    </row>
    <row r="723" spans="1:28" ht="15" hidden="1" customHeight="1">
      <c r="A723" s="173" t="s">
        <v>1601</v>
      </c>
      <c r="B723" s="174">
        <v>42948</v>
      </c>
      <c r="C723" s="173" t="s">
        <v>1477</v>
      </c>
      <c r="D723" s="173" t="s">
        <v>1237</v>
      </c>
      <c r="E723" s="173" t="s">
        <v>1479</v>
      </c>
      <c r="F723" s="173">
        <v>2</v>
      </c>
      <c r="G723" s="173" t="s">
        <v>203</v>
      </c>
      <c r="H723" s="173">
        <v>2</v>
      </c>
      <c r="I723" s="173" t="s">
        <v>1602</v>
      </c>
      <c r="J723" s="173" t="s">
        <v>354</v>
      </c>
      <c r="K723" s="173" t="s">
        <v>355</v>
      </c>
      <c r="L723" s="173"/>
      <c r="M723" s="173" t="s">
        <v>204</v>
      </c>
      <c r="N723" s="173">
        <v>811044897</v>
      </c>
      <c r="O723" s="175">
        <v>6133613</v>
      </c>
      <c r="P723" s="7"/>
      <c r="Q723" s="16">
        <f>+IF(IFERROR(VLOOKUP(Tabla3[[#This Row],[Cliente factura]],Tabla4[[NIT]:[TOTAL CREDITO]],3,FALSE),0)="",0,IFERROR(VLOOKUP(Tabla3[[#This Row],[Cliente factura]],Tabla4[[NIT]:[TOTAL CREDITO]],3,FALSE),0))</f>
        <v>34012723</v>
      </c>
      <c r="R723" s="9">
        <f>+IFERROR(VLOOKUP(Tabla3[[#This Row],[Cliente factura]],Tabla4[[NIT]:[TOTAL CREDITO]],6,FALSE),0)</f>
        <v>0</v>
      </c>
      <c r="S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3" s="10" t="str">
        <f>VLOOKUP(Tabla3[[#This Row],[Razón social cliente factura]]&amp;Tabla3[[#This Row],[Desc. ciudad]],'Estandar de Rutas'!$C$1:$E$553,2,FALSE)</f>
        <v>6.2</v>
      </c>
      <c r="U723" s="130">
        <f>IFERROR(VLOOKUP(Tabla3[[#This Row],[Referencia]]&amp;Tabla3[[#This Row],[Desc detalle ext 1]],Tabla1[[Referencia-Color]:[Disponibilidad]],3,FALSE),0)</f>
        <v>0</v>
      </c>
      <c r="V723" s="13"/>
      <c r="W723" s="17">
        <f>+Tabla3[[#This Row],[Cant. Programada]]*Tabla3[[#This Row],[Precio unit]]</f>
        <v>0</v>
      </c>
      <c r="X723" s="8"/>
      <c r="Y723" s="8"/>
      <c r="Z723" s="8" t="str">
        <f>+Tabla3[[#This Row],[Referencia]]&amp;Tabla3[[#This Row],[Desc detalle ext 1]]</f>
        <v>CB 160F DLX                                       NEGRO PER</v>
      </c>
      <c r="AA723" s="128" t="e">
        <f>+VLOOKUP(Tabla3[[#This Row],[CODIGO2]],ESTANDAR!$B$3:$C$9,2,FALSE)</f>
        <v>#N/A</v>
      </c>
      <c r="AB723" s="128" t="str">
        <f>+MID(Tabla3[[#This Row],['# Viaje]],10,1)</f>
        <v/>
      </c>
    </row>
    <row r="724" spans="1:28" ht="15" hidden="1" customHeight="1">
      <c r="A724" s="173" t="s">
        <v>1601</v>
      </c>
      <c r="B724" s="174">
        <v>42948</v>
      </c>
      <c r="C724" s="173" t="s">
        <v>1477</v>
      </c>
      <c r="D724" s="173" t="s">
        <v>1237</v>
      </c>
      <c r="E724" s="173" t="s">
        <v>1479</v>
      </c>
      <c r="F724" s="173">
        <v>1</v>
      </c>
      <c r="G724" s="173" t="s">
        <v>203</v>
      </c>
      <c r="H724" s="173">
        <v>1</v>
      </c>
      <c r="I724" s="173" t="s">
        <v>1602</v>
      </c>
      <c r="J724" s="173" t="s">
        <v>1453</v>
      </c>
      <c r="K724" s="173" t="s">
        <v>11</v>
      </c>
      <c r="L724" s="173"/>
      <c r="M724" s="173" t="s">
        <v>204</v>
      </c>
      <c r="N724" s="173">
        <v>811044897</v>
      </c>
      <c r="O724" s="175">
        <v>7730252</v>
      </c>
      <c r="P724" s="7"/>
      <c r="Q724" s="16">
        <f>+IF(IFERROR(VLOOKUP(Tabla3[[#This Row],[Cliente factura]],Tabla4[[NIT]:[TOTAL CREDITO]],3,FALSE),0)="",0,IFERROR(VLOOKUP(Tabla3[[#This Row],[Cliente factura]],Tabla4[[NIT]:[TOTAL CREDITO]],3,FALSE),0))</f>
        <v>34012723</v>
      </c>
      <c r="R724" s="9">
        <f>+IFERROR(VLOOKUP(Tabla3[[#This Row],[Cliente factura]],Tabla4[[NIT]:[TOTAL CREDITO]],6,FALSE),0)</f>
        <v>0</v>
      </c>
      <c r="S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4" s="10" t="str">
        <f>VLOOKUP(Tabla3[[#This Row],[Razón social cliente factura]]&amp;Tabla3[[#This Row],[Desc. ciudad]],'Estandar de Rutas'!$C$1:$E$553,2,FALSE)</f>
        <v>6.2</v>
      </c>
      <c r="U724" s="130">
        <f>IFERROR(VLOOKUP(Tabla3[[#This Row],[Referencia]]&amp;Tabla3[[#This Row],[Desc detalle ext 1]],Tabla1[[Referencia-Color]:[Disponibilidad]],3,FALSE),0)</f>
        <v>0</v>
      </c>
      <c r="V724" s="13"/>
      <c r="W724" s="17">
        <f>+Tabla3[[#This Row],[Cant. Programada]]*Tabla3[[#This Row],[Precio unit]]</f>
        <v>0</v>
      </c>
      <c r="X724" s="8"/>
      <c r="Y724" s="8"/>
      <c r="Z724" s="8" t="str">
        <f>+Tabla3[[#This Row],[Referencia]]&amp;Tabla3[[#This Row],[Desc detalle ext 1]]</f>
        <v>CB 190R INSTINTO R                                NEGRO ONI</v>
      </c>
      <c r="AA724" s="128" t="e">
        <f>+VLOOKUP(Tabla3[[#This Row],[CODIGO2]],ESTANDAR!$B$3:$C$9,2,FALSE)</f>
        <v>#N/A</v>
      </c>
      <c r="AB724" s="128" t="str">
        <f>+MID(Tabla3[[#This Row],['# Viaje]],10,1)</f>
        <v/>
      </c>
    </row>
    <row r="725" spans="1:28" ht="15" hidden="1" customHeight="1">
      <c r="A725" s="173" t="s">
        <v>1601</v>
      </c>
      <c r="B725" s="174">
        <v>42948</v>
      </c>
      <c r="C725" s="173" t="s">
        <v>1477</v>
      </c>
      <c r="D725" s="173" t="s">
        <v>1237</v>
      </c>
      <c r="E725" s="173" t="s">
        <v>1479</v>
      </c>
      <c r="F725" s="173">
        <v>1</v>
      </c>
      <c r="G725" s="173" t="s">
        <v>203</v>
      </c>
      <c r="H725" s="173">
        <v>1</v>
      </c>
      <c r="I725" s="173" t="s">
        <v>1602</v>
      </c>
      <c r="J725" s="173" t="s">
        <v>1428</v>
      </c>
      <c r="K725" s="173" t="s">
        <v>1461</v>
      </c>
      <c r="L725" s="173"/>
      <c r="M725" s="173" t="s">
        <v>204</v>
      </c>
      <c r="N725" s="173">
        <v>811044897</v>
      </c>
      <c r="O725" s="175">
        <v>3067227</v>
      </c>
      <c r="P725" s="7"/>
      <c r="Q725" s="16">
        <f>+IF(IFERROR(VLOOKUP(Tabla3[[#This Row],[Cliente factura]],Tabla4[[NIT]:[TOTAL CREDITO]],3,FALSE),0)="",0,IFERROR(VLOOKUP(Tabla3[[#This Row],[Cliente factura]],Tabla4[[NIT]:[TOTAL CREDITO]],3,FALSE),0))</f>
        <v>34012723</v>
      </c>
      <c r="R725" s="9">
        <f>+IFERROR(VLOOKUP(Tabla3[[#This Row],[Cliente factura]],Tabla4[[NIT]:[TOTAL CREDITO]],6,FALSE),0)</f>
        <v>0</v>
      </c>
      <c r="S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5" s="10" t="str">
        <f>VLOOKUP(Tabla3[[#This Row],[Razón social cliente factura]]&amp;Tabla3[[#This Row],[Desc. ciudad]],'Estandar de Rutas'!$C$1:$E$553,2,FALSE)</f>
        <v>6.2</v>
      </c>
      <c r="U725" s="130">
        <f>IFERROR(VLOOKUP(Tabla3[[#This Row],[Referencia]]&amp;Tabla3[[#This Row],[Desc detalle ext 1]],Tabla1[[Referencia-Color]:[Disponibilidad]],3,FALSE),0)</f>
        <v>0</v>
      </c>
      <c r="V725" s="13"/>
      <c r="W725" s="17">
        <f>+Tabla3[[#This Row],[Cant. Programada]]*Tabla3[[#This Row],[Precio unit]]</f>
        <v>0</v>
      </c>
      <c r="X725" s="130"/>
      <c r="Y725" s="8"/>
      <c r="Z725" s="8" t="str">
        <f>+Tabla3[[#This Row],[Referencia]]&amp;Tabla3[[#This Row],[Desc detalle ext 1]]</f>
        <v>DREAM  NEO                                        ROJO ALFA</v>
      </c>
      <c r="AA725" s="128" t="e">
        <f>+VLOOKUP(Tabla3[[#This Row],[CODIGO2]],ESTANDAR!$B$3:$C$9,2,FALSE)</f>
        <v>#N/A</v>
      </c>
      <c r="AB725" s="128" t="str">
        <f>+MID(Tabla3[[#This Row],['# Viaje]],10,1)</f>
        <v/>
      </c>
    </row>
    <row r="726" spans="1:28" ht="15" hidden="1" customHeight="1">
      <c r="A726" s="173" t="s">
        <v>1601</v>
      </c>
      <c r="B726" s="174">
        <v>42948</v>
      </c>
      <c r="C726" s="173" t="s">
        <v>1477</v>
      </c>
      <c r="D726" s="173" t="s">
        <v>1237</v>
      </c>
      <c r="E726" s="173" t="s">
        <v>1479</v>
      </c>
      <c r="F726" s="173">
        <v>2</v>
      </c>
      <c r="G726" s="173" t="s">
        <v>203</v>
      </c>
      <c r="H726" s="173">
        <v>2</v>
      </c>
      <c r="I726" s="173" t="s">
        <v>1602</v>
      </c>
      <c r="J726" s="173" t="s">
        <v>1234</v>
      </c>
      <c r="K726" s="173" t="s">
        <v>355</v>
      </c>
      <c r="L726" s="173"/>
      <c r="M726" s="173" t="s">
        <v>204</v>
      </c>
      <c r="N726" s="173">
        <v>811044897</v>
      </c>
      <c r="O726" s="175">
        <v>5453782</v>
      </c>
      <c r="P726" s="7"/>
      <c r="Q726" s="16">
        <f>+IF(IFERROR(VLOOKUP(Tabla3[[#This Row],[Cliente factura]],Tabla4[[NIT]:[TOTAL CREDITO]],3,FALSE),0)="",0,IFERROR(VLOOKUP(Tabla3[[#This Row],[Cliente factura]],Tabla4[[NIT]:[TOTAL CREDITO]],3,FALSE),0))</f>
        <v>34012723</v>
      </c>
      <c r="R726" s="9">
        <f>+IFERROR(VLOOKUP(Tabla3[[#This Row],[Cliente factura]],Tabla4[[NIT]:[TOTAL CREDITO]],6,FALSE),0)</f>
        <v>0</v>
      </c>
      <c r="S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6" s="10" t="str">
        <f>VLOOKUP(Tabla3[[#This Row],[Razón social cliente factura]]&amp;Tabla3[[#This Row],[Desc. ciudad]],'Estandar de Rutas'!$C$1:$E$553,2,FALSE)</f>
        <v>6.2</v>
      </c>
      <c r="U726" s="130">
        <f>IFERROR(VLOOKUP(Tabla3[[#This Row],[Referencia]]&amp;Tabla3[[#This Row],[Desc detalle ext 1]],Tabla1[[Referencia-Color]:[Disponibilidad]],3,FALSE),0)</f>
        <v>0</v>
      </c>
      <c r="V726" s="13"/>
      <c r="W726" s="17">
        <f>+Tabla3[[#This Row],[Cant. Programada]]*Tabla3[[#This Row],[Precio unit]]</f>
        <v>0</v>
      </c>
      <c r="X726" s="8"/>
      <c r="Y726" s="8"/>
      <c r="Z726" s="8" t="str">
        <f>+Tabla3[[#This Row],[Referencia]]&amp;Tabla3[[#This Row],[Desc detalle ext 1]]</f>
        <v>CB 160F STD                                       NEGRO PER</v>
      </c>
      <c r="AA726" s="128" t="e">
        <f>+VLOOKUP(Tabla3[[#This Row],[CODIGO2]],ESTANDAR!$B$3:$C$9,2,FALSE)</f>
        <v>#N/A</v>
      </c>
      <c r="AB726" s="128" t="str">
        <f>+MID(Tabla3[[#This Row],['# Viaje]],10,1)</f>
        <v/>
      </c>
    </row>
    <row r="727" spans="1:28" ht="15" hidden="1" customHeight="1">
      <c r="A727" s="173" t="s">
        <v>1601</v>
      </c>
      <c r="B727" s="174">
        <v>42948</v>
      </c>
      <c r="C727" s="173" t="s">
        <v>1477</v>
      </c>
      <c r="D727" s="173" t="s">
        <v>1237</v>
      </c>
      <c r="E727" s="173" t="s">
        <v>1479</v>
      </c>
      <c r="F727" s="173">
        <v>1</v>
      </c>
      <c r="G727" s="173" t="s">
        <v>203</v>
      </c>
      <c r="H727" s="173">
        <v>1</v>
      </c>
      <c r="I727" s="173" t="s">
        <v>1602</v>
      </c>
      <c r="J727" s="173" t="s">
        <v>1451</v>
      </c>
      <c r="K727" s="173" t="s">
        <v>1452</v>
      </c>
      <c r="L727" s="173"/>
      <c r="M727" s="173" t="s">
        <v>204</v>
      </c>
      <c r="N727" s="173">
        <v>811044897</v>
      </c>
      <c r="O727" s="175">
        <v>3696639</v>
      </c>
      <c r="P727" s="7"/>
      <c r="Q727" s="16">
        <f>+IF(IFERROR(VLOOKUP(Tabla3[[#This Row],[Cliente factura]],Tabla4[[NIT]:[TOTAL CREDITO]],3,FALSE),0)="",0,IFERROR(VLOOKUP(Tabla3[[#This Row],[Cliente factura]],Tabla4[[NIT]:[TOTAL CREDITO]],3,FALSE),0))</f>
        <v>34012723</v>
      </c>
      <c r="R727" s="9">
        <f>+IFERROR(VLOOKUP(Tabla3[[#This Row],[Cliente factura]],Tabla4[[NIT]:[TOTAL CREDITO]],6,FALSE),0)</f>
        <v>0</v>
      </c>
      <c r="S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7" s="10" t="str">
        <f>VLOOKUP(Tabla3[[#This Row],[Razón social cliente factura]]&amp;Tabla3[[#This Row],[Desc. ciudad]],'Estandar de Rutas'!$C$1:$E$553,2,FALSE)</f>
        <v>6.2</v>
      </c>
      <c r="U727" s="130">
        <f>IFERROR(VLOOKUP(Tabla3[[#This Row],[Referencia]]&amp;Tabla3[[#This Row],[Desc detalle ext 1]],Tabla1[[Referencia-Color]:[Disponibilidad]],3,FALSE),0)</f>
        <v>21</v>
      </c>
      <c r="V727" s="13">
        <v>1</v>
      </c>
      <c r="W727" s="17">
        <f>+Tabla3[[#This Row],[Cant. Programada]]*Tabla3[[#This Row],[Precio unit]]</f>
        <v>3696639</v>
      </c>
      <c r="X727" s="130" t="s">
        <v>1903</v>
      </c>
      <c r="Y727" s="8">
        <v>1</v>
      </c>
      <c r="Z727" s="8" t="str">
        <f>+Tabla3[[#This Row],[Referencia]]&amp;Tabla3[[#This Row],[Desc detalle ext 1]]</f>
        <v xml:space="preserve">CB 110 DLX                                        AZUL     </v>
      </c>
      <c r="AA727" s="128" t="str">
        <f>+VLOOKUP(Tabla3[[#This Row],[CODIGO2]],ESTANDAR!$B$3:$C$9,2,FALSE)</f>
        <v>ENTREGAS</v>
      </c>
      <c r="AB727" s="128" t="str">
        <f>+MID(Tabla3[[#This Row],['# Viaje]],10,1)</f>
        <v>E</v>
      </c>
    </row>
    <row r="728" spans="1:28" ht="15" hidden="1" customHeight="1">
      <c r="A728" s="173" t="s">
        <v>1601</v>
      </c>
      <c r="B728" s="174">
        <v>42948</v>
      </c>
      <c r="C728" s="173" t="s">
        <v>1477</v>
      </c>
      <c r="D728" s="173" t="s">
        <v>1237</v>
      </c>
      <c r="E728" s="173" t="s">
        <v>1479</v>
      </c>
      <c r="F728" s="173">
        <v>3</v>
      </c>
      <c r="G728" s="173" t="s">
        <v>203</v>
      </c>
      <c r="H728" s="173">
        <v>3</v>
      </c>
      <c r="I728" s="173" t="s">
        <v>1602</v>
      </c>
      <c r="J728" s="173" t="s">
        <v>1451</v>
      </c>
      <c r="K728" s="173" t="s">
        <v>16</v>
      </c>
      <c r="L728" s="173"/>
      <c r="M728" s="173" t="s">
        <v>204</v>
      </c>
      <c r="N728" s="173">
        <v>811044897</v>
      </c>
      <c r="O728" s="175">
        <v>3696639</v>
      </c>
      <c r="P728" s="7"/>
      <c r="Q728" s="16">
        <f>+IF(IFERROR(VLOOKUP(Tabla3[[#This Row],[Cliente factura]],Tabla4[[NIT]:[TOTAL CREDITO]],3,FALSE),0)="",0,IFERROR(VLOOKUP(Tabla3[[#This Row],[Cliente factura]],Tabla4[[NIT]:[TOTAL CREDITO]],3,FALSE),0))</f>
        <v>34012723</v>
      </c>
      <c r="R728" s="9">
        <f>+IFERROR(VLOOKUP(Tabla3[[#This Row],[Cliente factura]],Tabla4[[NIT]:[TOTAL CREDITO]],6,FALSE),0)</f>
        <v>0</v>
      </c>
      <c r="S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8" s="10" t="str">
        <f>VLOOKUP(Tabla3[[#This Row],[Razón social cliente factura]]&amp;Tabla3[[#This Row],[Desc. ciudad]],'Estandar de Rutas'!$C$1:$E$553,2,FALSE)</f>
        <v>6.2</v>
      </c>
      <c r="U728" s="130">
        <f>IFERROR(VLOOKUP(Tabla3[[#This Row],[Referencia]]&amp;Tabla3[[#This Row],[Desc detalle ext 1]],Tabla1[[Referencia-Color]:[Disponibilidad]],3,FALSE),0)</f>
        <v>3</v>
      </c>
      <c r="V728" s="13">
        <v>3</v>
      </c>
      <c r="W728" s="17">
        <f>+Tabla3[[#This Row],[Cant. Programada]]*Tabla3[[#This Row],[Precio unit]]</f>
        <v>11089917</v>
      </c>
      <c r="X728" s="130" t="s">
        <v>1903</v>
      </c>
      <c r="Y728" s="8">
        <v>1</v>
      </c>
      <c r="Z728" s="8" t="str">
        <f>+Tabla3[[#This Row],[Referencia]]&amp;Tabla3[[#This Row],[Desc detalle ext 1]]</f>
        <v xml:space="preserve">CB 110 DLX                                        NEGRO    </v>
      </c>
      <c r="AA728" s="128" t="str">
        <f>+VLOOKUP(Tabla3[[#This Row],[CODIGO2]],ESTANDAR!$B$3:$C$9,2,FALSE)</f>
        <v>ENTREGAS</v>
      </c>
      <c r="AB728" s="128" t="str">
        <f>+MID(Tabla3[[#This Row],['# Viaje]],10,1)</f>
        <v>E</v>
      </c>
    </row>
    <row r="729" spans="1:28" ht="15" hidden="1" customHeight="1">
      <c r="A729" s="173" t="s">
        <v>1603</v>
      </c>
      <c r="B729" s="174">
        <v>42948</v>
      </c>
      <c r="C729" s="173" t="s">
        <v>1231</v>
      </c>
      <c r="D729" s="173" t="s">
        <v>1237</v>
      </c>
      <c r="E729" s="173" t="s">
        <v>1479</v>
      </c>
      <c r="F729" s="173">
        <v>2</v>
      </c>
      <c r="G729" s="173" t="s">
        <v>1604</v>
      </c>
      <c r="H729" s="173">
        <v>2</v>
      </c>
      <c r="I729" s="173" t="s">
        <v>1604</v>
      </c>
      <c r="J729" s="173" t="s">
        <v>14</v>
      </c>
      <c r="K729" s="173" t="s">
        <v>1417</v>
      </c>
      <c r="L729" s="173"/>
      <c r="M729" s="173" t="s">
        <v>1605</v>
      </c>
      <c r="N729" s="173">
        <v>40205161</v>
      </c>
      <c r="O729" s="175">
        <v>3360504</v>
      </c>
      <c r="P729" s="7"/>
      <c r="Q729" s="16">
        <f>+IF(IFERROR(VLOOKUP(Tabla3[[#This Row],[Cliente factura]],Tabla4[[NIT]:[TOTAL CREDITO]],3,FALSE),0)="",0,IFERROR(VLOOKUP(Tabla3[[#This Row],[Cliente factura]],Tabla4[[NIT]:[TOTAL CREDITO]],3,FALSE),0))</f>
        <v>30478704</v>
      </c>
      <c r="R729" s="9">
        <f>+IFERROR(VLOOKUP(Tabla3[[#This Row],[Cliente factura]],Tabla4[[NIT]:[TOTAL CREDITO]],6,FALSE),0)</f>
        <v>0</v>
      </c>
      <c r="S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9" s="10" t="e">
        <f>VLOOKUP(Tabla3[[#This Row],[Razón social cliente factura]]&amp;Tabla3[[#This Row],[Desc. ciudad]],'Estandar de Rutas'!$C$1:$E$553,2,FALSE)</f>
        <v>#N/A</v>
      </c>
      <c r="U729" s="130">
        <f>IFERROR(VLOOKUP(Tabla3[[#This Row],[Referencia]]&amp;Tabla3[[#This Row],[Desc detalle ext 1]],Tabla1[[Referencia-Color]:[Disponibilidad]],3,FALSE),0)</f>
        <v>24</v>
      </c>
      <c r="V729" s="13"/>
      <c r="W729" s="17">
        <f>+Tabla3[[#This Row],[Cant. Programada]]*Tabla3[[#This Row],[Precio unit]]</f>
        <v>0</v>
      </c>
      <c r="X729" s="129"/>
      <c r="Y729" s="8"/>
      <c r="Z729" s="8" t="str">
        <f>+Tabla3[[#This Row],[Referencia]]&amp;Tabla3[[#This Row],[Desc detalle ext 1]]</f>
        <v xml:space="preserve">*CB-110                                           GRIS MET </v>
      </c>
      <c r="AA729" s="128" t="e">
        <f>+VLOOKUP(Tabla3[[#This Row],[CODIGO2]],ESTANDAR!$B$3:$C$9,2,FALSE)</f>
        <v>#N/A</v>
      </c>
      <c r="AB729" s="128" t="str">
        <f>+MID(Tabla3[[#This Row],['# Viaje]],10,1)</f>
        <v/>
      </c>
    </row>
    <row r="730" spans="1:28" ht="15" hidden="1" customHeight="1">
      <c r="A730" s="173" t="s">
        <v>1603</v>
      </c>
      <c r="B730" s="174">
        <v>42948</v>
      </c>
      <c r="C730" s="173" t="s">
        <v>1231</v>
      </c>
      <c r="D730" s="173" t="s">
        <v>1237</v>
      </c>
      <c r="E730" s="173" t="s">
        <v>1479</v>
      </c>
      <c r="F730" s="173">
        <v>3</v>
      </c>
      <c r="G730" s="173" t="s">
        <v>1604</v>
      </c>
      <c r="H730" s="173">
        <v>3</v>
      </c>
      <c r="I730" s="173" t="s">
        <v>1604</v>
      </c>
      <c r="J730" s="173" t="s">
        <v>14</v>
      </c>
      <c r="K730" s="173" t="s">
        <v>16</v>
      </c>
      <c r="L730" s="173"/>
      <c r="M730" s="173" t="s">
        <v>1605</v>
      </c>
      <c r="N730" s="173">
        <v>40205161</v>
      </c>
      <c r="O730" s="175">
        <v>3360504</v>
      </c>
      <c r="P730" s="7"/>
      <c r="Q730" s="16">
        <f>+IF(IFERROR(VLOOKUP(Tabla3[[#This Row],[Cliente factura]],Tabla4[[NIT]:[TOTAL CREDITO]],3,FALSE),0)="",0,IFERROR(VLOOKUP(Tabla3[[#This Row],[Cliente factura]],Tabla4[[NIT]:[TOTAL CREDITO]],3,FALSE),0))</f>
        <v>30478704</v>
      </c>
      <c r="R730" s="9">
        <f>+IFERROR(VLOOKUP(Tabla3[[#This Row],[Cliente factura]],Tabla4[[NIT]:[TOTAL CREDITO]],6,FALSE),0)</f>
        <v>0</v>
      </c>
      <c r="S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0" s="10" t="e">
        <f>VLOOKUP(Tabla3[[#This Row],[Razón social cliente factura]]&amp;Tabla3[[#This Row],[Desc. ciudad]],'Estandar de Rutas'!$C$1:$E$553,2,FALSE)</f>
        <v>#N/A</v>
      </c>
      <c r="U730" s="130">
        <f>IFERROR(VLOOKUP(Tabla3[[#This Row],[Referencia]]&amp;Tabla3[[#This Row],[Desc detalle ext 1]],Tabla1[[Referencia-Color]:[Disponibilidad]],3,FALSE),0)</f>
        <v>83</v>
      </c>
      <c r="V730" s="13"/>
      <c r="W730" s="17">
        <f>+Tabla3[[#This Row],[Cant. Programada]]*Tabla3[[#This Row],[Precio unit]]</f>
        <v>0</v>
      </c>
      <c r="X730" s="8"/>
      <c r="Y730" s="8"/>
      <c r="Z730" s="8" t="str">
        <f>+Tabla3[[#This Row],[Referencia]]&amp;Tabla3[[#This Row],[Desc detalle ext 1]]</f>
        <v xml:space="preserve">*CB-110                                           NEGRO    </v>
      </c>
      <c r="AA730" s="128" t="e">
        <f>+VLOOKUP(Tabla3[[#This Row],[CODIGO2]],ESTANDAR!$B$3:$C$9,2,FALSE)</f>
        <v>#N/A</v>
      </c>
      <c r="AB730" s="128" t="str">
        <f>+MID(Tabla3[[#This Row],['# Viaje]],10,1)</f>
        <v/>
      </c>
    </row>
    <row r="731" spans="1:28" ht="15" hidden="1" customHeight="1">
      <c r="A731" s="173" t="s">
        <v>1603</v>
      </c>
      <c r="B731" s="174">
        <v>42948</v>
      </c>
      <c r="C731" s="173" t="s">
        <v>1231</v>
      </c>
      <c r="D731" s="173" t="s">
        <v>1237</v>
      </c>
      <c r="E731" s="173" t="s">
        <v>1479</v>
      </c>
      <c r="F731" s="173">
        <v>1</v>
      </c>
      <c r="G731" s="173" t="s">
        <v>1604</v>
      </c>
      <c r="H731" s="173">
        <v>1</v>
      </c>
      <c r="I731" s="173" t="s">
        <v>1604</v>
      </c>
      <c r="J731" s="173" t="s">
        <v>14</v>
      </c>
      <c r="K731" s="173" t="s">
        <v>1418</v>
      </c>
      <c r="L731" s="173"/>
      <c r="M731" s="173" t="s">
        <v>1605</v>
      </c>
      <c r="N731" s="173">
        <v>40205161</v>
      </c>
      <c r="O731" s="175">
        <v>3360504</v>
      </c>
      <c r="P731" s="7"/>
      <c r="Q731" s="16">
        <f>+IF(IFERROR(VLOOKUP(Tabla3[[#This Row],[Cliente factura]],Tabla4[[NIT]:[TOTAL CREDITO]],3,FALSE),0)="",0,IFERROR(VLOOKUP(Tabla3[[#This Row],[Cliente factura]],Tabla4[[NIT]:[TOTAL CREDITO]],3,FALSE),0))</f>
        <v>30478704</v>
      </c>
      <c r="R731" s="9">
        <f>+IFERROR(VLOOKUP(Tabla3[[#This Row],[Cliente factura]],Tabla4[[NIT]:[TOTAL CREDITO]],6,FALSE),0)</f>
        <v>0</v>
      </c>
      <c r="S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1" s="10" t="e">
        <f>VLOOKUP(Tabla3[[#This Row],[Razón social cliente factura]]&amp;Tabla3[[#This Row],[Desc. ciudad]],'Estandar de Rutas'!$C$1:$E$553,2,FALSE)</f>
        <v>#N/A</v>
      </c>
      <c r="U731" s="130">
        <f>IFERROR(VLOOKUP(Tabla3[[#This Row],[Referencia]]&amp;Tabla3[[#This Row],[Desc detalle ext 1]],Tabla1[[Referencia-Color]:[Disponibilidad]],3,FALSE),0)</f>
        <v>0</v>
      </c>
      <c r="V731" s="13"/>
      <c r="W731" s="17">
        <f>+Tabla3[[#This Row],[Cant. Programada]]*Tabla3[[#This Row],[Precio unit]]</f>
        <v>0</v>
      </c>
      <c r="X731" s="8"/>
      <c r="Y731" s="8"/>
      <c r="Z731" s="8" t="str">
        <f>+Tabla3[[#This Row],[Referencia]]&amp;Tabla3[[#This Row],[Desc detalle ext 1]]</f>
        <v>*CB-110                                           VERDE CAN</v>
      </c>
      <c r="AA731" s="128" t="e">
        <f>+VLOOKUP(Tabla3[[#This Row],[CODIGO2]],ESTANDAR!$B$3:$C$9,2,FALSE)</f>
        <v>#N/A</v>
      </c>
      <c r="AB731" s="128" t="str">
        <f>+MID(Tabla3[[#This Row],['# Viaje]],10,1)</f>
        <v/>
      </c>
    </row>
    <row r="732" spans="1:28" ht="15" hidden="1" customHeight="1">
      <c r="A732" s="173" t="s">
        <v>1603</v>
      </c>
      <c r="B732" s="174">
        <v>42948</v>
      </c>
      <c r="C732" s="173" t="s">
        <v>1231</v>
      </c>
      <c r="D732" s="173" t="s">
        <v>1237</v>
      </c>
      <c r="E732" s="173" t="s">
        <v>1479</v>
      </c>
      <c r="F732" s="173">
        <v>2</v>
      </c>
      <c r="G732" s="173" t="s">
        <v>1604</v>
      </c>
      <c r="H732" s="173">
        <v>2</v>
      </c>
      <c r="I732" s="173" t="s">
        <v>1604</v>
      </c>
      <c r="J732" s="173" t="s">
        <v>14</v>
      </c>
      <c r="K732" s="173" t="s">
        <v>15</v>
      </c>
      <c r="L732" s="173"/>
      <c r="M732" s="173" t="s">
        <v>1605</v>
      </c>
      <c r="N732" s="173">
        <v>40205161</v>
      </c>
      <c r="O732" s="175">
        <v>3360504</v>
      </c>
      <c r="P732" s="7"/>
      <c r="Q732" s="16">
        <f>+IF(IFERROR(VLOOKUP(Tabla3[[#This Row],[Cliente factura]],Tabla4[[NIT]:[TOTAL CREDITO]],3,FALSE),0)="",0,IFERROR(VLOOKUP(Tabla3[[#This Row],[Cliente factura]],Tabla4[[NIT]:[TOTAL CREDITO]],3,FALSE),0))</f>
        <v>30478704</v>
      </c>
      <c r="R732" s="9">
        <f>+IFERROR(VLOOKUP(Tabla3[[#This Row],[Cliente factura]],Tabla4[[NIT]:[TOTAL CREDITO]],6,FALSE),0)</f>
        <v>0</v>
      </c>
      <c r="S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2" s="10" t="e">
        <f>VLOOKUP(Tabla3[[#This Row],[Razón social cliente factura]]&amp;Tabla3[[#This Row],[Desc. ciudad]],'Estandar de Rutas'!$C$1:$E$553,2,FALSE)</f>
        <v>#N/A</v>
      </c>
      <c r="U732" s="130">
        <f>IFERROR(VLOOKUP(Tabla3[[#This Row],[Referencia]]&amp;Tabla3[[#This Row],[Desc detalle ext 1]],Tabla1[[Referencia-Color]:[Disponibilidad]],3,FALSE),0)</f>
        <v>99</v>
      </c>
      <c r="V732" s="13"/>
      <c r="W732" s="17">
        <f>+Tabla3[[#This Row],[Cant. Programada]]*Tabla3[[#This Row],[Precio unit]]</f>
        <v>0</v>
      </c>
      <c r="X732" s="129"/>
      <c r="Y732" s="129"/>
      <c r="Z732" s="8" t="str">
        <f>+Tabla3[[#This Row],[Referencia]]&amp;Tabla3[[#This Row],[Desc detalle ext 1]]</f>
        <v>*CB-110                                           AZUL FIJI</v>
      </c>
      <c r="AA732" s="128" t="e">
        <f>+VLOOKUP(Tabla3[[#This Row],[CODIGO2]],ESTANDAR!$B$3:$C$9,2,FALSE)</f>
        <v>#N/A</v>
      </c>
      <c r="AB732" s="128" t="str">
        <f>+MID(Tabla3[[#This Row],['# Viaje]],10,1)</f>
        <v/>
      </c>
    </row>
    <row r="733" spans="1:28" ht="15" hidden="1" customHeight="1">
      <c r="A733" s="173" t="s">
        <v>1603</v>
      </c>
      <c r="B733" s="174">
        <v>42948</v>
      </c>
      <c r="C733" s="173" t="s">
        <v>1231</v>
      </c>
      <c r="D733" s="173" t="s">
        <v>1237</v>
      </c>
      <c r="E733" s="173" t="s">
        <v>1479</v>
      </c>
      <c r="F733" s="173">
        <v>2</v>
      </c>
      <c r="G733" s="173" t="s">
        <v>1604</v>
      </c>
      <c r="H733" s="173">
        <v>2</v>
      </c>
      <c r="I733" s="173" t="s">
        <v>1604</v>
      </c>
      <c r="J733" s="173" t="s">
        <v>27</v>
      </c>
      <c r="K733" s="173" t="s">
        <v>32</v>
      </c>
      <c r="L733" s="173"/>
      <c r="M733" s="173" t="s">
        <v>1605</v>
      </c>
      <c r="N733" s="173">
        <v>40205161</v>
      </c>
      <c r="O733" s="175">
        <v>5789916</v>
      </c>
      <c r="P733" s="7"/>
      <c r="Q733" s="16">
        <f>+IF(IFERROR(VLOOKUP(Tabla3[[#This Row],[Cliente factura]],Tabla4[[NIT]:[TOTAL CREDITO]],3,FALSE),0)="",0,IFERROR(VLOOKUP(Tabla3[[#This Row],[Cliente factura]],Tabla4[[NIT]:[TOTAL CREDITO]],3,FALSE),0))</f>
        <v>30478704</v>
      </c>
      <c r="R733" s="9">
        <f>+IFERROR(VLOOKUP(Tabla3[[#This Row],[Cliente factura]],Tabla4[[NIT]:[TOTAL CREDITO]],6,FALSE),0)</f>
        <v>0</v>
      </c>
      <c r="S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3" s="10" t="e">
        <f>VLOOKUP(Tabla3[[#This Row],[Razón social cliente factura]]&amp;Tabla3[[#This Row],[Desc. ciudad]],'Estandar de Rutas'!$C$1:$E$553,2,FALSE)</f>
        <v>#N/A</v>
      </c>
      <c r="U733" s="130">
        <f>IFERROR(VLOOKUP(Tabla3[[#This Row],[Referencia]]&amp;Tabla3[[#This Row],[Desc detalle ext 1]],Tabla1[[Referencia-Color]:[Disponibilidad]],3,FALSE),0)</f>
        <v>7</v>
      </c>
      <c r="V733" s="13"/>
      <c r="W733" s="17">
        <f>+Tabla3[[#This Row],[Cant. Programada]]*Tabla3[[#This Row],[Precio unit]]</f>
        <v>0</v>
      </c>
      <c r="X733" s="8"/>
      <c r="Y733" s="8"/>
      <c r="Z733" s="8" t="str">
        <f>+Tabla3[[#This Row],[Referencia]]&amp;Tabla3[[#This Row],[Desc detalle ext 1]]</f>
        <v>*XR 150L                                          NEGRO ROJ</v>
      </c>
      <c r="AA733" s="128" t="e">
        <f>+VLOOKUP(Tabla3[[#This Row],[CODIGO2]],ESTANDAR!$B$3:$C$9,2,FALSE)</f>
        <v>#N/A</v>
      </c>
      <c r="AB733" s="128" t="str">
        <f>+MID(Tabla3[[#This Row],['# Viaje]],10,1)</f>
        <v/>
      </c>
    </row>
    <row r="734" spans="1:28" ht="15" hidden="1" customHeight="1">
      <c r="A734" s="173" t="s">
        <v>1603</v>
      </c>
      <c r="B734" s="174">
        <v>42948</v>
      </c>
      <c r="C734" s="173" t="s">
        <v>1231</v>
      </c>
      <c r="D734" s="173" t="s">
        <v>1237</v>
      </c>
      <c r="E734" s="173" t="s">
        <v>1479</v>
      </c>
      <c r="F734" s="173">
        <v>2</v>
      </c>
      <c r="G734" s="173" t="s">
        <v>1604</v>
      </c>
      <c r="H734" s="173">
        <v>2</v>
      </c>
      <c r="I734" s="173" t="s">
        <v>1604</v>
      </c>
      <c r="J734" s="173" t="s">
        <v>27</v>
      </c>
      <c r="K734" s="173" t="s">
        <v>16</v>
      </c>
      <c r="L734" s="173"/>
      <c r="M734" s="173" t="s">
        <v>1605</v>
      </c>
      <c r="N734" s="173">
        <v>40205161</v>
      </c>
      <c r="O734" s="175">
        <v>5789916</v>
      </c>
      <c r="P734" s="7"/>
      <c r="Q734" s="16">
        <f>+IF(IFERROR(VLOOKUP(Tabla3[[#This Row],[Cliente factura]],Tabla4[[NIT]:[TOTAL CREDITO]],3,FALSE),0)="",0,IFERROR(VLOOKUP(Tabla3[[#This Row],[Cliente factura]],Tabla4[[NIT]:[TOTAL CREDITO]],3,FALSE),0))</f>
        <v>30478704</v>
      </c>
      <c r="R734" s="9">
        <f>+IFERROR(VLOOKUP(Tabla3[[#This Row],[Cliente factura]],Tabla4[[NIT]:[TOTAL CREDITO]],6,FALSE),0)</f>
        <v>0</v>
      </c>
      <c r="S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4" s="10" t="e">
        <f>VLOOKUP(Tabla3[[#This Row],[Razón social cliente factura]]&amp;Tabla3[[#This Row],[Desc. ciudad]],'Estandar de Rutas'!$C$1:$E$553,2,FALSE)</f>
        <v>#N/A</v>
      </c>
      <c r="U734" s="130">
        <f>IFERROR(VLOOKUP(Tabla3[[#This Row],[Referencia]]&amp;Tabla3[[#This Row],[Desc detalle ext 1]],Tabla1[[Referencia-Color]:[Disponibilidad]],3,FALSE),0)</f>
        <v>3</v>
      </c>
      <c r="V734" s="13"/>
      <c r="W734" s="17">
        <f>+Tabla3[[#This Row],[Cant. Programada]]*Tabla3[[#This Row],[Precio unit]]</f>
        <v>0</v>
      </c>
      <c r="X734" s="129"/>
      <c r="Y734" s="129"/>
      <c r="Z734" s="8" t="str">
        <f>+Tabla3[[#This Row],[Referencia]]&amp;Tabla3[[#This Row],[Desc detalle ext 1]]</f>
        <v xml:space="preserve">*XR 150L                                          NEGRO    </v>
      </c>
      <c r="AA734" s="128" t="e">
        <f>+VLOOKUP(Tabla3[[#This Row],[CODIGO2]],ESTANDAR!$B$3:$C$9,2,FALSE)</f>
        <v>#N/A</v>
      </c>
      <c r="AB734" s="128" t="str">
        <f>+MID(Tabla3[[#This Row],['# Viaje]],10,1)</f>
        <v/>
      </c>
    </row>
    <row r="735" spans="1:28" ht="15" hidden="1" customHeight="1">
      <c r="A735" s="173" t="s">
        <v>1603</v>
      </c>
      <c r="B735" s="174">
        <v>42948</v>
      </c>
      <c r="C735" s="173" t="s">
        <v>1231</v>
      </c>
      <c r="D735" s="173" t="s">
        <v>1237</v>
      </c>
      <c r="E735" s="173" t="s">
        <v>1479</v>
      </c>
      <c r="F735" s="173">
        <v>2</v>
      </c>
      <c r="G735" s="173" t="s">
        <v>1604</v>
      </c>
      <c r="H735" s="173">
        <v>2</v>
      </c>
      <c r="I735" s="173" t="s">
        <v>1604</v>
      </c>
      <c r="J735" s="173" t="s">
        <v>1451</v>
      </c>
      <c r="K735" s="173" t="s">
        <v>1449</v>
      </c>
      <c r="L735" s="173"/>
      <c r="M735" s="173" t="s">
        <v>1605</v>
      </c>
      <c r="N735" s="173">
        <v>40205161</v>
      </c>
      <c r="O735" s="175">
        <v>3696639</v>
      </c>
      <c r="P735" s="7"/>
      <c r="Q735" s="16">
        <f>+IF(IFERROR(VLOOKUP(Tabla3[[#This Row],[Cliente factura]],Tabla4[[NIT]:[TOTAL CREDITO]],3,FALSE),0)="",0,IFERROR(VLOOKUP(Tabla3[[#This Row],[Cliente factura]],Tabla4[[NIT]:[TOTAL CREDITO]],3,FALSE),0))</f>
        <v>30478704</v>
      </c>
      <c r="R735" s="9">
        <f>+IFERROR(VLOOKUP(Tabla3[[#This Row],[Cliente factura]],Tabla4[[NIT]:[TOTAL CREDITO]],6,FALSE),0)</f>
        <v>0</v>
      </c>
      <c r="S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5" s="10" t="e">
        <f>VLOOKUP(Tabla3[[#This Row],[Razón social cliente factura]]&amp;Tabla3[[#This Row],[Desc. ciudad]],'Estandar de Rutas'!$C$1:$E$553,2,FALSE)</f>
        <v>#N/A</v>
      </c>
      <c r="U735" s="130">
        <f>IFERROR(VLOOKUP(Tabla3[[#This Row],[Referencia]]&amp;Tabla3[[#This Row],[Desc detalle ext 1]],Tabla1[[Referencia-Color]:[Disponibilidad]],3,FALSE),0)</f>
        <v>24</v>
      </c>
      <c r="V735" s="13"/>
      <c r="W735" s="17">
        <f>+Tabla3[[#This Row],[Cant. Programada]]*Tabla3[[#This Row],[Precio unit]]</f>
        <v>0</v>
      </c>
      <c r="X735" s="8"/>
      <c r="Y735" s="8"/>
      <c r="Z735" s="8" t="str">
        <f>+Tabla3[[#This Row],[Referencia]]&amp;Tabla3[[#This Row],[Desc detalle ext 1]]</f>
        <v xml:space="preserve">CB 110 DLX                                        GRIS     </v>
      </c>
      <c r="AA735" s="128" t="e">
        <f>+VLOOKUP(Tabla3[[#This Row],[CODIGO2]],ESTANDAR!$B$3:$C$9,2,FALSE)</f>
        <v>#N/A</v>
      </c>
      <c r="AB735" s="128" t="str">
        <f>+MID(Tabla3[[#This Row],['# Viaje]],10,1)</f>
        <v/>
      </c>
    </row>
    <row r="736" spans="1:28" ht="15" hidden="1" customHeight="1">
      <c r="A736" s="173" t="s">
        <v>1603</v>
      </c>
      <c r="B736" s="174">
        <v>42948</v>
      </c>
      <c r="C736" s="173" t="s">
        <v>1231</v>
      </c>
      <c r="D736" s="173" t="s">
        <v>1237</v>
      </c>
      <c r="E736" s="173" t="s">
        <v>1479</v>
      </c>
      <c r="F736" s="173">
        <v>2</v>
      </c>
      <c r="G736" s="173" t="s">
        <v>1604</v>
      </c>
      <c r="H736" s="173">
        <v>2</v>
      </c>
      <c r="I736" s="173" t="s">
        <v>1604</v>
      </c>
      <c r="J736" s="173" t="s">
        <v>1451</v>
      </c>
      <c r="K736" s="173" t="s">
        <v>1452</v>
      </c>
      <c r="L736" s="173"/>
      <c r="M736" s="173" t="s">
        <v>1605</v>
      </c>
      <c r="N736" s="173">
        <v>40205161</v>
      </c>
      <c r="O736" s="175">
        <v>3696639</v>
      </c>
      <c r="P736" s="7"/>
      <c r="Q736" s="16">
        <f>+IF(IFERROR(VLOOKUP(Tabla3[[#This Row],[Cliente factura]],Tabla4[[NIT]:[TOTAL CREDITO]],3,FALSE),0)="",0,IFERROR(VLOOKUP(Tabla3[[#This Row],[Cliente factura]],Tabla4[[NIT]:[TOTAL CREDITO]],3,FALSE),0))</f>
        <v>30478704</v>
      </c>
      <c r="R736" s="9">
        <f>+IFERROR(VLOOKUP(Tabla3[[#This Row],[Cliente factura]],Tabla4[[NIT]:[TOTAL CREDITO]],6,FALSE),0)</f>
        <v>0</v>
      </c>
      <c r="S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6" s="10" t="e">
        <f>VLOOKUP(Tabla3[[#This Row],[Razón social cliente factura]]&amp;Tabla3[[#This Row],[Desc. ciudad]],'Estandar de Rutas'!$C$1:$E$553,2,FALSE)</f>
        <v>#N/A</v>
      </c>
      <c r="U736" s="130">
        <f>IFERROR(VLOOKUP(Tabla3[[#This Row],[Referencia]]&amp;Tabla3[[#This Row],[Desc detalle ext 1]],Tabla1[[Referencia-Color]:[Disponibilidad]],3,FALSE),0)</f>
        <v>21</v>
      </c>
      <c r="V736" s="13"/>
      <c r="W736" s="17">
        <f>+Tabla3[[#This Row],[Cant. Programada]]*Tabla3[[#This Row],[Precio unit]]</f>
        <v>0</v>
      </c>
      <c r="X736" s="130"/>
      <c r="Y736" s="8"/>
      <c r="Z736" s="8" t="str">
        <f>+Tabla3[[#This Row],[Referencia]]&amp;Tabla3[[#This Row],[Desc detalle ext 1]]</f>
        <v xml:space="preserve">CB 110 DLX                                        AZUL     </v>
      </c>
      <c r="AA736" s="128" t="e">
        <f>+VLOOKUP(Tabla3[[#This Row],[CODIGO2]],ESTANDAR!$B$3:$C$9,2,FALSE)</f>
        <v>#N/A</v>
      </c>
      <c r="AB736" s="128" t="str">
        <f>+MID(Tabla3[[#This Row],['# Viaje]],10,1)</f>
        <v/>
      </c>
    </row>
    <row r="737" spans="1:28" ht="15" hidden="1" customHeight="1">
      <c r="A737" s="173" t="s">
        <v>1603</v>
      </c>
      <c r="B737" s="174">
        <v>42948</v>
      </c>
      <c r="C737" s="173" t="s">
        <v>1231</v>
      </c>
      <c r="D737" s="173" t="s">
        <v>1237</v>
      </c>
      <c r="E737" s="173" t="s">
        <v>1479</v>
      </c>
      <c r="F737" s="173">
        <v>3</v>
      </c>
      <c r="G737" s="173" t="s">
        <v>1604</v>
      </c>
      <c r="H737" s="173">
        <v>3</v>
      </c>
      <c r="I737" s="173" t="s">
        <v>1604</v>
      </c>
      <c r="J737" s="173" t="s">
        <v>1451</v>
      </c>
      <c r="K737" s="173" t="s">
        <v>16</v>
      </c>
      <c r="L737" s="173"/>
      <c r="M737" s="173" t="s">
        <v>1605</v>
      </c>
      <c r="N737" s="173">
        <v>40205161</v>
      </c>
      <c r="O737" s="175">
        <v>3696639</v>
      </c>
      <c r="P737" s="7"/>
      <c r="Q737" s="16">
        <f>+IF(IFERROR(VLOOKUP(Tabla3[[#This Row],[Cliente factura]],Tabla4[[NIT]:[TOTAL CREDITO]],3,FALSE),0)="",0,IFERROR(VLOOKUP(Tabla3[[#This Row],[Cliente factura]],Tabla4[[NIT]:[TOTAL CREDITO]],3,FALSE),0))</f>
        <v>30478704</v>
      </c>
      <c r="R737" s="9">
        <f>+IFERROR(VLOOKUP(Tabla3[[#This Row],[Cliente factura]],Tabla4[[NIT]:[TOTAL CREDITO]],6,FALSE),0)</f>
        <v>0</v>
      </c>
      <c r="S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7" s="10" t="e">
        <f>VLOOKUP(Tabla3[[#This Row],[Razón social cliente factura]]&amp;Tabla3[[#This Row],[Desc. ciudad]],'Estandar de Rutas'!$C$1:$E$553,2,FALSE)</f>
        <v>#N/A</v>
      </c>
      <c r="U737" s="130">
        <f>IFERROR(VLOOKUP(Tabla3[[#This Row],[Referencia]]&amp;Tabla3[[#This Row],[Desc detalle ext 1]],Tabla1[[Referencia-Color]:[Disponibilidad]],3,FALSE),0)</f>
        <v>3</v>
      </c>
      <c r="V737" s="13"/>
      <c r="W737" s="17">
        <f>+Tabla3[[#This Row],[Cant. Programada]]*Tabla3[[#This Row],[Precio unit]]</f>
        <v>0</v>
      </c>
      <c r="X737" s="130"/>
      <c r="Y737" s="8"/>
      <c r="Z737" s="8" t="str">
        <f>+Tabla3[[#This Row],[Referencia]]&amp;Tabla3[[#This Row],[Desc detalle ext 1]]</f>
        <v xml:space="preserve">CB 110 DLX                                        NEGRO    </v>
      </c>
      <c r="AA737" s="128" t="e">
        <f>+VLOOKUP(Tabla3[[#This Row],[CODIGO2]],ESTANDAR!$B$3:$C$9,2,FALSE)</f>
        <v>#N/A</v>
      </c>
      <c r="AB737" s="128" t="str">
        <f>+MID(Tabla3[[#This Row],['# Viaje]],10,1)</f>
        <v/>
      </c>
    </row>
    <row r="738" spans="1:28" ht="15" hidden="1" customHeight="1">
      <c r="A738" s="173" t="s">
        <v>1606</v>
      </c>
      <c r="B738" s="174">
        <v>42948</v>
      </c>
      <c r="C738" s="173" t="s">
        <v>1231</v>
      </c>
      <c r="D738" s="173" t="s">
        <v>1478</v>
      </c>
      <c r="E738" s="173" t="s">
        <v>1479</v>
      </c>
      <c r="F738" s="173">
        <v>2</v>
      </c>
      <c r="G738" s="173" t="s">
        <v>111</v>
      </c>
      <c r="H738" s="173">
        <v>2</v>
      </c>
      <c r="I738" s="173" t="s">
        <v>111</v>
      </c>
      <c r="J738" s="173" t="s">
        <v>14</v>
      </c>
      <c r="K738" s="173" t="s">
        <v>1417</v>
      </c>
      <c r="L738" s="173"/>
      <c r="M738" s="173" t="s">
        <v>112</v>
      </c>
      <c r="N738" s="173">
        <v>27452030</v>
      </c>
      <c r="O738" s="175">
        <v>3360504</v>
      </c>
      <c r="P738" s="7"/>
      <c r="Q738" s="16">
        <f>+IF(IFERROR(VLOOKUP(Tabla3[[#This Row],[Cliente factura]],Tabla4[[NIT]:[TOTAL CREDITO]],3,FALSE),0)="",0,IFERROR(VLOOKUP(Tabla3[[#This Row],[Cliente factura]],Tabla4[[NIT]:[TOTAL CREDITO]],3,FALSE),0))</f>
        <v>964828</v>
      </c>
      <c r="R738" s="9">
        <f>+IFERROR(VLOOKUP(Tabla3[[#This Row],[Cliente factura]],Tabla4[[NIT]:[TOTAL CREDITO]],6,FALSE),0)</f>
        <v>0</v>
      </c>
      <c r="S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8" s="10" t="str">
        <f>VLOOKUP(Tabla3[[#This Row],[Razón social cliente factura]]&amp;Tabla3[[#This Row],[Desc. ciudad]],'Estandar de Rutas'!$C$1:$E$553,2,FALSE)</f>
        <v>2.2</v>
      </c>
      <c r="U738" s="130">
        <f>IFERROR(VLOOKUP(Tabla3[[#This Row],[Referencia]]&amp;Tabla3[[#This Row],[Desc detalle ext 1]],Tabla1[[Referencia-Color]:[Disponibilidad]],3,FALSE),0)</f>
        <v>24</v>
      </c>
      <c r="V738" s="13"/>
      <c r="W738" s="17">
        <f>+Tabla3[[#This Row],[Cant. Programada]]*Tabla3[[#This Row],[Precio unit]]</f>
        <v>0</v>
      </c>
      <c r="X738" s="129"/>
      <c r="Y738" s="129"/>
      <c r="Z738" s="8" t="str">
        <f>+Tabla3[[#This Row],[Referencia]]&amp;Tabla3[[#This Row],[Desc detalle ext 1]]</f>
        <v xml:space="preserve">*CB-110                                           GRIS MET </v>
      </c>
      <c r="AA738" s="128" t="e">
        <f>+VLOOKUP(Tabla3[[#This Row],[CODIGO2]],ESTANDAR!$B$3:$C$9,2,FALSE)</f>
        <v>#N/A</v>
      </c>
      <c r="AB738" s="128" t="str">
        <f>+MID(Tabla3[[#This Row],['# Viaje]],10,1)</f>
        <v/>
      </c>
    </row>
    <row r="739" spans="1:28" ht="15" hidden="1" customHeight="1">
      <c r="A739" s="173" t="s">
        <v>1606</v>
      </c>
      <c r="B739" s="174">
        <v>42948</v>
      </c>
      <c r="C739" s="173" t="s">
        <v>1231</v>
      </c>
      <c r="D739" s="173" t="s">
        <v>1478</v>
      </c>
      <c r="E739" s="173" t="s">
        <v>1479</v>
      </c>
      <c r="F739" s="173">
        <v>1</v>
      </c>
      <c r="G739" s="173" t="s">
        <v>111</v>
      </c>
      <c r="H739" s="173">
        <v>1</v>
      </c>
      <c r="I739" s="173" t="s">
        <v>111</v>
      </c>
      <c r="J739" s="173" t="s">
        <v>14</v>
      </c>
      <c r="K739" s="173" t="s">
        <v>17</v>
      </c>
      <c r="L739" s="173"/>
      <c r="M739" s="173" t="s">
        <v>112</v>
      </c>
      <c r="N739" s="173">
        <v>27452030</v>
      </c>
      <c r="O739" s="175">
        <v>3360504</v>
      </c>
      <c r="P739" s="7"/>
      <c r="Q739" s="16">
        <f>+IF(IFERROR(VLOOKUP(Tabla3[[#This Row],[Cliente factura]],Tabla4[[NIT]:[TOTAL CREDITO]],3,FALSE),0)="",0,IFERROR(VLOOKUP(Tabla3[[#This Row],[Cliente factura]],Tabla4[[NIT]:[TOTAL CREDITO]],3,FALSE),0))</f>
        <v>964828</v>
      </c>
      <c r="R739" s="9">
        <f>+IFERROR(VLOOKUP(Tabla3[[#This Row],[Cliente factura]],Tabla4[[NIT]:[TOTAL CREDITO]],6,FALSE),0)</f>
        <v>0</v>
      </c>
      <c r="S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9" s="10" t="str">
        <f>VLOOKUP(Tabla3[[#This Row],[Razón social cliente factura]]&amp;Tabla3[[#This Row],[Desc. ciudad]],'Estandar de Rutas'!$C$1:$E$553,2,FALSE)</f>
        <v>2.2</v>
      </c>
      <c r="U739" s="130">
        <f>IFERROR(VLOOKUP(Tabla3[[#This Row],[Referencia]]&amp;Tabla3[[#This Row],[Desc detalle ext 1]],Tabla1[[Referencia-Color]:[Disponibilidad]],3,FALSE),0)</f>
        <v>38</v>
      </c>
      <c r="V739" s="13"/>
      <c r="W739" s="17">
        <f>+Tabla3[[#This Row],[Cant. Programada]]*Tabla3[[#This Row],[Precio unit]]</f>
        <v>0</v>
      </c>
      <c r="X739" s="8"/>
      <c r="Y739" s="8"/>
      <c r="Z739" s="8" t="str">
        <f>+Tabla3[[#This Row],[Referencia]]&amp;Tabla3[[#This Row],[Desc detalle ext 1]]</f>
        <v>*CB-110                                           ROJO SPOR</v>
      </c>
      <c r="AA739" s="128" t="e">
        <f>+VLOOKUP(Tabla3[[#This Row],[CODIGO2]],ESTANDAR!$B$3:$C$9,2,FALSE)</f>
        <v>#N/A</v>
      </c>
      <c r="AB739" s="128" t="str">
        <f>+MID(Tabla3[[#This Row],['# Viaje]],10,1)</f>
        <v/>
      </c>
    </row>
    <row r="740" spans="1:28" ht="15" hidden="1" customHeight="1">
      <c r="A740" s="173" t="s">
        <v>1606</v>
      </c>
      <c r="B740" s="174">
        <v>42948</v>
      </c>
      <c r="C740" s="173" t="s">
        <v>1231</v>
      </c>
      <c r="D740" s="173" t="s">
        <v>1478</v>
      </c>
      <c r="E740" s="173" t="s">
        <v>1479</v>
      </c>
      <c r="F740" s="173">
        <v>1</v>
      </c>
      <c r="G740" s="173" t="s">
        <v>111</v>
      </c>
      <c r="H740" s="173">
        <v>1</v>
      </c>
      <c r="I740" s="173" t="s">
        <v>111</v>
      </c>
      <c r="J740" s="173" t="s">
        <v>14</v>
      </c>
      <c r="K740" s="173" t="s">
        <v>16</v>
      </c>
      <c r="L740" s="173"/>
      <c r="M740" s="173" t="s">
        <v>112</v>
      </c>
      <c r="N740" s="173">
        <v>27452030</v>
      </c>
      <c r="O740" s="175">
        <v>3360504</v>
      </c>
      <c r="P740" s="7"/>
      <c r="Q740" s="16">
        <f>+IF(IFERROR(VLOOKUP(Tabla3[[#This Row],[Cliente factura]],Tabla4[[NIT]:[TOTAL CREDITO]],3,FALSE),0)="",0,IFERROR(VLOOKUP(Tabla3[[#This Row],[Cliente factura]],Tabla4[[NIT]:[TOTAL CREDITO]],3,FALSE),0))</f>
        <v>964828</v>
      </c>
      <c r="R740" s="9">
        <f>+IFERROR(VLOOKUP(Tabla3[[#This Row],[Cliente factura]],Tabla4[[NIT]:[TOTAL CREDITO]],6,FALSE),0)</f>
        <v>0</v>
      </c>
      <c r="S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0" s="10" t="str">
        <f>VLOOKUP(Tabla3[[#This Row],[Razón social cliente factura]]&amp;Tabla3[[#This Row],[Desc. ciudad]],'Estandar de Rutas'!$C$1:$E$553,2,FALSE)</f>
        <v>2.2</v>
      </c>
      <c r="U740" s="130">
        <f>IFERROR(VLOOKUP(Tabla3[[#This Row],[Referencia]]&amp;Tabla3[[#This Row],[Desc detalle ext 1]],Tabla1[[Referencia-Color]:[Disponibilidad]],3,FALSE),0)</f>
        <v>83</v>
      </c>
      <c r="V740" s="13"/>
      <c r="W740" s="17">
        <f>+Tabla3[[#This Row],[Cant. Programada]]*Tabla3[[#This Row],[Precio unit]]</f>
        <v>0</v>
      </c>
      <c r="X740" s="130"/>
      <c r="Y740" s="8"/>
      <c r="Z740" s="8" t="str">
        <f>+Tabla3[[#This Row],[Referencia]]&amp;Tabla3[[#This Row],[Desc detalle ext 1]]</f>
        <v xml:space="preserve">*CB-110                                           NEGRO    </v>
      </c>
      <c r="AA740" s="128" t="e">
        <f>+VLOOKUP(Tabla3[[#This Row],[CODIGO2]],ESTANDAR!$B$3:$C$9,2,FALSE)</f>
        <v>#N/A</v>
      </c>
      <c r="AB740" s="128" t="str">
        <f>+MID(Tabla3[[#This Row],['# Viaje]],10,1)</f>
        <v/>
      </c>
    </row>
    <row r="741" spans="1:28" ht="15" hidden="1" customHeight="1">
      <c r="A741" s="173" t="s">
        <v>1606</v>
      </c>
      <c r="B741" s="174">
        <v>42948</v>
      </c>
      <c r="C741" s="173" t="s">
        <v>1231</v>
      </c>
      <c r="D741" s="173" t="s">
        <v>1478</v>
      </c>
      <c r="E741" s="173" t="s">
        <v>1479</v>
      </c>
      <c r="F741" s="173">
        <v>1</v>
      </c>
      <c r="G741" s="173" t="s">
        <v>111</v>
      </c>
      <c r="H741" s="173">
        <v>1</v>
      </c>
      <c r="I741" s="173" t="s">
        <v>111</v>
      </c>
      <c r="J741" s="173" t="s">
        <v>14</v>
      </c>
      <c r="K741" s="173" t="s">
        <v>1418</v>
      </c>
      <c r="L741" s="173"/>
      <c r="M741" s="173" t="s">
        <v>112</v>
      </c>
      <c r="N741" s="173">
        <v>27452030</v>
      </c>
      <c r="O741" s="175">
        <v>3360504</v>
      </c>
      <c r="P741" s="7"/>
      <c r="Q741" s="16">
        <f>+IF(IFERROR(VLOOKUP(Tabla3[[#This Row],[Cliente factura]],Tabla4[[NIT]:[TOTAL CREDITO]],3,FALSE),0)="",0,IFERROR(VLOOKUP(Tabla3[[#This Row],[Cliente factura]],Tabla4[[NIT]:[TOTAL CREDITO]],3,FALSE),0))</f>
        <v>964828</v>
      </c>
      <c r="R741" s="9">
        <f>+IFERROR(VLOOKUP(Tabla3[[#This Row],[Cliente factura]],Tabla4[[NIT]:[TOTAL CREDITO]],6,FALSE),0)</f>
        <v>0</v>
      </c>
      <c r="S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1" s="10" t="str">
        <f>VLOOKUP(Tabla3[[#This Row],[Razón social cliente factura]]&amp;Tabla3[[#This Row],[Desc. ciudad]],'Estandar de Rutas'!$C$1:$E$553,2,FALSE)</f>
        <v>2.2</v>
      </c>
      <c r="U741" s="130">
        <f>IFERROR(VLOOKUP(Tabla3[[#This Row],[Referencia]]&amp;Tabla3[[#This Row],[Desc detalle ext 1]],Tabla1[[Referencia-Color]:[Disponibilidad]],3,FALSE),0)</f>
        <v>0</v>
      </c>
      <c r="V741" s="13"/>
      <c r="W741" s="17">
        <f>+Tabla3[[#This Row],[Cant. Programada]]*Tabla3[[#This Row],[Precio unit]]</f>
        <v>0</v>
      </c>
      <c r="X741" s="8"/>
      <c r="Y741" s="8"/>
      <c r="Z741" s="8" t="str">
        <f>+Tabla3[[#This Row],[Referencia]]&amp;Tabla3[[#This Row],[Desc detalle ext 1]]</f>
        <v>*CB-110                                           VERDE CAN</v>
      </c>
      <c r="AA741" s="128" t="e">
        <f>+VLOOKUP(Tabla3[[#This Row],[CODIGO2]],ESTANDAR!$B$3:$C$9,2,FALSE)</f>
        <v>#N/A</v>
      </c>
      <c r="AB741" s="128" t="str">
        <f>+MID(Tabla3[[#This Row],['# Viaje]],10,1)</f>
        <v/>
      </c>
    </row>
    <row r="742" spans="1:28" ht="15" hidden="1" customHeight="1">
      <c r="A742" s="173" t="s">
        <v>1606</v>
      </c>
      <c r="B742" s="174">
        <v>42948</v>
      </c>
      <c r="C742" s="173" t="s">
        <v>1231</v>
      </c>
      <c r="D742" s="173" t="s">
        <v>1478</v>
      </c>
      <c r="E742" s="173" t="s">
        <v>1479</v>
      </c>
      <c r="F742" s="173">
        <v>2</v>
      </c>
      <c r="G742" s="173" t="s">
        <v>111</v>
      </c>
      <c r="H742" s="173">
        <v>2</v>
      </c>
      <c r="I742" s="173" t="s">
        <v>111</v>
      </c>
      <c r="J742" s="173" t="s">
        <v>14</v>
      </c>
      <c r="K742" s="173" t="s">
        <v>15</v>
      </c>
      <c r="L742" s="173"/>
      <c r="M742" s="173" t="s">
        <v>112</v>
      </c>
      <c r="N742" s="173">
        <v>27452030</v>
      </c>
      <c r="O742" s="175">
        <v>3360504</v>
      </c>
      <c r="P742" s="7"/>
      <c r="Q742" s="16">
        <f>+IF(IFERROR(VLOOKUP(Tabla3[[#This Row],[Cliente factura]],Tabla4[[NIT]:[TOTAL CREDITO]],3,FALSE),0)="",0,IFERROR(VLOOKUP(Tabla3[[#This Row],[Cliente factura]],Tabla4[[NIT]:[TOTAL CREDITO]],3,FALSE),0))</f>
        <v>964828</v>
      </c>
      <c r="R742" s="9">
        <f>+IFERROR(VLOOKUP(Tabla3[[#This Row],[Cliente factura]],Tabla4[[NIT]:[TOTAL CREDITO]],6,FALSE),0)</f>
        <v>0</v>
      </c>
      <c r="S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2" s="10" t="str">
        <f>VLOOKUP(Tabla3[[#This Row],[Razón social cliente factura]]&amp;Tabla3[[#This Row],[Desc. ciudad]],'Estandar de Rutas'!$C$1:$E$553,2,FALSE)</f>
        <v>2.2</v>
      </c>
      <c r="U742" s="130">
        <f>IFERROR(VLOOKUP(Tabla3[[#This Row],[Referencia]]&amp;Tabla3[[#This Row],[Desc detalle ext 1]],Tabla1[[Referencia-Color]:[Disponibilidad]],3,FALSE),0)</f>
        <v>99</v>
      </c>
      <c r="V742" s="13"/>
      <c r="W742" s="17">
        <f>+Tabla3[[#This Row],[Cant. Programada]]*Tabla3[[#This Row],[Precio unit]]</f>
        <v>0</v>
      </c>
      <c r="X742" s="8"/>
      <c r="Y742" s="8"/>
      <c r="Z742" s="8" t="str">
        <f>+Tabla3[[#This Row],[Referencia]]&amp;Tabla3[[#This Row],[Desc detalle ext 1]]</f>
        <v>*CB-110                                           AZUL FIJI</v>
      </c>
      <c r="AA742" s="128" t="e">
        <f>+VLOOKUP(Tabla3[[#This Row],[CODIGO2]],ESTANDAR!$B$3:$C$9,2,FALSE)</f>
        <v>#N/A</v>
      </c>
      <c r="AB742" s="128" t="str">
        <f>+MID(Tabla3[[#This Row],['# Viaje]],10,1)</f>
        <v/>
      </c>
    </row>
    <row r="743" spans="1:28" ht="15" hidden="1" customHeight="1">
      <c r="A743" s="173" t="s">
        <v>1606</v>
      </c>
      <c r="B743" s="174">
        <v>42948</v>
      </c>
      <c r="C743" s="173" t="s">
        <v>1231</v>
      </c>
      <c r="D743" s="173" t="s">
        <v>1478</v>
      </c>
      <c r="E743" s="173" t="s">
        <v>1479</v>
      </c>
      <c r="F743" s="173">
        <v>5</v>
      </c>
      <c r="G743" s="173" t="s">
        <v>111</v>
      </c>
      <c r="H743" s="173">
        <v>5</v>
      </c>
      <c r="I743" s="173" t="s">
        <v>111</v>
      </c>
      <c r="J743" s="173" t="s">
        <v>27</v>
      </c>
      <c r="K743" s="173" t="s">
        <v>32</v>
      </c>
      <c r="L743" s="173"/>
      <c r="M743" s="173" t="s">
        <v>112</v>
      </c>
      <c r="N743" s="173">
        <v>27452030</v>
      </c>
      <c r="O743" s="175">
        <v>5789916</v>
      </c>
      <c r="P743" s="7">
        <f>+Tabla3[[#This Row],[Precio unit]]*Tabla3[[#This Row],[Cant pendiente]]</f>
        <v>28949580</v>
      </c>
      <c r="Q743" s="16">
        <f>+IF(IFERROR(VLOOKUP(Tabla3[[#This Row],[Cliente factura]],Tabla4[[NIT]:[TOTAL CREDITO]],3,FALSE),0)="",0,IFERROR(VLOOKUP(Tabla3[[#This Row],[Cliente factura]],Tabla4[[NIT]:[TOTAL CREDITO]],3,FALSE),0))</f>
        <v>964828</v>
      </c>
      <c r="R743" s="9">
        <f>+IFERROR(VLOOKUP(Tabla3[[#This Row],[Cliente factura]],Tabla4[[NIT]:[TOTAL CREDITO]],6,FALSE),0)</f>
        <v>0</v>
      </c>
      <c r="S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3" s="10" t="str">
        <f>VLOOKUP(Tabla3[[#This Row],[Razón social cliente factura]]&amp;Tabla3[[#This Row],[Desc. ciudad]],'Estandar de Rutas'!$C$1:$E$553,2,FALSE)</f>
        <v>2.2</v>
      </c>
      <c r="U743" s="130">
        <f>IFERROR(VLOOKUP(Tabla3[[#This Row],[Referencia]]&amp;Tabla3[[#This Row],[Desc detalle ext 1]],Tabla1[[Referencia-Color]:[Disponibilidad]],3,FALSE),0)</f>
        <v>7</v>
      </c>
      <c r="V743" s="13"/>
      <c r="W743" s="17">
        <f>+Tabla3[[#This Row],[Cant. Programada]]*Tabla3[[#This Row],[Precio unit]]</f>
        <v>0</v>
      </c>
      <c r="X743" s="130"/>
      <c r="Y743" s="129"/>
      <c r="Z743" s="8" t="str">
        <f>+Tabla3[[#This Row],[Referencia]]&amp;Tabla3[[#This Row],[Desc detalle ext 1]]</f>
        <v>*XR 150L                                          NEGRO ROJ</v>
      </c>
      <c r="AA743" s="128" t="e">
        <f>+VLOOKUP(Tabla3[[#This Row],[CODIGO2]],ESTANDAR!$B$3:$C$9,2,FALSE)</f>
        <v>#N/A</v>
      </c>
      <c r="AB743" s="128" t="str">
        <f>+MID(Tabla3[[#This Row],['# Viaje]],10,1)</f>
        <v/>
      </c>
    </row>
    <row r="744" spans="1:28" ht="15" hidden="1" customHeight="1">
      <c r="A744" s="173" t="s">
        <v>1606</v>
      </c>
      <c r="B744" s="174">
        <v>42948</v>
      </c>
      <c r="C744" s="173" t="s">
        <v>1231</v>
      </c>
      <c r="D744" s="173" t="s">
        <v>1478</v>
      </c>
      <c r="E744" s="173" t="s">
        <v>1479</v>
      </c>
      <c r="F744" s="173">
        <v>4</v>
      </c>
      <c r="G744" s="173" t="s">
        <v>111</v>
      </c>
      <c r="H744" s="173">
        <v>4</v>
      </c>
      <c r="I744" s="173" t="s">
        <v>111</v>
      </c>
      <c r="J744" s="173" t="s">
        <v>27</v>
      </c>
      <c r="K744" s="173" t="s">
        <v>26</v>
      </c>
      <c r="L744" s="173"/>
      <c r="M744" s="173" t="s">
        <v>112</v>
      </c>
      <c r="N744" s="173">
        <v>27452030</v>
      </c>
      <c r="O744" s="175">
        <v>5789916</v>
      </c>
      <c r="P744" s="7">
        <f>+Tabla3[[#This Row],[Precio unit]]*Tabla3[[#This Row],[Cant pendiente]]</f>
        <v>23159664</v>
      </c>
      <c r="Q744" s="16">
        <f>+IF(IFERROR(VLOOKUP(Tabla3[[#This Row],[Cliente factura]],Tabla4[[NIT]:[TOTAL CREDITO]],3,FALSE),0)="",0,IFERROR(VLOOKUP(Tabla3[[#This Row],[Cliente factura]],Tabla4[[NIT]:[TOTAL CREDITO]],3,FALSE),0))</f>
        <v>964828</v>
      </c>
      <c r="R744" s="9">
        <f>+IFERROR(VLOOKUP(Tabla3[[#This Row],[Cliente factura]],Tabla4[[NIT]:[TOTAL CREDITO]],6,FALSE),0)</f>
        <v>0</v>
      </c>
      <c r="S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4" s="10" t="str">
        <f>VLOOKUP(Tabla3[[#This Row],[Razón social cliente factura]]&amp;Tabla3[[#This Row],[Desc. ciudad]],'Estandar de Rutas'!$C$1:$E$553,2,FALSE)</f>
        <v>2.2</v>
      </c>
      <c r="U744" s="130">
        <f>IFERROR(VLOOKUP(Tabla3[[#This Row],[Referencia]]&amp;Tabla3[[#This Row],[Desc detalle ext 1]],Tabla1[[Referencia-Color]:[Disponibilidad]],3,FALSE),0)</f>
        <v>59</v>
      </c>
      <c r="V744" s="13"/>
      <c r="W744" s="17">
        <f>+Tabla3[[#This Row],[Cant. Programada]]*Tabla3[[#This Row],[Precio unit]]</f>
        <v>0</v>
      </c>
      <c r="X744" s="8"/>
      <c r="Y744" s="8"/>
      <c r="Z744" s="8" t="str">
        <f>+Tabla3[[#This Row],[Referencia]]&amp;Tabla3[[#This Row],[Desc detalle ext 1]]</f>
        <v>*XR 150L                                          NEGRO BLA</v>
      </c>
      <c r="AA744" s="128" t="e">
        <f>+VLOOKUP(Tabla3[[#This Row],[CODIGO2]],ESTANDAR!$B$3:$C$9,2,FALSE)</f>
        <v>#N/A</v>
      </c>
      <c r="AB744" s="128" t="str">
        <f>+MID(Tabla3[[#This Row],['# Viaje]],10,1)</f>
        <v/>
      </c>
    </row>
    <row r="745" spans="1:28" ht="15" hidden="1" customHeight="1">
      <c r="A745" s="173" t="s">
        <v>1606</v>
      </c>
      <c r="B745" s="174">
        <v>42948</v>
      </c>
      <c r="C745" s="173" t="s">
        <v>1231</v>
      </c>
      <c r="D745" s="173" t="s">
        <v>1478</v>
      </c>
      <c r="E745" s="173" t="s">
        <v>1479</v>
      </c>
      <c r="F745" s="173">
        <v>3</v>
      </c>
      <c r="G745" s="173" t="s">
        <v>111</v>
      </c>
      <c r="H745" s="173">
        <v>3</v>
      </c>
      <c r="I745" s="173" t="s">
        <v>111</v>
      </c>
      <c r="J745" s="173" t="s">
        <v>27</v>
      </c>
      <c r="K745" s="173" t="s">
        <v>16</v>
      </c>
      <c r="L745" s="173"/>
      <c r="M745" s="173" t="s">
        <v>112</v>
      </c>
      <c r="N745" s="173">
        <v>27452030</v>
      </c>
      <c r="O745" s="175">
        <v>5789916</v>
      </c>
      <c r="P745" s="7"/>
      <c r="Q745" s="16">
        <f>+IF(IFERROR(VLOOKUP(Tabla3[[#This Row],[Cliente factura]],Tabla4[[NIT]:[TOTAL CREDITO]],3,FALSE),0)="",0,IFERROR(VLOOKUP(Tabla3[[#This Row],[Cliente factura]],Tabla4[[NIT]:[TOTAL CREDITO]],3,FALSE),0))</f>
        <v>964828</v>
      </c>
      <c r="R745" s="9">
        <f>+IFERROR(VLOOKUP(Tabla3[[#This Row],[Cliente factura]],Tabla4[[NIT]:[TOTAL CREDITO]],6,FALSE),0)</f>
        <v>0</v>
      </c>
      <c r="S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5" s="10" t="str">
        <f>VLOOKUP(Tabla3[[#This Row],[Razón social cliente factura]]&amp;Tabla3[[#This Row],[Desc. ciudad]],'Estandar de Rutas'!$C$1:$E$553,2,FALSE)</f>
        <v>2.2</v>
      </c>
      <c r="U745" s="130">
        <f>IFERROR(VLOOKUP(Tabla3[[#This Row],[Referencia]]&amp;Tabla3[[#This Row],[Desc detalle ext 1]],Tabla1[[Referencia-Color]:[Disponibilidad]],3,FALSE),0)</f>
        <v>3</v>
      </c>
      <c r="V745" s="13"/>
      <c r="W745" s="17">
        <f>+Tabla3[[#This Row],[Cant. Programada]]*Tabla3[[#This Row],[Precio unit]]</f>
        <v>0</v>
      </c>
      <c r="X745" s="8"/>
      <c r="Y745" s="8"/>
      <c r="Z745" s="8" t="str">
        <f>+Tabla3[[#This Row],[Referencia]]&amp;Tabla3[[#This Row],[Desc detalle ext 1]]</f>
        <v xml:space="preserve">*XR 150L                                          NEGRO    </v>
      </c>
      <c r="AA745" s="128" t="e">
        <f>+VLOOKUP(Tabla3[[#This Row],[CODIGO2]],ESTANDAR!$B$3:$C$9,2,FALSE)</f>
        <v>#N/A</v>
      </c>
      <c r="AB745" s="128" t="str">
        <f>+MID(Tabla3[[#This Row],['# Viaje]],10,1)</f>
        <v/>
      </c>
    </row>
    <row r="746" spans="1:28" ht="15" hidden="1" customHeight="1">
      <c r="A746" s="173" t="s">
        <v>1606</v>
      </c>
      <c r="B746" s="174">
        <v>42948</v>
      </c>
      <c r="C746" s="173" t="s">
        <v>1231</v>
      </c>
      <c r="D746" s="173" t="s">
        <v>1478</v>
      </c>
      <c r="E746" s="173" t="s">
        <v>1479</v>
      </c>
      <c r="F746" s="173">
        <v>1</v>
      </c>
      <c r="G746" s="173" t="s">
        <v>111</v>
      </c>
      <c r="H746" s="173">
        <v>1</v>
      </c>
      <c r="I746" s="173" t="s">
        <v>111</v>
      </c>
      <c r="J746" s="173" t="s">
        <v>10</v>
      </c>
      <c r="K746" s="173" t="s">
        <v>13</v>
      </c>
      <c r="L746" s="173"/>
      <c r="M746" s="173" t="s">
        <v>112</v>
      </c>
      <c r="N746" s="173">
        <v>27452030</v>
      </c>
      <c r="O746" s="175">
        <v>7554622</v>
      </c>
      <c r="P746" s="7"/>
      <c r="Q746" s="16">
        <f>+IF(IFERROR(VLOOKUP(Tabla3[[#This Row],[Cliente factura]],Tabla4[[NIT]:[TOTAL CREDITO]],3,FALSE),0)="",0,IFERROR(VLOOKUP(Tabla3[[#This Row],[Cliente factura]],Tabla4[[NIT]:[TOTAL CREDITO]],3,FALSE),0))</f>
        <v>964828</v>
      </c>
      <c r="R746" s="9">
        <f>+IFERROR(VLOOKUP(Tabla3[[#This Row],[Cliente factura]],Tabla4[[NIT]:[TOTAL CREDITO]],6,FALSE),0)</f>
        <v>0</v>
      </c>
      <c r="S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6" s="10" t="str">
        <f>VLOOKUP(Tabla3[[#This Row],[Razón social cliente factura]]&amp;Tabla3[[#This Row],[Desc. ciudad]],'Estandar de Rutas'!$C$1:$E$553,2,FALSE)</f>
        <v>2.2</v>
      </c>
      <c r="U746" s="130">
        <f>IFERROR(VLOOKUP(Tabla3[[#This Row],[Referencia]]&amp;Tabla3[[#This Row],[Desc detalle ext 1]],Tabla1[[Referencia-Color]:[Disponibilidad]],3,FALSE),0)</f>
        <v>75</v>
      </c>
      <c r="V746" s="13"/>
      <c r="W746" s="17">
        <f>+Tabla3[[#This Row],[Cant. Programada]]*Tabla3[[#This Row],[Precio unit]]</f>
        <v>0</v>
      </c>
      <c r="X746" s="129"/>
      <c r="Y746" s="129"/>
      <c r="Z746" s="8" t="str">
        <f>+Tabla3[[#This Row],[Referencia]]&amp;Tabla3[[#This Row],[Desc detalle ext 1]]</f>
        <v>CB 190R                                           ROJO NEGR</v>
      </c>
      <c r="AA746" s="128" t="e">
        <f>+VLOOKUP(Tabla3[[#This Row],[CODIGO2]],ESTANDAR!$B$3:$C$9,2,FALSE)</f>
        <v>#N/A</v>
      </c>
      <c r="AB746" s="128" t="str">
        <f>+MID(Tabla3[[#This Row],['# Viaje]],10,1)</f>
        <v/>
      </c>
    </row>
    <row r="747" spans="1:28" ht="15" hidden="1" customHeight="1">
      <c r="A747" s="173" t="s">
        <v>1606</v>
      </c>
      <c r="B747" s="174">
        <v>42948</v>
      </c>
      <c r="C747" s="173" t="s">
        <v>1231</v>
      </c>
      <c r="D747" s="173" t="s">
        <v>1478</v>
      </c>
      <c r="E747" s="173" t="s">
        <v>1479</v>
      </c>
      <c r="F747" s="173">
        <v>1</v>
      </c>
      <c r="G747" s="173" t="s">
        <v>111</v>
      </c>
      <c r="H747" s="173">
        <v>1</v>
      </c>
      <c r="I747" s="173" t="s">
        <v>111</v>
      </c>
      <c r="J747" s="173" t="s">
        <v>354</v>
      </c>
      <c r="K747" s="173" t="s">
        <v>474</v>
      </c>
      <c r="L747" s="173"/>
      <c r="M747" s="173" t="s">
        <v>112</v>
      </c>
      <c r="N747" s="173">
        <v>27452030</v>
      </c>
      <c r="O747" s="175">
        <v>6133613</v>
      </c>
      <c r="P747" s="7"/>
      <c r="Q747" s="16">
        <f>+IF(IFERROR(VLOOKUP(Tabla3[[#This Row],[Cliente factura]],Tabla4[[NIT]:[TOTAL CREDITO]],3,FALSE),0)="",0,IFERROR(VLOOKUP(Tabla3[[#This Row],[Cliente factura]],Tabla4[[NIT]:[TOTAL CREDITO]],3,FALSE),0))</f>
        <v>964828</v>
      </c>
      <c r="R747" s="9">
        <f>+IFERROR(VLOOKUP(Tabla3[[#This Row],[Cliente factura]],Tabla4[[NIT]:[TOTAL CREDITO]],6,FALSE),0)</f>
        <v>0</v>
      </c>
      <c r="S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7" s="10" t="str">
        <f>VLOOKUP(Tabla3[[#This Row],[Razón social cliente factura]]&amp;Tabla3[[#This Row],[Desc. ciudad]],'Estandar de Rutas'!$C$1:$E$553,2,FALSE)</f>
        <v>2.2</v>
      </c>
      <c r="U747" s="130">
        <f>IFERROR(VLOOKUP(Tabla3[[#This Row],[Referencia]]&amp;Tabla3[[#This Row],[Desc detalle ext 1]],Tabla1[[Referencia-Color]:[Disponibilidad]],3,FALSE),0)</f>
        <v>3</v>
      </c>
      <c r="V747" s="13"/>
      <c r="W747" s="17">
        <f>+Tabla3[[#This Row],[Cant. Programada]]*Tabla3[[#This Row],[Precio unit]]</f>
        <v>0</v>
      </c>
      <c r="X747" s="129"/>
      <c r="Y747" s="129"/>
      <c r="Z747" s="8" t="str">
        <f>+Tabla3[[#This Row],[Referencia]]&amp;Tabla3[[#This Row],[Desc detalle ext 1]]</f>
        <v>CB 160F DLX                                       NARANJA N</v>
      </c>
      <c r="AA747" s="128" t="e">
        <f>+VLOOKUP(Tabla3[[#This Row],[CODIGO2]],ESTANDAR!$B$3:$C$9,2,FALSE)</f>
        <v>#N/A</v>
      </c>
      <c r="AB747" s="128" t="str">
        <f>+MID(Tabla3[[#This Row],['# Viaje]],10,1)</f>
        <v/>
      </c>
    </row>
    <row r="748" spans="1:28" ht="15" hidden="1" customHeight="1">
      <c r="A748" s="173" t="s">
        <v>1606</v>
      </c>
      <c r="B748" s="174">
        <v>42948</v>
      </c>
      <c r="C748" s="173" t="s">
        <v>1231</v>
      </c>
      <c r="D748" s="173" t="s">
        <v>1478</v>
      </c>
      <c r="E748" s="173" t="s">
        <v>1479</v>
      </c>
      <c r="F748" s="173">
        <v>1</v>
      </c>
      <c r="G748" s="173" t="s">
        <v>111</v>
      </c>
      <c r="H748" s="173">
        <v>1</v>
      </c>
      <c r="I748" s="173" t="s">
        <v>111</v>
      </c>
      <c r="J748" s="173" t="s">
        <v>1430</v>
      </c>
      <c r="K748" s="173" t="s">
        <v>1431</v>
      </c>
      <c r="L748" s="173"/>
      <c r="M748" s="173" t="s">
        <v>112</v>
      </c>
      <c r="N748" s="173">
        <v>27452030</v>
      </c>
      <c r="O748" s="175">
        <v>3941176</v>
      </c>
      <c r="P748" s="7"/>
      <c r="Q748" s="16">
        <f>+IF(IFERROR(VLOOKUP(Tabla3[[#This Row],[Cliente factura]],Tabla4[[NIT]:[TOTAL CREDITO]],3,FALSE),0)="",0,IFERROR(VLOOKUP(Tabla3[[#This Row],[Cliente factura]],Tabla4[[NIT]:[TOTAL CREDITO]],3,FALSE),0))</f>
        <v>964828</v>
      </c>
      <c r="R748" s="9">
        <f>+IFERROR(VLOOKUP(Tabla3[[#This Row],[Cliente factura]],Tabla4[[NIT]:[TOTAL CREDITO]],6,FALSE),0)</f>
        <v>0</v>
      </c>
      <c r="S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8" s="10" t="str">
        <f>VLOOKUP(Tabla3[[#This Row],[Razón social cliente factura]]&amp;Tabla3[[#This Row],[Desc. ciudad]],'Estandar de Rutas'!$C$1:$E$553,2,FALSE)</f>
        <v>2.2</v>
      </c>
      <c r="U748" s="130">
        <f>IFERROR(VLOOKUP(Tabla3[[#This Row],[Referencia]]&amp;Tabla3[[#This Row],[Desc detalle ext 1]],Tabla1[[Referencia-Color]:[Disponibilidad]],3,FALSE),0)</f>
        <v>0</v>
      </c>
      <c r="V748" s="13"/>
      <c r="W748" s="17">
        <f>+Tabla3[[#This Row],[Cant. Programada]]*Tabla3[[#This Row],[Precio unit]]</f>
        <v>0</v>
      </c>
      <c r="X748" s="8"/>
      <c r="Y748" s="8"/>
      <c r="Z748" s="8" t="str">
        <f>+Tabla3[[#This Row],[Referencia]]&amp;Tabla3[[#This Row],[Desc detalle ext 1]]</f>
        <v xml:space="preserve">WAVE 110S                                         ROJO     </v>
      </c>
      <c r="AA748" s="128" t="e">
        <f>+VLOOKUP(Tabla3[[#This Row],[CODIGO2]],ESTANDAR!$B$3:$C$9,2,FALSE)</f>
        <v>#N/A</v>
      </c>
      <c r="AB748" s="128" t="str">
        <f>+MID(Tabla3[[#This Row],['# Viaje]],10,1)</f>
        <v/>
      </c>
    </row>
    <row r="749" spans="1:28" ht="15" hidden="1" customHeight="1">
      <c r="A749" s="173" t="s">
        <v>1606</v>
      </c>
      <c r="B749" s="174">
        <v>42948</v>
      </c>
      <c r="C749" s="173" t="s">
        <v>1231</v>
      </c>
      <c r="D749" s="173" t="s">
        <v>1478</v>
      </c>
      <c r="E749" s="173" t="s">
        <v>1479</v>
      </c>
      <c r="F749" s="173">
        <v>1</v>
      </c>
      <c r="G749" s="173" t="s">
        <v>111</v>
      </c>
      <c r="H749" s="173">
        <v>1</v>
      </c>
      <c r="I749" s="173" t="s">
        <v>111</v>
      </c>
      <c r="J749" s="173" t="s">
        <v>1430</v>
      </c>
      <c r="K749" s="173" t="s">
        <v>16</v>
      </c>
      <c r="L749" s="173"/>
      <c r="M749" s="173" t="s">
        <v>112</v>
      </c>
      <c r="N749" s="173">
        <v>27452030</v>
      </c>
      <c r="O749" s="175">
        <v>3941176</v>
      </c>
      <c r="P749" s="7"/>
      <c r="Q749" s="16">
        <f>+IF(IFERROR(VLOOKUP(Tabla3[[#This Row],[Cliente factura]],Tabla4[[NIT]:[TOTAL CREDITO]],3,FALSE),0)="",0,IFERROR(VLOOKUP(Tabla3[[#This Row],[Cliente factura]],Tabla4[[NIT]:[TOTAL CREDITO]],3,FALSE),0))</f>
        <v>964828</v>
      </c>
      <c r="R749" s="9">
        <f>+IFERROR(VLOOKUP(Tabla3[[#This Row],[Cliente factura]],Tabla4[[NIT]:[TOTAL CREDITO]],6,FALSE),0)</f>
        <v>0</v>
      </c>
      <c r="S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9" s="10" t="str">
        <f>VLOOKUP(Tabla3[[#This Row],[Razón social cliente factura]]&amp;Tabla3[[#This Row],[Desc. ciudad]],'Estandar de Rutas'!$C$1:$E$553,2,FALSE)</f>
        <v>2.2</v>
      </c>
      <c r="U749" s="130">
        <f>IFERROR(VLOOKUP(Tabla3[[#This Row],[Referencia]]&amp;Tabla3[[#This Row],[Desc detalle ext 1]],Tabla1[[Referencia-Color]:[Disponibilidad]],3,FALSE),0)</f>
        <v>0</v>
      </c>
      <c r="V749" s="13"/>
      <c r="W749" s="17">
        <f>+Tabla3[[#This Row],[Cant. Programada]]*Tabla3[[#This Row],[Precio unit]]</f>
        <v>0</v>
      </c>
      <c r="X749" s="8"/>
      <c r="Y749" s="8"/>
      <c r="Z749" s="8" t="str">
        <f>+Tabla3[[#This Row],[Referencia]]&amp;Tabla3[[#This Row],[Desc detalle ext 1]]</f>
        <v xml:space="preserve">WAVE 110S                                         NEGRO    </v>
      </c>
      <c r="AA749" s="128" t="e">
        <f>+VLOOKUP(Tabla3[[#This Row],[CODIGO2]],ESTANDAR!$B$3:$C$9,2,FALSE)</f>
        <v>#N/A</v>
      </c>
      <c r="AB749" s="128" t="str">
        <f>+MID(Tabla3[[#This Row],['# Viaje]],10,1)</f>
        <v/>
      </c>
    </row>
    <row r="750" spans="1:28" ht="15" hidden="1" customHeight="1">
      <c r="A750" s="173" t="s">
        <v>1606</v>
      </c>
      <c r="B750" s="174">
        <v>42948</v>
      </c>
      <c r="C750" s="173" t="s">
        <v>1231</v>
      </c>
      <c r="D750" s="173" t="s">
        <v>1478</v>
      </c>
      <c r="E750" s="173" t="s">
        <v>1479</v>
      </c>
      <c r="F750" s="173">
        <v>1</v>
      </c>
      <c r="G750" s="173" t="s">
        <v>111</v>
      </c>
      <c r="H750" s="173">
        <v>1</v>
      </c>
      <c r="I750" s="173" t="s">
        <v>111</v>
      </c>
      <c r="J750" s="173" t="s">
        <v>1430</v>
      </c>
      <c r="K750" s="173" t="s">
        <v>1432</v>
      </c>
      <c r="L750" s="173"/>
      <c r="M750" s="173" t="s">
        <v>112</v>
      </c>
      <c r="N750" s="173">
        <v>27452030</v>
      </c>
      <c r="O750" s="175">
        <v>3941176</v>
      </c>
      <c r="P750" s="7"/>
      <c r="Q750" s="16">
        <f>+IF(IFERROR(VLOOKUP(Tabla3[[#This Row],[Cliente factura]],Tabla4[[NIT]:[TOTAL CREDITO]],3,FALSE),0)="",0,IFERROR(VLOOKUP(Tabla3[[#This Row],[Cliente factura]],Tabla4[[NIT]:[TOTAL CREDITO]],3,FALSE),0))</f>
        <v>964828</v>
      </c>
      <c r="R750" s="9">
        <f>+IFERROR(VLOOKUP(Tabla3[[#This Row],[Cliente factura]],Tabla4[[NIT]:[TOTAL CREDITO]],6,FALSE),0)</f>
        <v>0</v>
      </c>
      <c r="S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0" s="10" t="str">
        <f>VLOOKUP(Tabla3[[#This Row],[Razón social cliente factura]]&amp;Tabla3[[#This Row],[Desc. ciudad]],'Estandar de Rutas'!$C$1:$E$553,2,FALSE)</f>
        <v>2.2</v>
      </c>
      <c r="U750" s="130">
        <f>IFERROR(VLOOKUP(Tabla3[[#This Row],[Referencia]]&amp;Tabla3[[#This Row],[Desc detalle ext 1]],Tabla1[[Referencia-Color]:[Disponibilidad]],3,FALSE),0)</f>
        <v>23</v>
      </c>
      <c r="V750" s="13"/>
      <c r="W750" s="17">
        <f>+Tabla3[[#This Row],[Cant. Programada]]*Tabla3[[#This Row],[Precio unit]]</f>
        <v>0</v>
      </c>
      <c r="X750" s="8"/>
      <c r="Y750" s="8"/>
      <c r="Z750" s="8" t="str">
        <f>+Tabla3[[#This Row],[Referencia]]&amp;Tabla3[[#This Row],[Desc detalle ext 1]]</f>
        <v xml:space="preserve">WAVE 110S                                         BLANCO   </v>
      </c>
      <c r="AA750" s="128" t="e">
        <f>+VLOOKUP(Tabla3[[#This Row],[CODIGO2]],ESTANDAR!$B$3:$C$9,2,FALSE)</f>
        <v>#N/A</v>
      </c>
      <c r="AB750" s="128" t="str">
        <f>+MID(Tabla3[[#This Row],['# Viaje]],10,1)</f>
        <v/>
      </c>
    </row>
    <row r="751" spans="1:28" ht="15" hidden="1" customHeight="1">
      <c r="A751" s="173" t="s">
        <v>1606</v>
      </c>
      <c r="B751" s="174">
        <v>42948</v>
      </c>
      <c r="C751" s="173" t="s">
        <v>1231</v>
      </c>
      <c r="D751" s="173" t="s">
        <v>1478</v>
      </c>
      <c r="E751" s="173" t="s">
        <v>1479</v>
      </c>
      <c r="F751" s="173">
        <v>1</v>
      </c>
      <c r="G751" s="173" t="s">
        <v>111</v>
      </c>
      <c r="H751" s="173">
        <v>1</v>
      </c>
      <c r="I751" s="173" t="s">
        <v>111</v>
      </c>
      <c r="J751" s="173" t="s">
        <v>1234</v>
      </c>
      <c r="K751" s="173" t="s">
        <v>355</v>
      </c>
      <c r="L751" s="173"/>
      <c r="M751" s="173" t="s">
        <v>112</v>
      </c>
      <c r="N751" s="173">
        <v>27452030</v>
      </c>
      <c r="O751" s="175">
        <v>5453782</v>
      </c>
      <c r="P751" s="7"/>
      <c r="Q751" s="16">
        <f>+IF(IFERROR(VLOOKUP(Tabla3[[#This Row],[Cliente factura]],Tabla4[[NIT]:[TOTAL CREDITO]],3,FALSE),0)="",0,IFERROR(VLOOKUP(Tabla3[[#This Row],[Cliente factura]],Tabla4[[NIT]:[TOTAL CREDITO]],3,FALSE),0))</f>
        <v>964828</v>
      </c>
      <c r="R751" s="9">
        <f>+IFERROR(VLOOKUP(Tabla3[[#This Row],[Cliente factura]],Tabla4[[NIT]:[TOTAL CREDITO]],6,FALSE),0)</f>
        <v>0</v>
      </c>
      <c r="S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1" s="10" t="str">
        <f>VLOOKUP(Tabla3[[#This Row],[Razón social cliente factura]]&amp;Tabla3[[#This Row],[Desc. ciudad]],'Estandar de Rutas'!$C$1:$E$553,2,FALSE)</f>
        <v>2.2</v>
      </c>
      <c r="U751" s="130">
        <f>IFERROR(VLOOKUP(Tabla3[[#This Row],[Referencia]]&amp;Tabla3[[#This Row],[Desc detalle ext 1]],Tabla1[[Referencia-Color]:[Disponibilidad]],3,FALSE),0)</f>
        <v>0</v>
      </c>
      <c r="V751" s="13"/>
      <c r="W751" s="17">
        <f>+Tabla3[[#This Row],[Cant. Programada]]*Tabla3[[#This Row],[Precio unit]]</f>
        <v>0</v>
      </c>
      <c r="X751" s="8"/>
      <c r="Y751" s="8"/>
      <c r="Z751" s="8" t="str">
        <f>+Tabla3[[#This Row],[Referencia]]&amp;Tabla3[[#This Row],[Desc detalle ext 1]]</f>
        <v>CB 160F STD                                       NEGRO PER</v>
      </c>
      <c r="AA751" s="128" t="e">
        <f>+VLOOKUP(Tabla3[[#This Row],[CODIGO2]],ESTANDAR!$B$3:$C$9,2,FALSE)</f>
        <v>#N/A</v>
      </c>
      <c r="AB751" s="128" t="str">
        <f>+MID(Tabla3[[#This Row],['# Viaje]],10,1)</f>
        <v/>
      </c>
    </row>
    <row r="752" spans="1:28" ht="15" hidden="1" customHeight="1">
      <c r="A752" s="173" t="s">
        <v>1606</v>
      </c>
      <c r="B752" s="174">
        <v>42948</v>
      </c>
      <c r="C752" s="173" t="s">
        <v>1231</v>
      </c>
      <c r="D752" s="173" t="s">
        <v>1478</v>
      </c>
      <c r="E752" s="173" t="s">
        <v>1479</v>
      </c>
      <c r="F752" s="173">
        <v>7</v>
      </c>
      <c r="G752" s="173" t="s">
        <v>111</v>
      </c>
      <c r="H752" s="173">
        <v>7</v>
      </c>
      <c r="I752" s="173" t="s">
        <v>111</v>
      </c>
      <c r="J752" s="173" t="s">
        <v>1451</v>
      </c>
      <c r="K752" s="173" t="s">
        <v>16</v>
      </c>
      <c r="L752" s="173"/>
      <c r="M752" s="173" t="s">
        <v>112</v>
      </c>
      <c r="N752" s="173">
        <v>27452030</v>
      </c>
      <c r="O752" s="175">
        <v>3696639</v>
      </c>
      <c r="P752" s="7"/>
      <c r="Q752" s="16">
        <f>+IF(IFERROR(VLOOKUP(Tabla3[[#This Row],[Cliente factura]],Tabla4[[NIT]:[TOTAL CREDITO]],3,FALSE),0)="",0,IFERROR(VLOOKUP(Tabla3[[#This Row],[Cliente factura]],Tabla4[[NIT]:[TOTAL CREDITO]],3,FALSE),0))</f>
        <v>964828</v>
      </c>
      <c r="R752" s="9">
        <f>+IFERROR(VLOOKUP(Tabla3[[#This Row],[Cliente factura]],Tabla4[[NIT]:[TOTAL CREDITO]],6,FALSE),0)</f>
        <v>0</v>
      </c>
      <c r="S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2" s="10" t="str">
        <f>VLOOKUP(Tabla3[[#This Row],[Razón social cliente factura]]&amp;Tabla3[[#This Row],[Desc. ciudad]],'Estandar de Rutas'!$C$1:$E$553,2,FALSE)</f>
        <v>2.2</v>
      </c>
      <c r="U752" s="130">
        <f>IFERROR(VLOOKUP(Tabla3[[#This Row],[Referencia]]&amp;Tabla3[[#This Row],[Desc detalle ext 1]],Tabla1[[Referencia-Color]:[Disponibilidad]],3,FALSE),0)</f>
        <v>3</v>
      </c>
      <c r="V752" s="13"/>
      <c r="W752" s="17">
        <f>+Tabla3[[#This Row],[Cant. Programada]]*Tabla3[[#This Row],[Precio unit]]</f>
        <v>0</v>
      </c>
      <c r="X752" s="8"/>
      <c r="Y752" s="8"/>
      <c r="Z752" s="8" t="str">
        <f>+Tabla3[[#This Row],[Referencia]]&amp;Tabla3[[#This Row],[Desc detalle ext 1]]</f>
        <v xml:space="preserve">CB 110 DLX                                        NEGRO    </v>
      </c>
      <c r="AA752" s="128" t="e">
        <f>+VLOOKUP(Tabla3[[#This Row],[CODIGO2]],ESTANDAR!$B$3:$C$9,2,FALSE)</f>
        <v>#N/A</v>
      </c>
      <c r="AB752" s="128" t="str">
        <f>+MID(Tabla3[[#This Row],['# Viaje]],10,1)</f>
        <v/>
      </c>
    </row>
    <row r="753" spans="1:28" ht="15" hidden="1" customHeight="1">
      <c r="A753" s="173" t="s">
        <v>1606</v>
      </c>
      <c r="B753" s="174">
        <v>42948</v>
      </c>
      <c r="C753" s="173" t="s">
        <v>1231</v>
      </c>
      <c r="D753" s="173" t="s">
        <v>1478</v>
      </c>
      <c r="E753" s="173" t="s">
        <v>1479</v>
      </c>
      <c r="F753" s="173">
        <v>1</v>
      </c>
      <c r="G753" s="173" t="s">
        <v>111</v>
      </c>
      <c r="H753" s="173">
        <v>1</v>
      </c>
      <c r="I753" s="173" t="s">
        <v>111</v>
      </c>
      <c r="J753" s="173" t="s">
        <v>1451</v>
      </c>
      <c r="K753" s="173" t="s">
        <v>1431</v>
      </c>
      <c r="L753" s="173"/>
      <c r="M753" s="173" t="s">
        <v>112</v>
      </c>
      <c r="N753" s="173">
        <v>27452030</v>
      </c>
      <c r="O753" s="175">
        <v>3696639</v>
      </c>
      <c r="P753" s="7"/>
      <c r="Q753" s="16">
        <f>+IF(IFERROR(VLOOKUP(Tabla3[[#This Row],[Cliente factura]],Tabla4[[NIT]:[TOTAL CREDITO]],3,FALSE),0)="",0,IFERROR(VLOOKUP(Tabla3[[#This Row],[Cliente factura]],Tabla4[[NIT]:[TOTAL CREDITO]],3,FALSE),0))</f>
        <v>964828</v>
      </c>
      <c r="R753" s="9">
        <f>+IFERROR(VLOOKUP(Tabla3[[#This Row],[Cliente factura]],Tabla4[[NIT]:[TOTAL CREDITO]],6,FALSE),0)</f>
        <v>0</v>
      </c>
      <c r="S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3" s="10" t="str">
        <f>VLOOKUP(Tabla3[[#This Row],[Razón social cliente factura]]&amp;Tabla3[[#This Row],[Desc. ciudad]],'Estandar de Rutas'!$C$1:$E$553,2,FALSE)</f>
        <v>2.2</v>
      </c>
      <c r="U753" s="130">
        <f>IFERROR(VLOOKUP(Tabla3[[#This Row],[Referencia]]&amp;Tabla3[[#This Row],[Desc detalle ext 1]],Tabla1[[Referencia-Color]:[Disponibilidad]],3,FALSE),0)</f>
        <v>21</v>
      </c>
      <c r="V753" s="13"/>
      <c r="W753" s="17">
        <f>+Tabla3[[#This Row],[Cant. Programada]]*Tabla3[[#This Row],[Precio unit]]</f>
        <v>0</v>
      </c>
      <c r="X753" s="8"/>
      <c r="Y753" s="8"/>
      <c r="Z753" s="8" t="str">
        <f>+Tabla3[[#This Row],[Referencia]]&amp;Tabla3[[#This Row],[Desc detalle ext 1]]</f>
        <v xml:space="preserve">CB 110 DLX                                        ROJO     </v>
      </c>
      <c r="AA753" s="128" t="e">
        <f>+VLOOKUP(Tabla3[[#This Row],[CODIGO2]],ESTANDAR!$B$3:$C$9,2,FALSE)</f>
        <v>#N/A</v>
      </c>
      <c r="AB753" s="128" t="str">
        <f>+MID(Tabla3[[#This Row],['# Viaje]],10,1)</f>
        <v/>
      </c>
    </row>
    <row r="754" spans="1:28" ht="15" hidden="1" customHeight="1">
      <c r="A754" s="173" t="s">
        <v>1606</v>
      </c>
      <c r="B754" s="174">
        <v>42948</v>
      </c>
      <c r="C754" s="173" t="s">
        <v>1231</v>
      </c>
      <c r="D754" s="173" t="s">
        <v>1478</v>
      </c>
      <c r="E754" s="173" t="s">
        <v>1479</v>
      </c>
      <c r="F754" s="173">
        <v>5</v>
      </c>
      <c r="G754" s="173" t="s">
        <v>111</v>
      </c>
      <c r="H754" s="173">
        <v>5</v>
      </c>
      <c r="I754" s="173" t="s">
        <v>111</v>
      </c>
      <c r="J754" s="173" t="s">
        <v>1451</v>
      </c>
      <c r="K754" s="173" t="s">
        <v>1452</v>
      </c>
      <c r="L754" s="173"/>
      <c r="M754" s="173" t="s">
        <v>112</v>
      </c>
      <c r="N754" s="173">
        <v>27452030</v>
      </c>
      <c r="O754" s="175">
        <v>3696639</v>
      </c>
      <c r="P754" s="7"/>
      <c r="Q754" s="16">
        <f>+IF(IFERROR(VLOOKUP(Tabla3[[#This Row],[Cliente factura]],Tabla4[[NIT]:[TOTAL CREDITO]],3,FALSE),0)="",0,IFERROR(VLOOKUP(Tabla3[[#This Row],[Cliente factura]],Tabla4[[NIT]:[TOTAL CREDITO]],3,FALSE),0))</f>
        <v>964828</v>
      </c>
      <c r="R754" s="9">
        <f>+IFERROR(VLOOKUP(Tabla3[[#This Row],[Cliente factura]],Tabla4[[NIT]:[TOTAL CREDITO]],6,FALSE),0)</f>
        <v>0</v>
      </c>
      <c r="S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4" s="10" t="str">
        <f>VLOOKUP(Tabla3[[#This Row],[Razón social cliente factura]]&amp;Tabla3[[#This Row],[Desc. ciudad]],'Estandar de Rutas'!$C$1:$E$553,2,FALSE)</f>
        <v>2.2</v>
      </c>
      <c r="U754" s="130">
        <f>IFERROR(VLOOKUP(Tabla3[[#This Row],[Referencia]]&amp;Tabla3[[#This Row],[Desc detalle ext 1]],Tabla1[[Referencia-Color]:[Disponibilidad]],3,FALSE),0)</f>
        <v>21</v>
      </c>
      <c r="V754" s="13"/>
      <c r="W754" s="17">
        <f>+Tabla3[[#This Row],[Cant. Programada]]*Tabla3[[#This Row],[Precio unit]]</f>
        <v>0</v>
      </c>
      <c r="X754" s="8"/>
      <c r="Y754" s="8"/>
      <c r="Z754" s="8" t="str">
        <f>+Tabla3[[#This Row],[Referencia]]&amp;Tabla3[[#This Row],[Desc detalle ext 1]]</f>
        <v xml:space="preserve">CB 110 DLX                                        AZUL     </v>
      </c>
      <c r="AA754" s="128" t="e">
        <f>+VLOOKUP(Tabla3[[#This Row],[CODIGO2]],ESTANDAR!$B$3:$C$9,2,FALSE)</f>
        <v>#N/A</v>
      </c>
      <c r="AB754" s="128" t="str">
        <f>+MID(Tabla3[[#This Row],['# Viaje]],10,1)</f>
        <v/>
      </c>
    </row>
    <row r="755" spans="1:28" ht="15" hidden="1" customHeight="1">
      <c r="A755" s="173" t="s">
        <v>1606</v>
      </c>
      <c r="B755" s="174">
        <v>42948</v>
      </c>
      <c r="C755" s="173" t="s">
        <v>1231</v>
      </c>
      <c r="D755" s="173" t="s">
        <v>1478</v>
      </c>
      <c r="E755" s="173" t="s">
        <v>1479</v>
      </c>
      <c r="F755" s="173">
        <v>3</v>
      </c>
      <c r="G755" s="173" t="s">
        <v>111</v>
      </c>
      <c r="H755" s="173">
        <v>3</v>
      </c>
      <c r="I755" s="173" t="s">
        <v>111</v>
      </c>
      <c r="J755" s="173" t="s">
        <v>1451</v>
      </c>
      <c r="K755" s="173" t="s">
        <v>1449</v>
      </c>
      <c r="L755" s="173"/>
      <c r="M755" s="173" t="s">
        <v>112</v>
      </c>
      <c r="N755" s="173">
        <v>27452030</v>
      </c>
      <c r="O755" s="175">
        <v>3696639</v>
      </c>
      <c r="P755" s="7"/>
      <c r="Q755" s="16">
        <f>+IF(IFERROR(VLOOKUP(Tabla3[[#This Row],[Cliente factura]],Tabla4[[NIT]:[TOTAL CREDITO]],3,FALSE),0)="",0,IFERROR(VLOOKUP(Tabla3[[#This Row],[Cliente factura]],Tabla4[[NIT]:[TOTAL CREDITO]],3,FALSE),0))</f>
        <v>964828</v>
      </c>
      <c r="R755" s="9">
        <f>+IFERROR(VLOOKUP(Tabla3[[#This Row],[Cliente factura]],Tabla4[[NIT]:[TOTAL CREDITO]],6,FALSE),0)</f>
        <v>0</v>
      </c>
      <c r="S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5" s="10" t="str">
        <f>VLOOKUP(Tabla3[[#This Row],[Razón social cliente factura]]&amp;Tabla3[[#This Row],[Desc. ciudad]],'Estandar de Rutas'!$C$1:$E$553,2,FALSE)</f>
        <v>2.2</v>
      </c>
      <c r="U755" s="130">
        <f>IFERROR(VLOOKUP(Tabla3[[#This Row],[Referencia]]&amp;Tabla3[[#This Row],[Desc detalle ext 1]],Tabla1[[Referencia-Color]:[Disponibilidad]],3,FALSE),0)</f>
        <v>24</v>
      </c>
      <c r="V755" s="13"/>
      <c r="W755" s="17">
        <f>+Tabla3[[#This Row],[Cant. Programada]]*Tabla3[[#This Row],[Precio unit]]</f>
        <v>0</v>
      </c>
      <c r="X755" s="8"/>
      <c r="Y755" s="8"/>
      <c r="Z755" s="8" t="str">
        <f>+Tabla3[[#This Row],[Referencia]]&amp;Tabla3[[#This Row],[Desc detalle ext 1]]</f>
        <v xml:space="preserve">CB 110 DLX                                        GRIS     </v>
      </c>
      <c r="AA755" s="128" t="e">
        <f>+VLOOKUP(Tabla3[[#This Row],[CODIGO2]],ESTANDAR!$B$3:$C$9,2,FALSE)</f>
        <v>#N/A</v>
      </c>
      <c r="AB755" s="128" t="str">
        <f>+MID(Tabla3[[#This Row],['# Viaje]],10,1)</f>
        <v/>
      </c>
    </row>
    <row r="756" spans="1:28" ht="15" hidden="1" customHeight="1">
      <c r="A756" s="173" t="s">
        <v>1607</v>
      </c>
      <c r="B756" s="174">
        <v>42948</v>
      </c>
      <c r="C756" s="173" t="s">
        <v>1477</v>
      </c>
      <c r="D756" s="173" t="s">
        <v>1478</v>
      </c>
      <c r="E756" s="173" t="s">
        <v>1479</v>
      </c>
      <c r="F756" s="173">
        <v>2</v>
      </c>
      <c r="G756" s="173" t="s">
        <v>127</v>
      </c>
      <c r="H756" s="173">
        <v>2</v>
      </c>
      <c r="I756" s="173" t="s">
        <v>127</v>
      </c>
      <c r="J756" s="173" t="s">
        <v>27</v>
      </c>
      <c r="K756" s="173" t="s">
        <v>16</v>
      </c>
      <c r="L756" s="173"/>
      <c r="M756" s="173" t="s">
        <v>128</v>
      </c>
      <c r="N756" s="173">
        <v>23780840</v>
      </c>
      <c r="O756" s="175">
        <v>5789916</v>
      </c>
      <c r="P756" s="7"/>
      <c r="Q756" s="16">
        <f>+IF(IFERROR(VLOOKUP(Tabla3[[#This Row],[Cliente factura]],Tabla4[[NIT]:[TOTAL CREDITO]],3,FALSE),0)="",0,IFERROR(VLOOKUP(Tabla3[[#This Row],[Cliente factura]],Tabla4[[NIT]:[TOTAL CREDITO]],3,FALSE),0))</f>
        <v>12300000</v>
      </c>
      <c r="R756" s="9">
        <f>+IFERROR(VLOOKUP(Tabla3[[#This Row],[Cliente factura]],Tabla4[[NIT]:[TOTAL CREDITO]],6,FALSE),0)</f>
        <v>28000000</v>
      </c>
      <c r="S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6" s="10" t="str">
        <f>VLOOKUP(Tabla3[[#This Row],[Razón social cliente factura]]&amp;Tabla3[[#This Row],[Desc. ciudad]],'Estandar de Rutas'!$C$1:$E$553,2,FALSE)</f>
        <v>7.2.A</v>
      </c>
      <c r="U756" s="130">
        <f>IFERROR(VLOOKUP(Tabla3[[#This Row],[Referencia]]&amp;Tabla3[[#This Row],[Desc detalle ext 1]],Tabla1[[Referencia-Color]:[Disponibilidad]],3,FALSE),0)</f>
        <v>3</v>
      </c>
      <c r="V756" s="13"/>
      <c r="W756" s="17">
        <f>+Tabla3[[#This Row],[Cant. Programada]]*Tabla3[[#This Row],[Precio unit]]</f>
        <v>0</v>
      </c>
      <c r="X756" s="8"/>
      <c r="Y756" s="8"/>
      <c r="Z756" s="8" t="str">
        <f>+Tabla3[[#This Row],[Referencia]]&amp;Tabla3[[#This Row],[Desc detalle ext 1]]</f>
        <v xml:space="preserve">*XR 150L                                          NEGRO    </v>
      </c>
      <c r="AA756" s="128" t="e">
        <f>+VLOOKUP(Tabla3[[#This Row],[CODIGO2]],ESTANDAR!$B$3:$C$9,2,FALSE)</f>
        <v>#N/A</v>
      </c>
      <c r="AB756" s="128" t="str">
        <f>+MID(Tabla3[[#This Row],['# Viaje]],10,1)</f>
        <v/>
      </c>
    </row>
    <row r="757" spans="1:28" ht="15" hidden="1" customHeight="1">
      <c r="A757" s="173" t="s">
        <v>1607</v>
      </c>
      <c r="B757" s="174">
        <v>42948</v>
      </c>
      <c r="C757" s="173" t="s">
        <v>1477</v>
      </c>
      <c r="D757" s="173" t="s">
        <v>1478</v>
      </c>
      <c r="E757" s="173" t="s">
        <v>1479</v>
      </c>
      <c r="F757" s="173">
        <v>1</v>
      </c>
      <c r="G757" s="173" t="s">
        <v>127</v>
      </c>
      <c r="H757" s="173">
        <v>1</v>
      </c>
      <c r="I757" s="173" t="s">
        <v>127</v>
      </c>
      <c r="J757" s="173" t="s">
        <v>27</v>
      </c>
      <c r="K757" s="173" t="s">
        <v>26</v>
      </c>
      <c r="L757" s="173"/>
      <c r="M757" s="173" t="s">
        <v>128</v>
      </c>
      <c r="N757" s="173">
        <v>23780840</v>
      </c>
      <c r="O757" s="175">
        <v>5789916</v>
      </c>
      <c r="P757" s="7"/>
      <c r="Q757" s="16">
        <f>+IF(IFERROR(VLOOKUP(Tabla3[[#This Row],[Cliente factura]],Tabla4[[NIT]:[TOTAL CREDITO]],3,FALSE),0)="",0,IFERROR(VLOOKUP(Tabla3[[#This Row],[Cliente factura]],Tabla4[[NIT]:[TOTAL CREDITO]],3,FALSE),0))</f>
        <v>12300000</v>
      </c>
      <c r="R757" s="9">
        <f>+IFERROR(VLOOKUP(Tabla3[[#This Row],[Cliente factura]],Tabla4[[NIT]:[TOTAL CREDITO]],6,FALSE),0)</f>
        <v>28000000</v>
      </c>
      <c r="S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7" s="10" t="str">
        <f>VLOOKUP(Tabla3[[#This Row],[Razón social cliente factura]]&amp;Tabla3[[#This Row],[Desc. ciudad]],'Estandar de Rutas'!$C$1:$E$553,2,FALSE)</f>
        <v>7.2.A</v>
      </c>
      <c r="U757" s="130">
        <f>IFERROR(VLOOKUP(Tabla3[[#This Row],[Referencia]]&amp;Tabla3[[#This Row],[Desc detalle ext 1]],Tabla1[[Referencia-Color]:[Disponibilidad]],3,FALSE),0)</f>
        <v>59</v>
      </c>
      <c r="V757" s="13"/>
      <c r="W757" s="17">
        <f>+Tabla3[[#This Row],[Cant. Programada]]*Tabla3[[#This Row],[Precio unit]]</f>
        <v>0</v>
      </c>
      <c r="X757" s="8"/>
      <c r="Y757" s="8"/>
      <c r="Z757" s="8" t="str">
        <f>+Tabla3[[#This Row],[Referencia]]&amp;Tabla3[[#This Row],[Desc detalle ext 1]]</f>
        <v>*XR 150L                                          NEGRO BLA</v>
      </c>
      <c r="AA757" s="128" t="e">
        <f>+VLOOKUP(Tabla3[[#This Row],[CODIGO2]],ESTANDAR!$B$3:$C$9,2,FALSE)</f>
        <v>#N/A</v>
      </c>
      <c r="AB757" s="128" t="str">
        <f>+MID(Tabla3[[#This Row],['# Viaje]],10,1)</f>
        <v/>
      </c>
    </row>
    <row r="758" spans="1:28" ht="15" hidden="1" customHeight="1">
      <c r="A758" s="173" t="s">
        <v>1607</v>
      </c>
      <c r="B758" s="174">
        <v>42948</v>
      </c>
      <c r="C758" s="173" t="s">
        <v>1477</v>
      </c>
      <c r="D758" s="173" t="s">
        <v>1478</v>
      </c>
      <c r="E758" s="173" t="s">
        <v>1479</v>
      </c>
      <c r="F758" s="173">
        <v>2</v>
      </c>
      <c r="G758" s="173" t="s">
        <v>127</v>
      </c>
      <c r="H758" s="173">
        <v>2</v>
      </c>
      <c r="I758" s="173" t="s">
        <v>127</v>
      </c>
      <c r="J758" s="173" t="s">
        <v>1453</v>
      </c>
      <c r="K758" s="173" t="s">
        <v>11</v>
      </c>
      <c r="L758" s="173"/>
      <c r="M758" s="173" t="s">
        <v>128</v>
      </c>
      <c r="N758" s="173">
        <v>23780840</v>
      </c>
      <c r="O758" s="175">
        <v>7730252</v>
      </c>
      <c r="P758" s="7"/>
      <c r="Q758" s="16">
        <f>+IF(IFERROR(VLOOKUP(Tabla3[[#This Row],[Cliente factura]],Tabla4[[NIT]:[TOTAL CREDITO]],3,FALSE),0)="",0,IFERROR(VLOOKUP(Tabla3[[#This Row],[Cliente factura]],Tabla4[[NIT]:[TOTAL CREDITO]],3,FALSE),0))</f>
        <v>12300000</v>
      </c>
      <c r="R758" s="9">
        <f>+IFERROR(VLOOKUP(Tabla3[[#This Row],[Cliente factura]],Tabla4[[NIT]:[TOTAL CREDITO]],6,FALSE),0)</f>
        <v>28000000</v>
      </c>
      <c r="S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8" s="10" t="str">
        <f>VLOOKUP(Tabla3[[#This Row],[Razón social cliente factura]]&amp;Tabla3[[#This Row],[Desc. ciudad]],'Estandar de Rutas'!$C$1:$E$553,2,FALSE)</f>
        <v>7.2.A</v>
      </c>
      <c r="U758" s="130">
        <f>IFERROR(VLOOKUP(Tabla3[[#This Row],[Referencia]]&amp;Tabla3[[#This Row],[Desc detalle ext 1]],Tabla1[[Referencia-Color]:[Disponibilidad]],3,FALSE),0)</f>
        <v>0</v>
      </c>
      <c r="V758" s="13"/>
      <c r="W758" s="17">
        <f>+Tabla3[[#This Row],[Cant. Programada]]*Tabla3[[#This Row],[Precio unit]]</f>
        <v>0</v>
      </c>
      <c r="X758" s="8"/>
      <c r="Y758" s="8"/>
      <c r="Z758" s="8" t="str">
        <f>+Tabla3[[#This Row],[Referencia]]&amp;Tabla3[[#This Row],[Desc detalle ext 1]]</f>
        <v>CB 190R INSTINTO R                                NEGRO ONI</v>
      </c>
      <c r="AA758" s="128" t="e">
        <f>+VLOOKUP(Tabla3[[#This Row],[CODIGO2]],ESTANDAR!$B$3:$C$9,2,FALSE)</f>
        <v>#N/A</v>
      </c>
      <c r="AB758" s="128" t="str">
        <f>+MID(Tabla3[[#This Row],['# Viaje]],10,1)</f>
        <v/>
      </c>
    </row>
    <row r="759" spans="1:28" ht="15" hidden="1" customHeight="1">
      <c r="A759" s="173" t="s">
        <v>1607</v>
      </c>
      <c r="B759" s="174">
        <v>42948</v>
      </c>
      <c r="C759" s="173" t="s">
        <v>1477</v>
      </c>
      <c r="D759" s="173" t="s">
        <v>1478</v>
      </c>
      <c r="E759" s="173" t="s">
        <v>1479</v>
      </c>
      <c r="F759" s="173">
        <v>1</v>
      </c>
      <c r="G759" s="173" t="s">
        <v>127</v>
      </c>
      <c r="H759" s="173">
        <v>1</v>
      </c>
      <c r="I759" s="173" t="s">
        <v>127</v>
      </c>
      <c r="J759" s="173" t="s">
        <v>1234</v>
      </c>
      <c r="K759" s="173" t="s">
        <v>355</v>
      </c>
      <c r="L759" s="173"/>
      <c r="M759" s="173" t="s">
        <v>128</v>
      </c>
      <c r="N759" s="173">
        <v>23780840</v>
      </c>
      <c r="O759" s="175">
        <v>5453782</v>
      </c>
      <c r="P759" s="7"/>
      <c r="Q759" s="16">
        <f>+IF(IFERROR(VLOOKUP(Tabla3[[#This Row],[Cliente factura]],Tabla4[[NIT]:[TOTAL CREDITO]],3,FALSE),0)="",0,IFERROR(VLOOKUP(Tabla3[[#This Row],[Cliente factura]],Tabla4[[NIT]:[TOTAL CREDITO]],3,FALSE),0))</f>
        <v>12300000</v>
      </c>
      <c r="R759" s="9">
        <f>+IFERROR(VLOOKUP(Tabla3[[#This Row],[Cliente factura]],Tabla4[[NIT]:[TOTAL CREDITO]],6,FALSE),0)</f>
        <v>28000000</v>
      </c>
      <c r="S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9" s="10" t="str">
        <f>VLOOKUP(Tabla3[[#This Row],[Razón social cliente factura]]&amp;Tabla3[[#This Row],[Desc. ciudad]],'Estandar de Rutas'!$C$1:$E$553,2,FALSE)</f>
        <v>7.2.A</v>
      </c>
      <c r="U759" s="130">
        <f>IFERROR(VLOOKUP(Tabla3[[#This Row],[Referencia]]&amp;Tabla3[[#This Row],[Desc detalle ext 1]],Tabla1[[Referencia-Color]:[Disponibilidad]],3,FALSE),0)</f>
        <v>0</v>
      </c>
      <c r="V759" s="13"/>
      <c r="W759" s="17">
        <f>+Tabla3[[#This Row],[Cant. Programada]]*Tabla3[[#This Row],[Precio unit]]</f>
        <v>0</v>
      </c>
      <c r="X759" s="8"/>
      <c r="Y759" s="8"/>
      <c r="Z759" s="8" t="str">
        <f>+Tabla3[[#This Row],[Referencia]]&amp;Tabla3[[#This Row],[Desc detalle ext 1]]</f>
        <v>CB 160F STD                                       NEGRO PER</v>
      </c>
      <c r="AA759" s="128" t="e">
        <f>+VLOOKUP(Tabla3[[#This Row],[CODIGO2]],ESTANDAR!$B$3:$C$9,2,FALSE)</f>
        <v>#N/A</v>
      </c>
      <c r="AB759" s="128" t="str">
        <f>+MID(Tabla3[[#This Row],['# Viaje]],10,1)</f>
        <v/>
      </c>
    </row>
    <row r="760" spans="1:28" ht="15" hidden="1" customHeight="1">
      <c r="A760" s="173" t="s">
        <v>1608</v>
      </c>
      <c r="B760" s="174">
        <v>42948</v>
      </c>
      <c r="C760" s="173" t="s">
        <v>1231</v>
      </c>
      <c r="D760" s="173" t="s">
        <v>1478</v>
      </c>
      <c r="E760" s="173" t="s">
        <v>1479</v>
      </c>
      <c r="F760" s="173">
        <v>4</v>
      </c>
      <c r="G760" s="173" t="s">
        <v>129</v>
      </c>
      <c r="H760" s="173">
        <v>4</v>
      </c>
      <c r="I760" s="173" t="s">
        <v>1609</v>
      </c>
      <c r="J760" s="173" t="s">
        <v>27</v>
      </c>
      <c r="K760" s="173" t="s">
        <v>32</v>
      </c>
      <c r="L760" s="173"/>
      <c r="M760" s="173" t="s">
        <v>130</v>
      </c>
      <c r="N760" s="173">
        <v>900413902</v>
      </c>
      <c r="O760" s="175">
        <v>5789916</v>
      </c>
      <c r="P760" s="7">
        <f>+Tabla3[[#This Row],[Precio unit]]*Tabla3[[#This Row],[Cant pendiente]]</f>
        <v>23159664</v>
      </c>
      <c r="Q760" s="16">
        <f>+IF(IFERROR(VLOOKUP(Tabla3[[#This Row],[Cliente factura]],Tabla4[[NIT]:[TOTAL CREDITO]],3,FALSE),0)="",0,IFERROR(VLOOKUP(Tabla3[[#This Row],[Cliente factura]],Tabla4[[NIT]:[TOTAL CREDITO]],3,FALSE),0))</f>
        <v>0</v>
      </c>
      <c r="R760" s="9">
        <f>+IFERROR(VLOOKUP(Tabla3[[#This Row],[Cliente factura]],Tabla4[[NIT]:[TOTAL CREDITO]],6,FALSE),0)</f>
        <v>5317757</v>
      </c>
      <c r="S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0" s="10" t="str">
        <f>VLOOKUP(Tabla3[[#This Row],[Razón social cliente factura]]&amp;Tabla3[[#This Row],[Desc. ciudad]],'Estandar de Rutas'!$C$1:$E$553,2,FALSE)</f>
        <v>6.2.A</v>
      </c>
      <c r="U760" s="130">
        <f>IFERROR(VLOOKUP(Tabla3[[#This Row],[Referencia]]&amp;Tabla3[[#This Row],[Desc detalle ext 1]],Tabla1[[Referencia-Color]:[Disponibilidad]],3,FALSE),0)</f>
        <v>7</v>
      </c>
      <c r="V760" s="13"/>
      <c r="W760" s="17">
        <f>+Tabla3[[#This Row],[Cant. Programada]]*Tabla3[[#This Row],[Precio unit]]</f>
        <v>0</v>
      </c>
      <c r="X760" s="8"/>
      <c r="Y760" s="8"/>
      <c r="Z760" s="8" t="str">
        <f>+Tabla3[[#This Row],[Referencia]]&amp;Tabla3[[#This Row],[Desc detalle ext 1]]</f>
        <v>*XR 150L                                          NEGRO ROJ</v>
      </c>
      <c r="AA760" s="128" t="e">
        <f>+VLOOKUP(Tabla3[[#This Row],[CODIGO2]],ESTANDAR!$B$3:$C$9,2,FALSE)</f>
        <v>#N/A</v>
      </c>
      <c r="AB760" s="128" t="str">
        <f>+MID(Tabla3[[#This Row],['# Viaje]],10,1)</f>
        <v/>
      </c>
    </row>
    <row r="761" spans="1:28" ht="15" hidden="1" customHeight="1">
      <c r="A761" s="173" t="s">
        <v>1608</v>
      </c>
      <c r="B761" s="174">
        <v>42948</v>
      </c>
      <c r="C761" s="173" t="s">
        <v>1231</v>
      </c>
      <c r="D761" s="173" t="s">
        <v>1478</v>
      </c>
      <c r="E761" s="173" t="s">
        <v>1479</v>
      </c>
      <c r="F761" s="173">
        <v>1</v>
      </c>
      <c r="G761" s="173" t="s">
        <v>129</v>
      </c>
      <c r="H761" s="173">
        <v>1</v>
      </c>
      <c r="I761" s="173" t="s">
        <v>1609</v>
      </c>
      <c r="J761" s="173" t="s">
        <v>27</v>
      </c>
      <c r="K761" s="173" t="s">
        <v>26</v>
      </c>
      <c r="L761" s="173"/>
      <c r="M761" s="173" t="s">
        <v>130</v>
      </c>
      <c r="N761" s="173">
        <v>900413902</v>
      </c>
      <c r="O761" s="175">
        <v>5789916</v>
      </c>
      <c r="P761" s="7">
        <f>+Tabla3[[#This Row],[Precio unit]]*Tabla3[[#This Row],[Cant pendiente]]</f>
        <v>5789916</v>
      </c>
      <c r="Q761" s="16">
        <f>+IF(IFERROR(VLOOKUP(Tabla3[[#This Row],[Cliente factura]],Tabla4[[NIT]:[TOTAL CREDITO]],3,FALSE),0)="",0,IFERROR(VLOOKUP(Tabla3[[#This Row],[Cliente factura]],Tabla4[[NIT]:[TOTAL CREDITO]],3,FALSE),0))</f>
        <v>0</v>
      </c>
      <c r="R761" s="9">
        <f>+IFERROR(VLOOKUP(Tabla3[[#This Row],[Cliente factura]],Tabla4[[NIT]:[TOTAL CREDITO]],6,FALSE),0)</f>
        <v>5317757</v>
      </c>
      <c r="S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1" s="10" t="str">
        <f>VLOOKUP(Tabla3[[#This Row],[Razón social cliente factura]]&amp;Tabla3[[#This Row],[Desc. ciudad]],'Estandar de Rutas'!$C$1:$E$553,2,FALSE)</f>
        <v>6.2.A</v>
      </c>
      <c r="U761" s="130">
        <f>IFERROR(VLOOKUP(Tabla3[[#This Row],[Referencia]]&amp;Tabla3[[#This Row],[Desc detalle ext 1]],Tabla1[[Referencia-Color]:[Disponibilidad]],3,FALSE),0)</f>
        <v>59</v>
      </c>
      <c r="V761" s="13"/>
      <c r="W761" s="17">
        <f>+Tabla3[[#This Row],[Cant. Programada]]*Tabla3[[#This Row],[Precio unit]]</f>
        <v>0</v>
      </c>
      <c r="X761" s="8"/>
      <c r="Y761" s="8"/>
      <c r="Z761" s="8" t="str">
        <f>+Tabla3[[#This Row],[Referencia]]&amp;Tabla3[[#This Row],[Desc detalle ext 1]]</f>
        <v>*XR 150L                                          NEGRO BLA</v>
      </c>
      <c r="AA761" s="128" t="e">
        <f>+VLOOKUP(Tabla3[[#This Row],[CODIGO2]],ESTANDAR!$B$3:$C$9,2,FALSE)</f>
        <v>#N/A</v>
      </c>
      <c r="AB761" s="128" t="str">
        <f>+MID(Tabla3[[#This Row],['# Viaje]],10,1)</f>
        <v/>
      </c>
    </row>
    <row r="762" spans="1:28" ht="15" hidden="1" customHeight="1">
      <c r="A762" s="173" t="s">
        <v>1608</v>
      </c>
      <c r="B762" s="174">
        <v>42948</v>
      </c>
      <c r="C762" s="173" t="s">
        <v>1231</v>
      </c>
      <c r="D762" s="173" t="s">
        <v>1478</v>
      </c>
      <c r="E762" s="173" t="s">
        <v>1479</v>
      </c>
      <c r="F762" s="173">
        <v>1</v>
      </c>
      <c r="G762" s="173" t="s">
        <v>129</v>
      </c>
      <c r="H762" s="173">
        <v>1</v>
      </c>
      <c r="I762" s="173" t="s">
        <v>1609</v>
      </c>
      <c r="J762" s="173" t="s">
        <v>1234</v>
      </c>
      <c r="K762" s="173" t="s">
        <v>17</v>
      </c>
      <c r="L762" s="173"/>
      <c r="M762" s="173" t="s">
        <v>130</v>
      </c>
      <c r="N762" s="173">
        <v>900413902</v>
      </c>
      <c r="O762" s="175">
        <v>5453782</v>
      </c>
      <c r="P762" s="7">
        <f>+Tabla3[[#This Row],[Precio unit]]*Tabla3[[#This Row],[Cant pendiente]]</f>
        <v>5453782</v>
      </c>
      <c r="Q762" s="16">
        <f>+IF(IFERROR(VLOOKUP(Tabla3[[#This Row],[Cliente factura]],Tabla4[[NIT]:[TOTAL CREDITO]],3,FALSE),0)="",0,IFERROR(VLOOKUP(Tabla3[[#This Row],[Cliente factura]],Tabla4[[NIT]:[TOTAL CREDITO]],3,FALSE),0))</f>
        <v>0</v>
      </c>
      <c r="R762" s="9">
        <f>+IFERROR(VLOOKUP(Tabla3[[#This Row],[Cliente factura]],Tabla4[[NIT]:[TOTAL CREDITO]],6,FALSE),0)</f>
        <v>5317757</v>
      </c>
      <c r="S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2" s="10" t="str">
        <f>VLOOKUP(Tabla3[[#This Row],[Razón social cliente factura]]&amp;Tabla3[[#This Row],[Desc. ciudad]],'Estandar de Rutas'!$C$1:$E$553,2,FALSE)</f>
        <v>6.2.A</v>
      </c>
      <c r="U762" s="130">
        <f>IFERROR(VLOOKUP(Tabla3[[#This Row],[Referencia]]&amp;Tabla3[[#This Row],[Desc detalle ext 1]],Tabla1[[Referencia-Color]:[Disponibilidad]],3,FALSE),0)</f>
        <v>0</v>
      </c>
      <c r="V762" s="13"/>
      <c r="W762" s="17">
        <f>+Tabla3[[#This Row],[Cant. Programada]]*Tabla3[[#This Row],[Precio unit]]</f>
        <v>0</v>
      </c>
      <c r="X762" s="8"/>
      <c r="Y762" s="8"/>
      <c r="Z762" s="8" t="str">
        <f>+Tabla3[[#This Row],[Referencia]]&amp;Tabla3[[#This Row],[Desc detalle ext 1]]</f>
        <v>CB 160F STD                                       ROJO SPOR</v>
      </c>
      <c r="AA762" s="128" t="e">
        <f>+VLOOKUP(Tabla3[[#This Row],[CODIGO2]],ESTANDAR!$B$3:$C$9,2,FALSE)</f>
        <v>#N/A</v>
      </c>
      <c r="AB762" s="128" t="str">
        <f>+MID(Tabla3[[#This Row],['# Viaje]],10,1)</f>
        <v/>
      </c>
    </row>
    <row r="763" spans="1:28" ht="15" hidden="1" customHeight="1">
      <c r="A763" s="173" t="s">
        <v>1608</v>
      </c>
      <c r="B763" s="174">
        <v>42948</v>
      </c>
      <c r="C763" s="173" t="s">
        <v>1231</v>
      </c>
      <c r="D763" s="173" t="s">
        <v>1478</v>
      </c>
      <c r="E763" s="173" t="s">
        <v>1479</v>
      </c>
      <c r="F763" s="173">
        <v>2</v>
      </c>
      <c r="G763" s="173" t="s">
        <v>129</v>
      </c>
      <c r="H763" s="173">
        <v>2</v>
      </c>
      <c r="I763" s="173" t="s">
        <v>1609</v>
      </c>
      <c r="J763" s="173" t="s">
        <v>1234</v>
      </c>
      <c r="K763" s="173" t="s">
        <v>355</v>
      </c>
      <c r="L763" s="173"/>
      <c r="M763" s="173" t="s">
        <v>130</v>
      </c>
      <c r="N763" s="173">
        <v>900413902</v>
      </c>
      <c r="O763" s="175">
        <v>5453782</v>
      </c>
      <c r="P763" s="7">
        <f>+Tabla3[[#This Row],[Precio unit]]*Tabla3[[#This Row],[Cant pendiente]]</f>
        <v>10907564</v>
      </c>
      <c r="Q763" s="16">
        <f>+IF(IFERROR(VLOOKUP(Tabla3[[#This Row],[Cliente factura]],Tabla4[[NIT]:[TOTAL CREDITO]],3,FALSE),0)="",0,IFERROR(VLOOKUP(Tabla3[[#This Row],[Cliente factura]],Tabla4[[NIT]:[TOTAL CREDITO]],3,FALSE),0))</f>
        <v>0</v>
      </c>
      <c r="R763" s="9">
        <f>+IFERROR(VLOOKUP(Tabla3[[#This Row],[Cliente factura]],Tabla4[[NIT]:[TOTAL CREDITO]],6,FALSE),0)</f>
        <v>5317757</v>
      </c>
      <c r="S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3" s="10" t="str">
        <f>VLOOKUP(Tabla3[[#This Row],[Razón social cliente factura]]&amp;Tabla3[[#This Row],[Desc. ciudad]],'Estandar de Rutas'!$C$1:$E$553,2,FALSE)</f>
        <v>6.2.A</v>
      </c>
      <c r="U763" s="130">
        <f>IFERROR(VLOOKUP(Tabla3[[#This Row],[Referencia]]&amp;Tabla3[[#This Row],[Desc detalle ext 1]],Tabla1[[Referencia-Color]:[Disponibilidad]],3,FALSE),0)</f>
        <v>0</v>
      </c>
      <c r="V763" s="13"/>
      <c r="W763" s="17">
        <f>+Tabla3[[#This Row],[Cant. Programada]]*Tabla3[[#This Row],[Precio unit]]</f>
        <v>0</v>
      </c>
      <c r="X763" s="8"/>
      <c r="Y763" s="8"/>
      <c r="Z763" s="8" t="str">
        <f>+Tabla3[[#This Row],[Referencia]]&amp;Tabla3[[#This Row],[Desc detalle ext 1]]</f>
        <v>CB 160F STD                                       NEGRO PER</v>
      </c>
      <c r="AA763" s="128" t="e">
        <f>+VLOOKUP(Tabla3[[#This Row],[CODIGO2]],ESTANDAR!$B$3:$C$9,2,FALSE)</f>
        <v>#N/A</v>
      </c>
      <c r="AB763" s="128" t="str">
        <f>+MID(Tabla3[[#This Row],['# Viaje]],10,1)</f>
        <v/>
      </c>
    </row>
    <row r="764" spans="1:28" ht="15" hidden="1" customHeight="1">
      <c r="A764" s="173" t="s">
        <v>1608</v>
      </c>
      <c r="B764" s="174">
        <v>42948</v>
      </c>
      <c r="C764" s="173" t="s">
        <v>1231</v>
      </c>
      <c r="D764" s="173" t="s">
        <v>1478</v>
      </c>
      <c r="E764" s="173" t="s">
        <v>1479</v>
      </c>
      <c r="F764" s="173">
        <v>1</v>
      </c>
      <c r="G764" s="173" t="s">
        <v>129</v>
      </c>
      <c r="H764" s="173">
        <v>1</v>
      </c>
      <c r="I764" s="173" t="s">
        <v>1609</v>
      </c>
      <c r="J764" s="173" t="s">
        <v>1451</v>
      </c>
      <c r="K764" s="173" t="s">
        <v>1452</v>
      </c>
      <c r="L764" s="173"/>
      <c r="M764" s="173" t="s">
        <v>130</v>
      </c>
      <c r="N764" s="173">
        <v>900413902</v>
      </c>
      <c r="O764" s="175">
        <v>3696639</v>
      </c>
      <c r="P764" s="7">
        <f>+Tabla3[[#This Row],[Precio unit]]*Tabla3[[#This Row],[Cant pendiente]]</f>
        <v>3696639</v>
      </c>
      <c r="Q764" s="16">
        <f>+IF(IFERROR(VLOOKUP(Tabla3[[#This Row],[Cliente factura]],Tabla4[[NIT]:[TOTAL CREDITO]],3,FALSE),0)="",0,IFERROR(VLOOKUP(Tabla3[[#This Row],[Cliente factura]],Tabla4[[NIT]:[TOTAL CREDITO]],3,FALSE),0))</f>
        <v>0</v>
      </c>
      <c r="R764" s="9">
        <f>+IFERROR(VLOOKUP(Tabla3[[#This Row],[Cliente factura]],Tabla4[[NIT]:[TOTAL CREDITO]],6,FALSE),0)</f>
        <v>5317757</v>
      </c>
      <c r="S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4" s="10" t="str">
        <f>VLOOKUP(Tabla3[[#This Row],[Razón social cliente factura]]&amp;Tabla3[[#This Row],[Desc. ciudad]],'Estandar de Rutas'!$C$1:$E$553,2,FALSE)</f>
        <v>6.2.A</v>
      </c>
      <c r="U764" s="130">
        <f>IFERROR(VLOOKUP(Tabla3[[#This Row],[Referencia]]&amp;Tabla3[[#This Row],[Desc detalle ext 1]],Tabla1[[Referencia-Color]:[Disponibilidad]],3,FALSE),0)</f>
        <v>21</v>
      </c>
      <c r="V764" s="13"/>
      <c r="W764" s="17">
        <f>+Tabla3[[#This Row],[Cant. Programada]]*Tabla3[[#This Row],[Precio unit]]</f>
        <v>0</v>
      </c>
      <c r="X764" s="8"/>
      <c r="Y764" s="8"/>
      <c r="Z764" s="8" t="str">
        <f>+Tabla3[[#This Row],[Referencia]]&amp;Tabla3[[#This Row],[Desc detalle ext 1]]</f>
        <v xml:space="preserve">CB 110 DLX                                        AZUL     </v>
      </c>
      <c r="AA764" s="128" t="e">
        <f>+VLOOKUP(Tabla3[[#This Row],[CODIGO2]],ESTANDAR!$B$3:$C$9,2,FALSE)</f>
        <v>#N/A</v>
      </c>
      <c r="AB764" s="128" t="str">
        <f>+MID(Tabla3[[#This Row],['# Viaje]],10,1)</f>
        <v/>
      </c>
    </row>
    <row r="765" spans="1:28" ht="15" hidden="1" customHeight="1">
      <c r="A765" s="173" t="s">
        <v>1608</v>
      </c>
      <c r="B765" s="174">
        <v>42948</v>
      </c>
      <c r="C765" s="173" t="s">
        <v>1231</v>
      </c>
      <c r="D765" s="173" t="s">
        <v>1478</v>
      </c>
      <c r="E765" s="173" t="s">
        <v>1479</v>
      </c>
      <c r="F765" s="173">
        <v>1</v>
      </c>
      <c r="G765" s="173" t="s">
        <v>129</v>
      </c>
      <c r="H765" s="173">
        <v>1</v>
      </c>
      <c r="I765" s="173" t="s">
        <v>1609</v>
      </c>
      <c r="J765" s="173" t="s">
        <v>1451</v>
      </c>
      <c r="K765" s="173" t="s">
        <v>1431</v>
      </c>
      <c r="L765" s="173"/>
      <c r="M765" s="173" t="s">
        <v>130</v>
      </c>
      <c r="N765" s="173">
        <v>900413902</v>
      </c>
      <c r="O765" s="175">
        <v>3696639</v>
      </c>
      <c r="P765" s="7">
        <f>+Tabla3[[#This Row],[Precio unit]]*Tabla3[[#This Row],[Cant pendiente]]</f>
        <v>3696639</v>
      </c>
      <c r="Q765" s="16">
        <f>+IF(IFERROR(VLOOKUP(Tabla3[[#This Row],[Cliente factura]],Tabla4[[NIT]:[TOTAL CREDITO]],3,FALSE),0)="",0,IFERROR(VLOOKUP(Tabla3[[#This Row],[Cliente factura]],Tabla4[[NIT]:[TOTAL CREDITO]],3,FALSE),0))</f>
        <v>0</v>
      </c>
      <c r="R765" s="9">
        <f>+IFERROR(VLOOKUP(Tabla3[[#This Row],[Cliente factura]],Tabla4[[NIT]:[TOTAL CREDITO]],6,FALSE),0)</f>
        <v>5317757</v>
      </c>
      <c r="S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5" s="10" t="str">
        <f>VLOOKUP(Tabla3[[#This Row],[Razón social cliente factura]]&amp;Tabla3[[#This Row],[Desc. ciudad]],'Estandar de Rutas'!$C$1:$E$553,2,FALSE)</f>
        <v>6.2.A</v>
      </c>
      <c r="U765" s="130">
        <f>IFERROR(VLOOKUP(Tabla3[[#This Row],[Referencia]]&amp;Tabla3[[#This Row],[Desc detalle ext 1]],Tabla1[[Referencia-Color]:[Disponibilidad]],3,FALSE),0)</f>
        <v>21</v>
      </c>
      <c r="V765" s="13"/>
      <c r="W765" s="17">
        <f>+Tabla3[[#This Row],[Cant. Programada]]*Tabla3[[#This Row],[Precio unit]]</f>
        <v>0</v>
      </c>
      <c r="X765" s="8"/>
      <c r="Y765" s="8"/>
      <c r="Z765" s="8" t="str">
        <f>+Tabla3[[#This Row],[Referencia]]&amp;Tabla3[[#This Row],[Desc detalle ext 1]]</f>
        <v xml:space="preserve">CB 110 DLX                                        ROJO     </v>
      </c>
      <c r="AA765" s="128" t="e">
        <f>+VLOOKUP(Tabla3[[#This Row],[CODIGO2]],ESTANDAR!$B$3:$C$9,2,FALSE)</f>
        <v>#N/A</v>
      </c>
      <c r="AB765" s="128" t="str">
        <f>+MID(Tabla3[[#This Row],['# Viaje]],10,1)</f>
        <v/>
      </c>
    </row>
    <row r="766" spans="1:28" ht="15" hidden="1" customHeight="1">
      <c r="A766" s="173" t="s">
        <v>1608</v>
      </c>
      <c r="B766" s="174">
        <v>42948</v>
      </c>
      <c r="C766" s="173" t="s">
        <v>1231</v>
      </c>
      <c r="D766" s="173" t="s">
        <v>1478</v>
      </c>
      <c r="E766" s="173" t="s">
        <v>1479</v>
      </c>
      <c r="F766" s="173">
        <v>1</v>
      </c>
      <c r="G766" s="173" t="s">
        <v>129</v>
      </c>
      <c r="H766" s="173">
        <v>1</v>
      </c>
      <c r="I766" s="173" t="s">
        <v>1609</v>
      </c>
      <c r="J766" s="173" t="s">
        <v>1451</v>
      </c>
      <c r="K766" s="173" t="s">
        <v>16</v>
      </c>
      <c r="L766" s="173"/>
      <c r="M766" s="173" t="s">
        <v>130</v>
      </c>
      <c r="N766" s="173">
        <v>900413902</v>
      </c>
      <c r="O766" s="175">
        <v>3696639</v>
      </c>
      <c r="P766" s="7">
        <f>+Tabla3[[#This Row],[Precio unit]]*Tabla3[[#This Row],[Cant pendiente]]</f>
        <v>3696639</v>
      </c>
      <c r="Q766" s="16">
        <f>+IF(IFERROR(VLOOKUP(Tabla3[[#This Row],[Cliente factura]],Tabla4[[NIT]:[TOTAL CREDITO]],3,FALSE),0)="",0,IFERROR(VLOOKUP(Tabla3[[#This Row],[Cliente factura]],Tabla4[[NIT]:[TOTAL CREDITO]],3,FALSE),0))</f>
        <v>0</v>
      </c>
      <c r="R766" s="9">
        <f>+IFERROR(VLOOKUP(Tabla3[[#This Row],[Cliente factura]],Tabla4[[NIT]:[TOTAL CREDITO]],6,FALSE),0)</f>
        <v>5317757</v>
      </c>
      <c r="S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6" s="10" t="str">
        <f>VLOOKUP(Tabla3[[#This Row],[Razón social cliente factura]]&amp;Tabla3[[#This Row],[Desc. ciudad]],'Estandar de Rutas'!$C$1:$E$553,2,FALSE)</f>
        <v>6.2.A</v>
      </c>
      <c r="U766" s="130">
        <f>IFERROR(VLOOKUP(Tabla3[[#This Row],[Referencia]]&amp;Tabla3[[#This Row],[Desc detalle ext 1]],Tabla1[[Referencia-Color]:[Disponibilidad]],3,FALSE),0)</f>
        <v>3</v>
      </c>
      <c r="V766" s="13"/>
      <c r="W766" s="17">
        <f>+Tabla3[[#This Row],[Cant. Programada]]*Tabla3[[#This Row],[Precio unit]]</f>
        <v>0</v>
      </c>
      <c r="X766" s="129"/>
      <c r="Y766" s="129"/>
      <c r="Z766" s="8" t="str">
        <f>+Tabla3[[#This Row],[Referencia]]&amp;Tabla3[[#This Row],[Desc detalle ext 1]]</f>
        <v xml:space="preserve">CB 110 DLX                                        NEGRO    </v>
      </c>
      <c r="AA766" s="128" t="e">
        <f>+VLOOKUP(Tabla3[[#This Row],[CODIGO2]],ESTANDAR!$B$3:$C$9,2,FALSE)</f>
        <v>#N/A</v>
      </c>
      <c r="AB766" s="128" t="str">
        <f>+MID(Tabla3[[#This Row],['# Viaje]],10,1)</f>
        <v/>
      </c>
    </row>
    <row r="767" spans="1:28" ht="15" hidden="1" customHeight="1">
      <c r="A767" s="173" t="s">
        <v>1608</v>
      </c>
      <c r="B767" s="174">
        <v>42948</v>
      </c>
      <c r="C767" s="173" t="s">
        <v>1231</v>
      </c>
      <c r="D767" s="173" t="s">
        <v>1478</v>
      </c>
      <c r="E767" s="173" t="s">
        <v>1479</v>
      </c>
      <c r="F767" s="173">
        <v>2</v>
      </c>
      <c r="G767" s="173" t="s">
        <v>129</v>
      </c>
      <c r="H767" s="173">
        <v>2</v>
      </c>
      <c r="I767" s="173" t="s">
        <v>1609</v>
      </c>
      <c r="J767" s="173" t="s">
        <v>1451</v>
      </c>
      <c r="K767" s="173" t="s">
        <v>16</v>
      </c>
      <c r="L767" s="173"/>
      <c r="M767" s="173" t="s">
        <v>130</v>
      </c>
      <c r="N767" s="173">
        <v>900413902</v>
      </c>
      <c r="O767" s="175">
        <v>3696639</v>
      </c>
      <c r="P767" s="7">
        <f>+Tabla3[[#This Row],[Precio unit]]*Tabla3[[#This Row],[Cant pendiente]]</f>
        <v>7393278</v>
      </c>
      <c r="Q767" s="16">
        <f>+IF(IFERROR(VLOOKUP(Tabla3[[#This Row],[Cliente factura]],Tabla4[[NIT]:[TOTAL CREDITO]],3,FALSE),0)="",0,IFERROR(VLOOKUP(Tabla3[[#This Row],[Cliente factura]],Tabla4[[NIT]:[TOTAL CREDITO]],3,FALSE),0))</f>
        <v>0</v>
      </c>
      <c r="R767" s="9">
        <f>+IFERROR(VLOOKUP(Tabla3[[#This Row],[Cliente factura]],Tabla4[[NIT]:[TOTAL CREDITO]],6,FALSE),0)</f>
        <v>5317757</v>
      </c>
      <c r="S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7" s="10" t="str">
        <f>VLOOKUP(Tabla3[[#This Row],[Razón social cliente factura]]&amp;Tabla3[[#This Row],[Desc. ciudad]],'Estandar de Rutas'!$C$1:$E$553,2,FALSE)</f>
        <v>6.2.A</v>
      </c>
      <c r="U767" s="130">
        <f>IFERROR(VLOOKUP(Tabla3[[#This Row],[Referencia]]&amp;Tabla3[[#This Row],[Desc detalle ext 1]],Tabla1[[Referencia-Color]:[Disponibilidad]],3,FALSE),0)</f>
        <v>3</v>
      </c>
      <c r="V767" s="13"/>
      <c r="W767" s="17">
        <f>+Tabla3[[#This Row],[Cant. Programada]]*Tabla3[[#This Row],[Precio unit]]</f>
        <v>0</v>
      </c>
      <c r="X767" s="8"/>
      <c r="Y767" s="8"/>
      <c r="Z767" s="8" t="str">
        <f>+Tabla3[[#This Row],[Referencia]]&amp;Tabla3[[#This Row],[Desc detalle ext 1]]</f>
        <v xml:space="preserve">CB 110 DLX                                        NEGRO    </v>
      </c>
      <c r="AA767" s="128" t="e">
        <f>+VLOOKUP(Tabla3[[#This Row],[CODIGO2]],ESTANDAR!$B$3:$C$9,2,FALSE)</f>
        <v>#N/A</v>
      </c>
      <c r="AB767" s="128" t="str">
        <f>+MID(Tabla3[[#This Row],['# Viaje]],10,1)</f>
        <v/>
      </c>
    </row>
    <row r="768" spans="1:28" ht="15" hidden="1" customHeight="1">
      <c r="A768" s="173" t="s">
        <v>1610</v>
      </c>
      <c r="B768" s="174">
        <v>42948</v>
      </c>
      <c r="C768" s="173" t="s">
        <v>1231</v>
      </c>
      <c r="D768" s="173" t="s">
        <v>1237</v>
      </c>
      <c r="E768" s="173" t="s">
        <v>1232</v>
      </c>
      <c r="F768" s="173">
        <v>1</v>
      </c>
      <c r="G768" s="173" t="s">
        <v>81</v>
      </c>
      <c r="H768" s="173">
        <v>1</v>
      </c>
      <c r="I768" s="173" t="s">
        <v>1511</v>
      </c>
      <c r="J768" s="173" t="s">
        <v>1234</v>
      </c>
      <c r="K768" s="173" t="s">
        <v>17</v>
      </c>
      <c r="L768" s="173"/>
      <c r="M768" s="173" t="s">
        <v>83</v>
      </c>
      <c r="N768" s="173">
        <v>890705577</v>
      </c>
      <c r="O768" s="175">
        <v>5453782</v>
      </c>
      <c r="P768" s="7">
        <f>+Tabla3[[#This Row],[Precio unit]]*Tabla3[[#This Row],[Cant pendiente]]</f>
        <v>5453782</v>
      </c>
      <c r="Q768" s="16">
        <f>+IF(IFERROR(VLOOKUP(Tabla3[[#This Row],[Cliente factura]],Tabla4[[NIT]:[TOTAL CREDITO]],3,FALSE),0)="",0,IFERROR(VLOOKUP(Tabla3[[#This Row],[Cliente factura]],Tabla4[[NIT]:[TOTAL CREDITO]],3,FALSE),0))</f>
        <v>281000000</v>
      </c>
      <c r="R768" s="9">
        <f>+IFERROR(VLOOKUP(Tabla3[[#This Row],[Cliente factura]],Tabla4[[NIT]:[TOTAL CREDITO]],6,FALSE),0)</f>
        <v>0</v>
      </c>
      <c r="S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8" s="10" t="str">
        <f>VLOOKUP(Tabla3[[#This Row],[Razón social cliente factura]]&amp;Tabla3[[#This Row],[Desc. ciudad]],'Estandar de Rutas'!$C$1:$E$553,2,FALSE)</f>
        <v>5.2</v>
      </c>
      <c r="U768" s="130">
        <f>IFERROR(VLOOKUP(Tabla3[[#This Row],[Referencia]]&amp;Tabla3[[#This Row],[Desc detalle ext 1]],Tabla1[[Referencia-Color]:[Disponibilidad]],3,FALSE),0)</f>
        <v>0</v>
      </c>
      <c r="V768" s="13"/>
      <c r="W768" s="17">
        <f>+Tabla3[[#This Row],[Cant. Programada]]*Tabla3[[#This Row],[Precio unit]]</f>
        <v>0</v>
      </c>
      <c r="X768" s="8"/>
      <c r="Y768" s="8"/>
      <c r="Z768" s="8" t="str">
        <f>+Tabla3[[#This Row],[Referencia]]&amp;Tabla3[[#This Row],[Desc detalle ext 1]]</f>
        <v>CB 160F STD                                       ROJO SPOR</v>
      </c>
      <c r="AA768" s="128" t="e">
        <f>+VLOOKUP(Tabla3[[#This Row],[CODIGO2]],ESTANDAR!$B$3:$C$9,2,FALSE)</f>
        <v>#N/A</v>
      </c>
      <c r="AB768" s="128" t="str">
        <f>+MID(Tabla3[[#This Row],['# Viaje]],10,1)</f>
        <v/>
      </c>
    </row>
    <row r="769" spans="1:28" ht="15" hidden="1" customHeight="1">
      <c r="A769" s="173" t="s">
        <v>1610</v>
      </c>
      <c r="B769" s="174">
        <v>42948</v>
      </c>
      <c r="C769" s="173" t="s">
        <v>1231</v>
      </c>
      <c r="D769" s="173" t="s">
        <v>1237</v>
      </c>
      <c r="E769" s="173" t="s">
        <v>1232</v>
      </c>
      <c r="F769" s="173">
        <v>1</v>
      </c>
      <c r="G769" s="173" t="s">
        <v>81</v>
      </c>
      <c r="H769" s="173">
        <v>1</v>
      </c>
      <c r="I769" s="173" t="s">
        <v>1511</v>
      </c>
      <c r="J769" s="173" t="s">
        <v>1234</v>
      </c>
      <c r="K769" s="173" t="s">
        <v>355</v>
      </c>
      <c r="L769" s="173"/>
      <c r="M769" s="173" t="s">
        <v>83</v>
      </c>
      <c r="N769" s="173">
        <v>890705577</v>
      </c>
      <c r="O769" s="175">
        <v>5453782</v>
      </c>
      <c r="P769" s="7">
        <f>+Tabla3[[#This Row],[Precio unit]]*Tabla3[[#This Row],[Cant pendiente]]</f>
        <v>5453782</v>
      </c>
      <c r="Q769" s="16">
        <f>+IF(IFERROR(VLOOKUP(Tabla3[[#This Row],[Cliente factura]],Tabla4[[NIT]:[TOTAL CREDITO]],3,FALSE),0)="",0,IFERROR(VLOOKUP(Tabla3[[#This Row],[Cliente factura]],Tabla4[[NIT]:[TOTAL CREDITO]],3,FALSE),0))</f>
        <v>281000000</v>
      </c>
      <c r="R769" s="9">
        <f>+IFERROR(VLOOKUP(Tabla3[[#This Row],[Cliente factura]],Tabla4[[NIT]:[TOTAL CREDITO]],6,FALSE),0)</f>
        <v>0</v>
      </c>
      <c r="S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9" s="10" t="str">
        <f>VLOOKUP(Tabla3[[#This Row],[Razón social cliente factura]]&amp;Tabla3[[#This Row],[Desc. ciudad]],'Estandar de Rutas'!$C$1:$E$553,2,FALSE)</f>
        <v>5.2</v>
      </c>
      <c r="U769" s="130">
        <f>IFERROR(VLOOKUP(Tabla3[[#This Row],[Referencia]]&amp;Tabla3[[#This Row],[Desc detalle ext 1]],Tabla1[[Referencia-Color]:[Disponibilidad]],3,FALSE),0)</f>
        <v>0</v>
      </c>
      <c r="V769" s="13"/>
      <c r="W769" s="17">
        <f>+Tabla3[[#This Row],[Cant. Programada]]*Tabla3[[#This Row],[Precio unit]]</f>
        <v>0</v>
      </c>
      <c r="X769" s="8"/>
      <c r="Y769" s="8"/>
      <c r="Z769" s="8" t="str">
        <f>+Tabla3[[#This Row],[Referencia]]&amp;Tabla3[[#This Row],[Desc detalle ext 1]]</f>
        <v>CB 160F STD                                       NEGRO PER</v>
      </c>
      <c r="AA769" s="128" t="e">
        <f>+VLOOKUP(Tabla3[[#This Row],[CODIGO2]],ESTANDAR!$B$3:$C$9,2,FALSE)</f>
        <v>#N/A</v>
      </c>
      <c r="AB769" s="128" t="str">
        <f>+MID(Tabla3[[#This Row],['# Viaje]],10,1)</f>
        <v/>
      </c>
    </row>
    <row r="770" spans="1:28" ht="15" hidden="1" customHeight="1">
      <c r="A770" s="173" t="s">
        <v>1611</v>
      </c>
      <c r="B770" s="174">
        <v>42948</v>
      </c>
      <c r="C770" s="173" t="s">
        <v>1231</v>
      </c>
      <c r="D770" s="173" t="s">
        <v>1237</v>
      </c>
      <c r="E770" s="173" t="s">
        <v>1479</v>
      </c>
      <c r="F770" s="173">
        <v>1</v>
      </c>
      <c r="G770" s="173" t="s">
        <v>69</v>
      </c>
      <c r="H770" s="173">
        <v>1</v>
      </c>
      <c r="I770" s="173" t="s">
        <v>1572</v>
      </c>
      <c r="J770" s="173" t="s">
        <v>1234</v>
      </c>
      <c r="K770" s="173" t="s">
        <v>355</v>
      </c>
      <c r="L770" s="173"/>
      <c r="M770" s="173" t="s">
        <v>80</v>
      </c>
      <c r="N770" s="173">
        <v>18125225</v>
      </c>
      <c r="O770" s="175">
        <v>5453782</v>
      </c>
      <c r="P770" s="7">
        <f>+Tabla3[[#This Row],[Precio unit]]*Tabla3[[#This Row],[Cant pendiente]]</f>
        <v>5453782</v>
      </c>
      <c r="Q770" s="16">
        <f>+IF(IFERROR(VLOOKUP(Tabla3[[#This Row],[Cliente factura]],Tabla4[[NIT]:[TOTAL CREDITO]],3,FALSE),0)="",0,IFERROR(VLOOKUP(Tabla3[[#This Row],[Cliente factura]],Tabla4[[NIT]:[TOTAL CREDITO]],3,FALSE),0))</f>
        <v>264217093</v>
      </c>
      <c r="R770" s="9">
        <f>+IFERROR(VLOOKUP(Tabla3[[#This Row],[Cliente factura]],Tabla4[[NIT]:[TOTAL CREDITO]],6,FALSE),0)</f>
        <v>852000000</v>
      </c>
      <c r="S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0" s="10" t="str">
        <f>VLOOKUP(Tabla3[[#This Row],[Razón social cliente factura]]&amp;Tabla3[[#This Row],[Desc. ciudad]],'Estandar de Rutas'!$C$1:$E$553,2,FALSE)</f>
        <v>5.2</v>
      </c>
      <c r="U770" s="130">
        <f>IFERROR(VLOOKUP(Tabla3[[#This Row],[Referencia]]&amp;Tabla3[[#This Row],[Desc detalle ext 1]],Tabla1[[Referencia-Color]:[Disponibilidad]],3,FALSE),0)</f>
        <v>0</v>
      </c>
      <c r="V770" s="13"/>
      <c r="W770" s="17">
        <f>+Tabla3[[#This Row],[Cant. Programada]]*Tabla3[[#This Row],[Precio unit]]</f>
        <v>0</v>
      </c>
      <c r="X770" s="129"/>
      <c r="Y770" s="8"/>
      <c r="Z770" s="8" t="str">
        <f>+Tabla3[[#This Row],[Referencia]]&amp;Tabla3[[#This Row],[Desc detalle ext 1]]</f>
        <v>CB 160F STD                                       NEGRO PER</v>
      </c>
      <c r="AA770" s="128" t="e">
        <f>+VLOOKUP(Tabla3[[#This Row],[CODIGO2]],ESTANDAR!$B$3:$C$9,2,FALSE)</f>
        <v>#N/A</v>
      </c>
      <c r="AB770" s="128" t="str">
        <f>+MID(Tabla3[[#This Row],['# Viaje]],10,1)</f>
        <v/>
      </c>
    </row>
    <row r="771" spans="1:28" ht="15" hidden="1" customHeight="1">
      <c r="A771" s="173" t="s">
        <v>1612</v>
      </c>
      <c r="B771" s="174">
        <v>42948</v>
      </c>
      <c r="C771" s="173" t="s">
        <v>1231</v>
      </c>
      <c r="D771" s="173" t="s">
        <v>1237</v>
      </c>
      <c r="E771" s="173" t="s">
        <v>1232</v>
      </c>
      <c r="F771" s="173">
        <v>1</v>
      </c>
      <c r="G771" s="173" t="s">
        <v>81</v>
      </c>
      <c r="H771" s="173">
        <v>1</v>
      </c>
      <c r="I771" s="173" t="s">
        <v>1515</v>
      </c>
      <c r="J771" s="173" t="s">
        <v>1234</v>
      </c>
      <c r="K771" s="173" t="s">
        <v>355</v>
      </c>
      <c r="L771" s="173"/>
      <c r="M771" s="173" t="s">
        <v>84</v>
      </c>
      <c r="N771" s="173">
        <v>890705577</v>
      </c>
      <c r="O771" s="175">
        <v>5453782</v>
      </c>
      <c r="P771" s="7">
        <f>+Tabla3[[#This Row],[Precio unit]]*Tabla3[[#This Row],[Cant pendiente]]</f>
        <v>5453782</v>
      </c>
      <c r="Q771" s="16">
        <f>+IF(IFERROR(VLOOKUP(Tabla3[[#This Row],[Cliente factura]],Tabla4[[NIT]:[TOTAL CREDITO]],3,FALSE),0)="",0,IFERROR(VLOOKUP(Tabla3[[#This Row],[Cliente factura]],Tabla4[[NIT]:[TOTAL CREDITO]],3,FALSE),0))</f>
        <v>281000000</v>
      </c>
      <c r="R771" s="9">
        <f>+IFERROR(VLOOKUP(Tabla3[[#This Row],[Cliente factura]],Tabla4[[NIT]:[TOTAL CREDITO]],6,FALSE),0)</f>
        <v>0</v>
      </c>
      <c r="S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1" s="10" t="str">
        <f>VLOOKUP(Tabla3[[#This Row],[Razón social cliente factura]]&amp;Tabla3[[#This Row],[Desc. ciudad]],'Estandar de Rutas'!$C$1:$E$553,2,FALSE)</f>
        <v>5.2.A</v>
      </c>
      <c r="U771" s="130">
        <f>IFERROR(VLOOKUP(Tabla3[[#This Row],[Referencia]]&amp;Tabla3[[#This Row],[Desc detalle ext 1]],Tabla1[[Referencia-Color]:[Disponibilidad]],3,FALSE),0)</f>
        <v>0</v>
      </c>
      <c r="V771" s="13"/>
      <c r="W771" s="17">
        <f>+Tabla3[[#This Row],[Cant. Programada]]*Tabla3[[#This Row],[Precio unit]]</f>
        <v>0</v>
      </c>
      <c r="X771" s="8"/>
      <c r="Y771" s="8"/>
      <c r="Z771" s="8" t="str">
        <f>+Tabla3[[#This Row],[Referencia]]&amp;Tabla3[[#This Row],[Desc detalle ext 1]]</f>
        <v>CB 160F STD                                       NEGRO PER</v>
      </c>
      <c r="AA771" s="128" t="e">
        <f>+VLOOKUP(Tabla3[[#This Row],[CODIGO2]],ESTANDAR!$B$3:$C$9,2,FALSE)</f>
        <v>#N/A</v>
      </c>
      <c r="AB771" s="128" t="str">
        <f>+MID(Tabla3[[#This Row],['# Viaje]],10,1)</f>
        <v/>
      </c>
    </row>
    <row r="772" spans="1:28" ht="15" hidden="1" customHeight="1">
      <c r="A772" s="173" t="s">
        <v>1613</v>
      </c>
      <c r="B772" s="174">
        <v>42948</v>
      </c>
      <c r="C772" s="173" t="s">
        <v>1231</v>
      </c>
      <c r="D772" s="173" t="s">
        <v>1237</v>
      </c>
      <c r="E772" s="173" t="s">
        <v>1479</v>
      </c>
      <c r="F772" s="173">
        <v>2</v>
      </c>
      <c r="G772" s="173" t="s">
        <v>401</v>
      </c>
      <c r="H772" s="173">
        <v>2</v>
      </c>
      <c r="I772" s="173" t="s">
        <v>1551</v>
      </c>
      <c r="J772" s="173" t="s">
        <v>27</v>
      </c>
      <c r="K772" s="173" t="s">
        <v>32</v>
      </c>
      <c r="L772" s="173"/>
      <c r="M772" s="173" t="s">
        <v>214</v>
      </c>
      <c r="N772" s="173">
        <v>17668211</v>
      </c>
      <c r="O772" s="175">
        <v>5789916</v>
      </c>
      <c r="P772" s="7">
        <f>+Tabla3[[#This Row],[Precio unit]]*Tabla3[[#This Row],[Cant pendiente]]</f>
        <v>11579832</v>
      </c>
      <c r="Q772" s="16">
        <f>+IF(IFERROR(VLOOKUP(Tabla3[[#This Row],[Cliente factura]],Tabla4[[NIT]:[TOTAL CREDITO]],3,FALSE),0)="",0,IFERROR(VLOOKUP(Tabla3[[#This Row],[Cliente factura]],Tabla4[[NIT]:[TOTAL CREDITO]],3,FALSE),0))</f>
        <v>45693960</v>
      </c>
      <c r="R772" s="9">
        <f>+IFERROR(VLOOKUP(Tabla3[[#This Row],[Cliente factura]],Tabla4[[NIT]:[TOTAL CREDITO]],6,FALSE),0)</f>
        <v>0</v>
      </c>
      <c r="S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2" s="10" t="str">
        <f>VLOOKUP(Tabla3[[#This Row],[Razón social cliente factura]]&amp;Tabla3[[#This Row],[Desc. ciudad]],'Estandar de Rutas'!$C$1:$E$553,2,FALSE)</f>
        <v>5.2.B</v>
      </c>
      <c r="U772" s="130">
        <f>IFERROR(VLOOKUP(Tabla3[[#This Row],[Referencia]]&amp;Tabla3[[#This Row],[Desc detalle ext 1]],Tabla1[[Referencia-Color]:[Disponibilidad]],3,FALSE),0)</f>
        <v>7</v>
      </c>
      <c r="V772" s="13"/>
      <c r="W772" s="17">
        <f>+Tabla3[[#This Row],[Cant. Programada]]*Tabla3[[#This Row],[Precio unit]]</f>
        <v>0</v>
      </c>
      <c r="X772" s="129"/>
      <c r="Y772" s="8"/>
      <c r="Z772" s="8" t="str">
        <f>+Tabla3[[#This Row],[Referencia]]&amp;Tabla3[[#This Row],[Desc detalle ext 1]]</f>
        <v>*XR 150L                                          NEGRO ROJ</v>
      </c>
      <c r="AA772" s="128" t="e">
        <f>+VLOOKUP(Tabla3[[#This Row],[CODIGO2]],ESTANDAR!$B$3:$C$9,2,FALSE)</f>
        <v>#N/A</v>
      </c>
      <c r="AB772" s="128" t="str">
        <f>+MID(Tabla3[[#This Row],['# Viaje]],10,1)</f>
        <v/>
      </c>
    </row>
    <row r="773" spans="1:28" ht="15" hidden="1" customHeight="1">
      <c r="A773" s="173" t="s">
        <v>1613</v>
      </c>
      <c r="B773" s="174">
        <v>42948</v>
      </c>
      <c r="C773" s="173" t="s">
        <v>1231</v>
      </c>
      <c r="D773" s="173" t="s">
        <v>1237</v>
      </c>
      <c r="E773" s="173" t="s">
        <v>1479</v>
      </c>
      <c r="F773" s="173">
        <v>3</v>
      </c>
      <c r="G773" s="173" t="s">
        <v>401</v>
      </c>
      <c r="H773" s="173">
        <v>3</v>
      </c>
      <c r="I773" s="173" t="s">
        <v>1551</v>
      </c>
      <c r="J773" s="173" t="s">
        <v>27</v>
      </c>
      <c r="K773" s="173" t="s">
        <v>16</v>
      </c>
      <c r="L773" s="173"/>
      <c r="M773" s="173" t="s">
        <v>214</v>
      </c>
      <c r="N773" s="173">
        <v>17668211</v>
      </c>
      <c r="O773" s="175">
        <v>5789916</v>
      </c>
      <c r="P773" s="7">
        <f>+Tabla3[[#This Row],[Precio unit]]*Tabla3[[#This Row],[Cant pendiente]]</f>
        <v>17369748</v>
      </c>
      <c r="Q773" s="16">
        <f>+IF(IFERROR(VLOOKUP(Tabla3[[#This Row],[Cliente factura]],Tabla4[[NIT]:[TOTAL CREDITO]],3,FALSE),0)="",0,IFERROR(VLOOKUP(Tabla3[[#This Row],[Cliente factura]],Tabla4[[NIT]:[TOTAL CREDITO]],3,FALSE),0))</f>
        <v>45693960</v>
      </c>
      <c r="R773" s="9">
        <f>+IFERROR(VLOOKUP(Tabla3[[#This Row],[Cliente factura]],Tabla4[[NIT]:[TOTAL CREDITO]],6,FALSE),0)</f>
        <v>0</v>
      </c>
      <c r="S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3" s="10" t="str">
        <f>VLOOKUP(Tabla3[[#This Row],[Razón social cliente factura]]&amp;Tabla3[[#This Row],[Desc. ciudad]],'Estandar de Rutas'!$C$1:$E$553,2,FALSE)</f>
        <v>5.2.B</v>
      </c>
      <c r="U773" s="130">
        <f>IFERROR(VLOOKUP(Tabla3[[#This Row],[Referencia]]&amp;Tabla3[[#This Row],[Desc detalle ext 1]],Tabla1[[Referencia-Color]:[Disponibilidad]],3,FALSE),0)</f>
        <v>3</v>
      </c>
      <c r="V773" s="13"/>
      <c r="W773" s="17">
        <f>+Tabla3[[#This Row],[Cant. Programada]]*Tabla3[[#This Row],[Precio unit]]</f>
        <v>0</v>
      </c>
      <c r="X773" s="129"/>
      <c r="Y773" s="8"/>
      <c r="Z773" s="8" t="str">
        <f>+Tabla3[[#This Row],[Referencia]]&amp;Tabla3[[#This Row],[Desc detalle ext 1]]</f>
        <v xml:space="preserve">*XR 150L                                          NEGRO    </v>
      </c>
      <c r="AA773" s="128" t="e">
        <f>+VLOOKUP(Tabla3[[#This Row],[CODIGO2]],ESTANDAR!$B$3:$C$9,2,FALSE)</f>
        <v>#N/A</v>
      </c>
      <c r="AB773" s="128" t="str">
        <f>+MID(Tabla3[[#This Row],['# Viaje]],10,1)</f>
        <v/>
      </c>
    </row>
    <row r="774" spans="1:28" ht="15" hidden="1" customHeight="1">
      <c r="A774" s="173" t="s">
        <v>1613</v>
      </c>
      <c r="B774" s="174">
        <v>42948</v>
      </c>
      <c r="C774" s="173" t="s">
        <v>1231</v>
      </c>
      <c r="D774" s="173" t="s">
        <v>1237</v>
      </c>
      <c r="E774" s="173" t="s">
        <v>1479</v>
      </c>
      <c r="F774" s="173">
        <v>4</v>
      </c>
      <c r="G774" s="173" t="s">
        <v>401</v>
      </c>
      <c r="H774" s="173">
        <v>4</v>
      </c>
      <c r="I774" s="173" t="s">
        <v>1551</v>
      </c>
      <c r="J774" s="173" t="s">
        <v>1451</v>
      </c>
      <c r="K774" s="173" t="s">
        <v>1449</v>
      </c>
      <c r="L774" s="173"/>
      <c r="M774" s="173" t="s">
        <v>214</v>
      </c>
      <c r="N774" s="173">
        <v>17668211</v>
      </c>
      <c r="O774" s="175">
        <v>3696639</v>
      </c>
      <c r="P774" s="7">
        <f>+Tabla3[[#This Row],[Precio unit]]*Tabla3[[#This Row],[Cant pendiente]]</f>
        <v>14786556</v>
      </c>
      <c r="Q774" s="16">
        <f>+IF(IFERROR(VLOOKUP(Tabla3[[#This Row],[Cliente factura]],Tabla4[[NIT]:[TOTAL CREDITO]],3,FALSE),0)="",0,IFERROR(VLOOKUP(Tabla3[[#This Row],[Cliente factura]],Tabla4[[NIT]:[TOTAL CREDITO]],3,FALSE),0))</f>
        <v>45693960</v>
      </c>
      <c r="R774" s="9">
        <f>+IFERROR(VLOOKUP(Tabla3[[#This Row],[Cliente factura]],Tabla4[[NIT]:[TOTAL CREDITO]],6,FALSE),0)</f>
        <v>0</v>
      </c>
      <c r="S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4" s="10" t="str">
        <f>VLOOKUP(Tabla3[[#This Row],[Razón social cliente factura]]&amp;Tabla3[[#This Row],[Desc. ciudad]],'Estandar de Rutas'!$C$1:$E$553,2,FALSE)</f>
        <v>5.2.B</v>
      </c>
      <c r="U774" s="130">
        <f>IFERROR(VLOOKUP(Tabla3[[#This Row],[Referencia]]&amp;Tabla3[[#This Row],[Desc detalle ext 1]],Tabla1[[Referencia-Color]:[Disponibilidad]],3,FALSE),0)</f>
        <v>24</v>
      </c>
      <c r="V774" s="13"/>
      <c r="W774" s="17">
        <f>+Tabla3[[#This Row],[Cant. Programada]]*Tabla3[[#This Row],[Precio unit]]</f>
        <v>0</v>
      </c>
      <c r="X774" s="129"/>
      <c r="Y774" s="8"/>
      <c r="Z774" s="8" t="str">
        <f>+Tabla3[[#This Row],[Referencia]]&amp;Tabla3[[#This Row],[Desc detalle ext 1]]</f>
        <v xml:space="preserve">CB 110 DLX                                        GRIS     </v>
      </c>
      <c r="AA774" s="128" t="e">
        <f>+VLOOKUP(Tabla3[[#This Row],[CODIGO2]],ESTANDAR!$B$3:$C$9,2,FALSE)</f>
        <v>#N/A</v>
      </c>
      <c r="AB774" s="128" t="str">
        <f>+MID(Tabla3[[#This Row],['# Viaje]],10,1)</f>
        <v/>
      </c>
    </row>
    <row r="775" spans="1:28" ht="15" hidden="1" customHeight="1">
      <c r="A775" s="173" t="s">
        <v>1613</v>
      </c>
      <c r="B775" s="174">
        <v>42948</v>
      </c>
      <c r="C775" s="173" t="s">
        <v>1231</v>
      </c>
      <c r="D775" s="173" t="s">
        <v>1237</v>
      </c>
      <c r="E775" s="173" t="s">
        <v>1479</v>
      </c>
      <c r="F775" s="173">
        <v>4</v>
      </c>
      <c r="G775" s="173" t="s">
        <v>401</v>
      </c>
      <c r="H775" s="173">
        <v>4</v>
      </c>
      <c r="I775" s="173" t="s">
        <v>1551</v>
      </c>
      <c r="J775" s="173" t="s">
        <v>1451</v>
      </c>
      <c r="K775" s="173" t="s">
        <v>1452</v>
      </c>
      <c r="L775" s="173"/>
      <c r="M775" s="173" t="s">
        <v>214</v>
      </c>
      <c r="N775" s="173">
        <v>17668211</v>
      </c>
      <c r="O775" s="175">
        <v>3696639</v>
      </c>
      <c r="P775" s="7">
        <f>+Tabla3[[#This Row],[Precio unit]]*Tabla3[[#This Row],[Cant pendiente]]</f>
        <v>14786556</v>
      </c>
      <c r="Q775" s="16">
        <f>+IF(IFERROR(VLOOKUP(Tabla3[[#This Row],[Cliente factura]],Tabla4[[NIT]:[TOTAL CREDITO]],3,FALSE),0)="",0,IFERROR(VLOOKUP(Tabla3[[#This Row],[Cliente factura]],Tabla4[[NIT]:[TOTAL CREDITO]],3,FALSE),0))</f>
        <v>45693960</v>
      </c>
      <c r="R775" s="9">
        <f>+IFERROR(VLOOKUP(Tabla3[[#This Row],[Cliente factura]],Tabla4[[NIT]:[TOTAL CREDITO]],6,FALSE),0)</f>
        <v>0</v>
      </c>
      <c r="S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5" s="10" t="str">
        <f>VLOOKUP(Tabla3[[#This Row],[Razón social cliente factura]]&amp;Tabla3[[#This Row],[Desc. ciudad]],'Estandar de Rutas'!$C$1:$E$553,2,FALSE)</f>
        <v>5.2.B</v>
      </c>
      <c r="U775" s="130">
        <f>IFERROR(VLOOKUP(Tabla3[[#This Row],[Referencia]]&amp;Tabla3[[#This Row],[Desc detalle ext 1]],Tabla1[[Referencia-Color]:[Disponibilidad]],3,FALSE),0)</f>
        <v>21</v>
      </c>
      <c r="V775" s="13"/>
      <c r="W775" s="17">
        <f>+Tabla3[[#This Row],[Cant. Programada]]*Tabla3[[#This Row],[Precio unit]]</f>
        <v>0</v>
      </c>
      <c r="X775" s="129"/>
      <c r="Y775" s="129"/>
      <c r="Z775" s="8" t="str">
        <f>+Tabla3[[#This Row],[Referencia]]&amp;Tabla3[[#This Row],[Desc detalle ext 1]]</f>
        <v xml:space="preserve">CB 110 DLX                                        AZUL     </v>
      </c>
      <c r="AA775" s="128" t="e">
        <f>+VLOOKUP(Tabla3[[#This Row],[CODIGO2]],ESTANDAR!$B$3:$C$9,2,FALSE)</f>
        <v>#N/A</v>
      </c>
      <c r="AB775" s="128" t="str">
        <f>+MID(Tabla3[[#This Row],['# Viaje]],10,1)</f>
        <v/>
      </c>
    </row>
    <row r="776" spans="1:28" ht="15" hidden="1" customHeight="1">
      <c r="A776" s="173" t="s">
        <v>1613</v>
      </c>
      <c r="B776" s="174">
        <v>42948</v>
      </c>
      <c r="C776" s="173" t="s">
        <v>1231</v>
      </c>
      <c r="D776" s="173" t="s">
        <v>1237</v>
      </c>
      <c r="E776" s="173" t="s">
        <v>1479</v>
      </c>
      <c r="F776" s="173">
        <v>4</v>
      </c>
      <c r="G776" s="173" t="s">
        <v>401</v>
      </c>
      <c r="H776" s="173">
        <v>4</v>
      </c>
      <c r="I776" s="173" t="s">
        <v>1551</v>
      </c>
      <c r="J776" s="173" t="s">
        <v>1451</v>
      </c>
      <c r="K776" s="173" t="s">
        <v>1431</v>
      </c>
      <c r="L776" s="173"/>
      <c r="M776" s="173" t="s">
        <v>214</v>
      </c>
      <c r="N776" s="173">
        <v>17668211</v>
      </c>
      <c r="O776" s="175">
        <v>3696639</v>
      </c>
      <c r="P776" s="7">
        <f>+Tabla3[[#This Row],[Precio unit]]*Tabla3[[#This Row],[Cant pendiente]]</f>
        <v>14786556</v>
      </c>
      <c r="Q776" s="16">
        <f>+IF(IFERROR(VLOOKUP(Tabla3[[#This Row],[Cliente factura]],Tabla4[[NIT]:[TOTAL CREDITO]],3,FALSE),0)="",0,IFERROR(VLOOKUP(Tabla3[[#This Row],[Cliente factura]],Tabla4[[NIT]:[TOTAL CREDITO]],3,FALSE),0))</f>
        <v>45693960</v>
      </c>
      <c r="R776" s="9">
        <f>+IFERROR(VLOOKUP(Tabla3[[#This Row],[Cliente factura]],Tabla4[[NIT]:[TOTAL CREDITO]],6,FALSE),0)</f>
        <v>0</v>
      </c>
      <c r="S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6" s="10" t="str">
        <f>VLOOKUP(Tabla3[[#This Row],[Razón social cliente factura]]&amp;Tabla3[[#This Row],[Desc. ciudad]],'Estandar de Rutas'!$C$1:$E$553,2,FALSE)</f>
        <v>5.2.B</v>
      </c>
      <c r="U776" s="130">
        <f>IFERROR(VLOOKUP(Tabla3[[#This Row],[Referencia]]&amp;Tabla3[[#This Row],[Desc detalle ext 1]],Tabla1[[Referencia-Color]:[Disponibilidad]],3,FALSE),0)</f>
        <v>21</v>
      </c>
      <c r="V776" s="13"/>
      <c r="W776" s="17">
        <f>+Tabla3[[#This Row],[Cant. Programada]]*Tabla3[[#This Row],[Precio unit]]</f>
        <v>0</v>
      </c>
      <c r="X776" s="129"/>
      <c r="Y776" s="129"/>
      <c r="Z776" s="8" t="str">
        <f>+Tabla3[[#This Row],[Referencia]]&amp;Tabla3[[#This Row],[Desc detalle ext 1]]</f>
        <v xml:space="preserve">CB 110 DLX                                        ROJO     </v>
      </c>
      <c r="AA776" s="128" t="e">
        <f>+VLOOKUP(Tabla3[[#This Row],[CODIGO2]],ESTANDAR!$B$3:$C$9,2,FALSE)</f>
        <v>#N/A</v>
      </c>
      <c r="AB776" s="128" t="str">
        <f>+MID(Tabla3[[#This Row],['# Viaje]],10,1)</f>
        <v/>
      </c>
    </row>
    <row r="777" spans="1:28" ht="15" hidden="1" customHeight="1">
      <c r="A777" s="173" t="s">
        <v>1614</v>
      </c>
      <c r="B777" s="174">
        <v>42948</v>
      </c>
      <c r="C777" s="173" t="s">
        <v>1231</v>
      </c>
      <c r="D777" s="173" t="s">
        <v>1237</v>
      </c>
      <c r="E777" s="173" t="s">
        <v>1479</v>
      </c>
      <c r="F777" s="173">
        <v>1</v>
      </c>
      <c r="G777" s="173" t="s">
        <v>69</v>
      </c>
      <c r="H777" s="173">
        <v>1</v>
      </c>
      <c r="I777" s="173" t="s">
        <v>1557</v>
      </c>
      <c r="J777" s="173" t="s">
        <v>1234</v>
      </c>
      <c r="K777" s="173" t="s">
        <v>17</v>
      </c>
      <c r="L777" s="173"/>
      <c r="M777" s="173" t="s">
        <v>70</v>
      </c>
      <c r="N777" s="173">
        <v>18125225</v>
      </c>
      <c r="O777" s="175">
        <v>5453782</v>
      </c>
      <c r="P777" s="7">
        <f>+Tabla3[[#This Row],[Precio unit]]*Tabla3[[#This Row],[Cant pendiente]]</f>
        <v>5453782</v>
      </c>
      <c r="Q777" s="16">
        <f>+IF(IFERROR(VLOOKUP(Tabla3[[#This Row],[Cliente factura]],Tabla4[[NIT]:[TOTAL CREDITO]],3,FALSE),0)="",0,IFERROR(VLOOKUP(Tabla3[[#This Row],[Cliente factura]],Tabla4[[NIT]:[TOTAL CREDITO]],3,FALSE),0))</f>
        <v>264217093</v>
      </c>
      <c r="R777" s="9">
        <f>+IFERROR(VLOOKUP(Tabla3[[#This Row],[Cliente factura]],Tabla4[[NIT]:[TOTAL CREDITO]],6,FALSE),0)</f>
        <v>852000000</v>
      </c>
      <c r="S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7" s="10" t="str">
        <f>VLOOKUP(Tabla3[[#This Row],[Razón social cliente factura]]&amp;Tabla3[[#This Row],[Desc. ciudad]],'Estandar de Rutas'!$C$1:$E$553,2,FALSE)</f>
        <v>5.2.A</v>
      </c>
      <c r="U777" s="130">
        <f>IFERROR(VLOOKUP(Tabla3[[#This Row],[Referencia]]&amp;Tabla3[[#This Row],[Desc detalle ext 1]],Tabla1[[Referencia-Color]:[Disponibilidad]],3,FALSE),0)</f>
        <v>0</v>
      </c>
      <c r="V777" s="13"/>
      <c r="W777" s="17">
        <f>+Tabla3[[#This Row],[Cant. Programada]]*Tabla3[[#This Row],[Precio unit]]</f>
        <v>0</v>
      </c>
      <c r="X777" s="8"/>
      <c r="Y777" s="8"/>
      <c r="Z777" s="8" t="str">
        <f>+Tabla3[[#This Row],[Referencia]]&amp;Tabla3[[#This Row],[Desc detalle ext 1]]</f>
        <v>CB 160F STD                                       ROJO SPOR</v>
      </c>
      <c r="AA777" s="128" t="e">
        <f>+VLOOKUP(Tabla3[[#This Row],[CODIGO2]],ESTANDAR!$B$3:$C$9,2,FALSE)</f>
        <v>#N/A</v>
      </c>
      <c r="AB777" s="128" t="str">
        <f>+MID(Tabla3[[#This Row],['# Viaje]],10,1)</f>
        <v/>
      </c>
    </row>
    <row r="778" spans="1:28" ht="15" hidden="1" customHeight="1">
      <c r="A778" s="173" t="s">
        <v>1615</v>
      </c>
      <c r="B778" s="174">
        <v>42948</v>
      </c>
      <c r="C778" s="173" t="s">
        <v>1231</v>
      </c>
      <c r="D778" s="173" t="s">
        <v>1237</v>
      </c>
      <c r="E778" s="173" t="s">
        <v>1232</v>
      </c>
      <c r="F778" s="173">
        <v>1</v>
      </c>
      <c r="G778" s="173" t="s">
        <v>81</v>
      </c>
      <c r="H778" s="173">
        <v>1</v>
      </c>
      <c r="I778" s="173" t="s">
        <v>1504</v>
      </c>
      <c r="J778" s="173" t="s">
        <v>1234</v>
      </c>
      <c r="K778" s="173" t="s">
        <v>355</v>
      </c>
      <c r="L778" s="173"/>
      <c r="M778" s="173" t="s">
        <v>210</v>
      </c>
      <c r="N778" s="173">
        <v>890705577</v>
      </c>
      <c r="O778" s="175">
        <v>5453782</v>
      </c>
      <c r="P778" s="7">
        <f>+Tabla3[[#This Row],[Precio unit]]*Tabla3[[#This Row],[Cant pendiente]]</f>
        <v>5453782</v>
      </c>
      <c r="Q778" s="16">
        <f>+IF(IFERROR(VLOOKUP(Tabla3[[#This Row],[Cliente factura]],Tabla4[[NIT]:[TOTAL CREDITO]],3,FALSE),0)="",0,IFERROR(VLOOKUP(Tabla3[[#This Row],[Cliente factura]],Tabla4[[NIT]:[TOTAL CREDITO]],3,FALSE),0))</f>
        <v>281000000</v>
      </c>
      <c r="R778" s="9">
        <f>+IFERROR(VLOOKUP(Tabla3[[#This Row],[Cliente factura]],Tabla4[[NIT]:[TOTAL CREDITO]],6,FALSE),0)</f>
        <v>0</v>
      </c>
      <c r="S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8" s="10" t="str">
        <f>VLOOKUP(Tabla3[[#This Row],[Razón social cliente factura]]&amp;Tabla3[[#This Row],[Desc. ciudad]],'Estandar de Rutas'!$C$1:$E$553,2,FALSE)</f>
        <v>5.2.B</v>
      </c>
      <c r="U778" s="130">
        <f>IFERROR(VLOOKUP(Tabla3[[#This Row],[Referencia]]&amp;Tabla3[[#This Row],[Desc detalle ext 1]],Tabla1[[Referencia-Color]:[Disponibilidad]],3,FALSE),0)</f>
        <v>0</v>
      </c>
      <c r="V778" s="13"/>
      <c r="W778" s="17">
        <f>+Tabla3[[#This Row],[Cant. Programada]]*Tabla3[[#This Row],[Precio unit]]</f>
        <v>0</v>
      </c>
      <c r="X778" s="129"/>
      <c r="Y778" s="129"/>
      <c r="Z778" s="8" t="str">
        <f>+Tabla3[[#This Row],[Referencia]]&amp;Tabla3[[#This Row],[Desc detalle ext 1]]</f>
        <v>CB 160F STD                                       NEGRO PER</v>
      </c>
      <c r="AA778" s="128" t="e">
        <f>+VLOOKUP(Tabla3[[#This Row],[CODIGO2]],ESTANDAR!$B$3:$C$9,2,FALSE)</f>
        <v>#N/A</v>
      </c>
      <c r="AB778" s="128" t="str">
        <f>+MID(Tabla3[[#This Row],['# Viaje]],10,1)</f>
        <v/>
      </c>
    </row>
    <row r="779" spans="1:28" ht="15" hidden="1" customHeight="1">
      <c r="A779" s="173" t="s">
        <v>1616</v>
      </c>
      <c r="B779" s="174">
        <v>42948</v>
      </c>
      <c r="C779" s="173" t="s">
        <v>1477</v>
      </c>
      <c r="D779" s="173" t="s">
        <v>1487</v>
      </c>
      <c r="E779" s="173" t="s">
        <v>1479</v>
      </c>
      <c r="F779" s="173">
        <v>1</v>
      </c>
      <c r="G779" s="173" t="s">
        <v>152</v>
      </c>
      <c r="H779" s="173">
        <v>1</v>
      </c>
      <c r="I779" s="173" t="s">
        <v>152</v>
      </c>
      <c r="J779" s="173" t="s">
        <v>1421</v>
      </c>
      <c r="K779" s="173" t="s">
        <v>16</v>
      </c>
      <c r="L779" s="173"/>
      <c r="M779" s="173" t="s">
        <v>153</v>
      </c>
      <c r="N779" s="173">
        <v>900371112</v>
      </c>
      <c r="O779" s="175">
        <v>11496063</v>
      </c>
      <c r="P779" s="7">
        <f>+Tabla3[[#This Row],[Precio unit]]*Tabla3[[#This Row],[Cant pendiente]]</f>
        <v>11496063</v>
      </c>
      <c r="Q779" s="16">
        <f>+IF(IFERROR(VLOOKUP(Tabla3[[#This Row],[Cliente factura]],Tabla4[[NIT]:[TOTAL CREDITO]],3,FALSE),0)="",0,IFERROR(VLOOKUP(Tabla3[[#This Row],[Cliente factura]],Tabla4[[NIT]:[TOTAL CREDITO]],3,FALSE),0))</f>
        <v>15854000</v>
      </c>
      <c r="R779" s="9">
        <f>+IFERROR(VLOOKUP(Tabla3[[#This Row],[Cliente factura]],Tabla4[[NIT]:[TOTAL CREDITO]],6,FALSE),0)</f>
        <v>0</v>
      </c>
      <c r="S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9" s="10" t="str">
        <f>VLOOKUP(Tabla3[[#This Row],[Razón social cliente factura]]&amp;Tabla3[[#This Row],[Desc. ciudad]],'Estandar de Rutas'!$C$1:$E$553,2,FALSE)</f>
        <v>8.1.A</v>
      </c>
      <c r="U779" s="130">
        <f>IFERROR(VLOOKUP(Tabla3[[#This Row],[Referencia]]&amp;Tabla3[[#This Row],[Desc detalle ext 1]],Tabla1[[Referencia-Color]:[Disponibilidad]],3,FALSE),0)</f>
        <v>0</v>
      </c>
      <c r="V779" s="13"/>
      <c r="W779" s="17">
        <f>+Tabla3[[#This Row],[Cant. Programada]]*Tabla3[[#This Row],[Precio unit]]</f>
        <v>0</v>
      </c>
      <c r="X779" s="129"/>
      <c r="Y779" s="129"/>
      <c r="Z779" s="8" t="str">
        <f>+Tabla3[[#This Row],[Referencia]]&amp;Tabla3[[#This Row],[Desc detalle ext 1]]</f>
        <v xml:space="preserve">*XR-250 TORNADO pt MD34                           NEGRO    </v>
      </c>
      <c r="AA779" s="128" t="e">
        <f>+VLOOKUP(Tabla3[[#This Row],[CODIGO2]],ESTANDAR!$B$3:$C$9,2,FALSE)</f>
        <v>#N/A</v>
      </c>
      <c r="AB779" s="128" t="str">
        <f>+MID(Tabla3[[#This Row],['# Viaje]],10,1)</f>
        <v/>
      </c>
    </row>
    <row r="780" spans="1:28" ht="15" hidden="1" customHeight="1">
      <c r="A780" s="173" t="s">
        <v>1616</v>
      </c>
      <c r="B780" s="174">
        <v>42948</v>
      </c>
      <c r="C780" s="173" t="s">
        <v>1477</v>
      </c>
      <c r="D780" s="173" t="s">
        <v>1487</v>
      </c>
      <c r="E780" s="173" t="s">
        <v>1479</v>
      </c>
      <c r="F780" s="173">
        <v>1</v>
      </c>
      <c r="G780" s="173" t="s">
        <v>152</v>
      </c>
      <c r="H780" s="173">
        <v>1</v>
      </c>
      <c r="I780" s="173" t="s">
        <v>152</v>
      </c>
      <c r="J780" s="173" t="s">
        <v>27</v>
      </c>
      <c r="K780" s="173" t="s">
        <v>32</v>
      </c>
      <c r="L780" s="173"/>
      <c r="M780" s="173" t="s">
        <v>153</v>
      </c>
      <c r="N780" s="173">
        <v>900371112</v>
      </c>
      <c r="O780" s="175">
        <v>5789916</v>
      </c>
      <c r="P780" s="7">
        <f>+Tabla3[[#This Row],[Precio unit]]*Tabla3[[#This Row],[Cant pendiente]]</f>
        <v>5789916</v>
      </c>
      <c r="Q780" s="16">
        <f>+IF(IFERROR(VLOOKUP(Tabla3[[#This Row],[Cliente factura]],Tabla4[[NIT]:[TOTAL CREDITO]],3,FALSE),0)="",0,IFERROR(VLOOKUP(Tabla3[[#This Row],[Cliente factura]],Tabla4[[NIT]:[TOTAL CREDITO]],3,FALSE),0))</f>
        <v>15854000</v>
      </c>
      <c r="R780" s="9">
        <f>+IFERROR(VLOOKUP(Tabla3[[#This Row],[Cliente factura]],Tabla4[[NIT]:[TOTAL CREDITO]],6,FALSE),0)</f>
        <v>0</v>
      </c>
      <c r="S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0" s="10" t="str">
        <f>VLOOKUP(Tabla3[[#This Row],[Razón social cliente factura]]&amp;Tabla3[[#This Row],[Desc. ciudad]],'Estandar de Rutas'!$C$1:$E$553,2,FALSE)</f>
        <v>8.1.A</v>
      </c>
      <c r="U780" s="130">
        <f>IFERROR(VLOOKUP(Tabla3[[#This Row],[Referencia]]&amp;Tabla3[[#This Row],[Desc detalle ext 1]],Tabla1[[Referencia-Color]:[Disponibilidad]],3,FALSE),0)</f>
        <v>7</v>
      </c>
      <c r="V780" s="13"/>
      <c r="W780" s="17">
        <f>+Tabla3[[#This Row],[Cant. Programada]]*Tabla3[[#This Row],[Precio unit]]</f>
        <v>0</v>
      </c>
      <c r="X780" s="8"/>
      <c r="Y780" s="8"/>
      <c r="Z780" s="8" t="str">
        <f>+Tabla3[[#This Row],[Referencia]]&amp;Tabla3[[#This Row],[Desc detalle ext 1]]</f>
        <v>*XR 150L                                          NEGRO ROJ</v>
      </c>
      <c r="AA780" s="128" t="e">
        <f>+VLOOKUP(Tabla3[[#This Row],[CODIGO2]],ESTANDAR!$B$3:$C$9,2,FALSE)</f>
        <v>#N/A</v>
      </c>
      <c r="AB780" s="128" t="str">
        <f>+MID(Tabla3[[#This Row],['# Viaje]],10,1)</f>
        <v/>
      </c>
    </row>
    <row r="781" spans="1:28" ht="15" hidden="1" customHeight="1">
      <c r="A781" s="173" t="s">
        <v>1616</v>
      </c>
      <c r="B781" s="174">
        <v>42948</v>
      </c>
      <c r="C781" s="173" t="s">
        <v>1477</v>
      </c>
      <c r="D781" s="173" t="s">
        <v>1487</v>
      </c>
      <c r="E781" s="173" t="s">
        <v>1479</v>
      </c>
      <c r="F781" s="173">
        <v>1</v>
      </c>
      <c r="G781" s="173" t="s">
        <v>152</v>
      </c>
      <c r="H781" s="173">
        <v>1</v>
      </c>
      <c r="I781" s="173" t="s">
        <v>152</v>
      </c>
      <c r="J781" s="173" t="s">
        <v>27</v>
      </c>
      <c r="K781" s="173" t="s">
        <v>26</v>
      </c>
      <c r="L781" s="173"/>
      <c r="M781" s="173" t="s">
        <v>153</v>
      </c>
      <c r="N781" s="173">
        <v>900371112</v>
      </c>
      <c r="O781" s="175">
        <v>5789916</v>
      </c>
      <c r="P781" s="7">
        <f>+Tabla3[[#This Row],[Precio unit]]*Tabla3[[#This Row],[Cant pendiente]]</f>
        <v>5789916</v>
      </c>
      <c r="Q781" s="16">
        <f>+IF(IFERROR(VLOOKUP(Tabla3[[#This Row],[Cliente factura]],Tabla4[[NIT]:[TOTAL CREDITO]],3,FALSE),0)="",0,IFERROR(VLOOKUP(Tabla3[[#This Row],[Cliente factura]],Tabla4[[NIT]:[TOTAL CREDITO]],3,FALSE),0))</f>
        <v>15854000</v>
      </c>
      <c r="R781" s="9">
        <f>+IFERROR(VLOOKUP(Tabla3[[#This Row],[Cliente factura]],Tabla4[[NIT]:[TOTAL CREDITO]],6,FALSE),0)</f>
        <v>0</v>
      </c>
      <c r="S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1" s="10" t="str">
        <f>VLOOKUP(Tabla3[[#This Row],[Razón social cliente factura]]&amp;Tabla3[[#This Row],[Desc. ciudad]],'Estandar de Rutas'!$C$1:$E$553,2,FALSE)</f>
        <v>8.1.A</v>
      </c>
      <c r="U781" s="130">
        <f>IFERROR(VLOOKUP(Tabla3[[#This Row],[Referencia]]&amp;Tabla3[[#This Row],[Desc detalle ext 1]],Tabla1[[Referencia-Color]:[Disponibilidad]],3,FALSE),0)</f>
        <v>59</v>
      </c>
      <c r="V781" s="13"/>
      <c r="W781" s="17">
        <f>+Tabla3[[#This Row],[Cant. Programada]]*Tabla3[[#This Row],[Precio unit]]</f>
        <v>0</v>
      </c>
      <c r="X781" s="129"/>
      <c r="Y781" s="8"/>
      <c r="Z781" s="8" t="str">
        <f>+Tabla3[[#This Row],[Referencia]]&amp;Tabla3[[#This Row],[Desc detalle ext 1]]</f>
        <v>*XR 150L                                          NEGRO BLA</v>
      </c>
      <c r="AA781" s="128" t="e">
        <f>+VLOOKUP(Tabla3[[#This Row],[CODIGO2]],ESTANDAR!$B$3:$C$9,2,FALSE)</f>
        <v>#N/A</v>
      </c>
      <c r="AB781" s="128" t="str">
        <f>+MID(Tabla3[[#This Row],['# Viaje]],10,1)</f>
        <v/>
      </c>
    </row>
    <row r="782" spans="1:28" ht="15" hidden="1" customHeight="1">
      <c r="A782" s="173" t="s">
        <v>1616</v>
      </c>
      <c r="B782" s="174">
        <v>42948</v>
      </c>
      <c r="C782" s="173" t="s">
        <v>1477</v>
      </c>
      <c r="D782" s="173" t="s">
        <v>1487</v>
      </c>
      <c r="E782" s="173" t="s">
        <v>1479</v>
      </c>
      <c r="F782" s="173">
        <v>1</v>
      </c>
      <c r="G782" s="173" t="s">
        <v>152</v>
      </c>
      <c r="H782" s="173">
        <v>1</v>
      </c>
      <c r="I782" s="173" t="s">
        <v>152</v>
      </c>
      <c r="J782" s="173" t="s">
        <v>27</v>
      </c>
      <c r="K782" s="173" t="s">
        <v>16</v>
      </c>
      <c r="L782" s="173"/>
      <c r="M782" s="173" t="s">
        <v>153</v>
      </c>
      <c r="N782" s="173">
        <v>900371112</v>
      </c>
      <c r="O782" s="175">
        <v>5789916</v>
      </c>
      <c r="P782" s="7">
        <f>+Tabla3[[#This Row],[Precio unit]]*Tabla3[[#This Row],[Cant pendiente]]</f>
        <v>5789916</v>
      </c>
      <c r="Q782" s="16">
        <f>+IF(IFERROR(VLOOKUP(Tabla3[[#This Row],[Cliente factura]],Tabla4[[NIT]:[TOTAL CREDITO]],3,FALSE),0)="",0,IFERROR(VLOOKUP(Tabla3[[#This Row],[Cliente factura]],Tabla4[[NIT]:[TOTAL CREDITO]],3,FALSE),0))</f>
        <v>15854000</v>
      </c>
      <c r="R782" s="9">
        <f>+IFERROR(VLOOKUP(Tabla3[[#This Row],[Cliente factura]],Tabla4[[NIT]:[TOTAL CREDITO]],6,FALSE),0)</f>
        <v>0</v>
      </c>
      <c r="S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2" s="10" t="str">
        <f>VLOOKUP(Tabla3[[#This Row],[Razón social cliente factura]]&amp;Tabla3[[#This Row],[Desc. ciudad]],'Estandar de Rutas'!$C$1:$E$553,2,FALSE)</f>
        <v>8.1.A</v>
      </c>
      <c r="U782" s="130">
        <f>IFERROR(VLOOKUP(Tabla3[[#This Row],[Referencia]]&amp;Tabla3[[#This Row],[Desc detalle ext 1]],Tabla1[[Referencia-Color]:[Disponibilidad]],3,FALSE),0)</f>
        <v>3</v>
      </c>
      <c r="V782" s="13"/>
      <c r="W782" s="17">
        <f>+Tabla3[[#This Row],[Cant. Programada]]*Tabla3[[#This Row],[Precio unit]]</f>
        <v>0</v>
      </c>
      <c r="X782" s="129"/>
      <c r="Y782" s="129"/>
      <c r="Z782" s="8" t="str">
        <f>+Tabla3[[#This Row],[Referencia]]&amp;Tabla3[[#This Row],[Desc detalle ext 1]]</f>
        <v xml:space="preserve">*XR 150L                                          NEGRO    </v>
      </c>
      <c r="AA782" s="128" t="e">
        <f>+VLOOKUP(Tabla3[[#This Row],[CODIGO2]],ESTANDAR!$B$3:$C$9,2,FALSE)</f>
        <v>#N/A</v>
      </c>
      <c r="AB782" s="128" t="str">
        <f>+MID(Tabla3[[#This Row],['# Viaje]],10,1)</f>
        <v/>
      </c>
    </row>
    <row r="783" spans="1:28" ht="15" hidden="1" customHeight="1">
      <c r="A783" s="173" t="s">
        <v>1616</v>
      </c>
      <c r="B783" s="174">
        <v>42948</v>
      </c>
      <c r="C783" s="173" t="s">
        <v>1477</v>
      </c>
      <c r="D783" s="173" t="s">
        <v>1487</v>
      </c>
      <c r="E783" s="173" t="s">
        <v>1479</v>
      </c>
      <c r="F783" s="173">
        <v>1</v>
      </c>
      <c r="G783" s="173" t="s">
        <v>152</v>
      </c>
      <c r="H783" s="173">
        <v>1</v>
      </c>
      <c r="I783" s="173" t="s">
        <v>152</v>
      </c>
      <c r="J783" s="173" t="s">
        <v>354</v>
      </c>
      <c r="K783" s="173" t="s">
        <v>17</v>
      </c>
      <c r="L783" s="173"/>
      <c r="M783" s="173" t="s">
        <v>153</v>
      </c>
      <c r="N783" s="173">
        <v>900371112</v>
      </c>
      <c r="O783" s="175">
        <v>6133613</v>
      </c>
      <c r="P783" s="7">
        <f>+Tabla3[[#This Row],[Precio unit]]*Tabla3[[#This Row],[Cant pendiente]]</f>
        <v>6133613</v>
      </c>
      <c r="Q783" s="16">
        <f>+IF(IFERROR(VLOOKUP(Tabla3[[#This Row],[Cliente factura]],Tabla4[[NIT]:[TOTAL CREDITO]],3,FALSE),0)="",0,IFERROR(VLOOKUP(Tabla3[[#This Row],[Cliente factura]],Tabla4[[NIT]:[TOTAL CREDITO]],3,FALSE),0))</f>
        <v>15854000</v>
      </c>
      <c r="R783" s="9">
        <f>+IFERROR(VLOOKUP(Tabla3[[#This Row],[Cliente factura]],Tabla4[[NIT]:[TOTAL CREDITO]],6,FALSE),0)</f>
        <v>0</v>
      </c>
      <c r="S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3" s="10" t="str">
        <f>VLOOKUP(Tabla3[[#This Row],[Razón social cliente factura]]&amp;Tabla3[[#This Row],[Desc. ciudad]],'Estandar de Rutas'!$C$1:$E$553,2,FALSE)</f>
        <v>8.1.A</v>
      </c>
      <c r="U783" s="130">
        <f>IFERROR(VLOOKUP(Tabla3[[#This Row],[Referencia]]&amp;Tabla3[[#This Row],[Desc detalle ext 1]],Tabla1[[Referencia-Color]:[Disponibilidad]],3,FALSE),0)</f>
        <v>48</v>
      </c>
      <c r="V783" s="13"/>
      <c r="W783" s="17">
        <f>+Tabla3[[#This Row],[Cant. Programada]]*Tabla3[[#This Row],[Precio unit]]</f>
        <v>0</v>
      </c>
      <c r="X783" s="8"/>
      <c r="Y783" s="8"/>
      <c r="Z783" s="8" t="str">
        <f>+Tabla3[[#This Row],[Referencia]]&amp;Tabla3[[#This Row],[Desc detalle ext 1]]</f>
        <v>CB 160F DLX                                       ROJO SPOR</v>
      </c>
      <c r="AA783" s="128" t="e">
        <f>+VLOOKUP(Tabla3[[#This Row],[CODIGO2]],ESTANDAR!$B$3:$C$9,2,FALSE)</f>
        <v>#N/A</v>
      </c>
      <c r="AB783" s="128" t="str">
        <f>+MID(Tabla3[[#This Row],['# Viaje]],10,1)</f>
        <v/>
      </c>
    </row>
    <row r="784" spans="1:28" ht="15" hidden="1" customHeight="1">
      <c r="A784" s="173" t="s">
        <v>1616</v>
      </c>
      <c r="B784" s="174">
        <v>42948</v>
      </c>
      <c r="C784" s="173" t="s">
        <v>1477</v>
      </c>
      <c r="D784" s="173" t="s">
        <v>1487</v>
      </c>
      <c r="E784" s="173" t="s">
        <v>1479</v>
      </c>
      <c r="F784" s="173">
        <v>1</v>
      </c>
      <c r="G784" s="173" t="s">
        <v>152</v>
      </c>
      <c r="H784" s="173">
        <v>1</v>
      </c>
      <c r="I784" s="173" t="s">
        <v>152</v>
      </c>
      <c r="J784" s="173" t="s">
        <v>1451</v>
      </c>
      <c r="K784" s="173" t="s">
        <v>1431</v>
      </c>
      <c r="L784" s="173"/>
      <c r="M784" s="173" t="s">
        <v>153</v>
      </c>
      <c r="N784" s="173">
        <v>900371112</v>
      </c>
      <c r="O784" s="175">
        <v>3696639</v>
      </c>
      <c r="P784" s="7">
        <f>+Tabla3[[#This Row],[Precio unit]]*Tabla3[[#This Row],[Cant pendiente]]</f>
        <v>3696639</v>
      </c>
      <c r="Q784" s="16">
        <f>+IF(IFERROR(VLOOKUP(Tabla3[[#This Row],[Cliente factura]],Tabla4[[NIT]:[TOTAL CREDITO]],3,FALSE),0)="",0,IFERROR(VLOOKUP(Tabla3[[#This Row],[Cliente factura]],Tabla4[[NIT]:[TOTAL CREDITO]],3,FALSE),0))</f>
        <v>15854000</v>
      </c>
      <c r="R784" s="9">
        <f>+IFERROR(VLOOKUP(Tabla3[[#This Row],[Cliente factura]],Tabla4[[NIT]:[TOTAL CREDITO]],6,FALSE),0)</f>
        <v>0</v>
      </c>
      <c r="S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4" s="10" t="str">
        <f>VLOOKUP(Tabla3[[#This Row],[Razón social cliente factura]]&amp;Tabla3[[#This Row],[Desc. ciudad]],'Estandar de Rutas'!$C$1:$E$553,2,FALSE)</f>
        <v>8.1.A</v>
      </c>
      <c r="U784" s="130">
        <f>IFERROR(VLOOKUP(Tabla3[[#This Row],[Referencia]]&amp;Tabla3[[#This Row],[Desc detalle ext 1]],Tabla1[[Referencia-Color]:[Disponibilidad]],3,FALSE),0)</f>
        <v>21</v>
      </c>
      <c r="V784" s="13"/>
      <c r="W784" s="17">
        <f>+Tabla3[[#This Row],[Cant. Programada]]*Tabla3[[#This Row],[Precio unit]]</f>
        <v>0</v>
      </c>
      <c r="X784" s="8"/>
      <c r="Y784" s="8"/>
      <c r="Z784" s="8" t="str">
        <f>+Tabla3[[#This Row],[Referencia]]&amp;Tabla3[[#This Row],[Desc detalle ext 1]]</f>
        <v xml:space="preserve">CB 110 DLX                                        ROJO     </v>
      </c>
      <c r="AA784" s="128" t="e">
        <f>+VLOOKUP(Tabla3[[#This Row],[CODIGO2]],ESTANDAR!$B$3:$C$9,2,FALSE)</f>
        <v>#N/A</v>
      </c>
      <c r="AB784" s="128" t="str">
        <f>+MID(Tabla3[[#This Row],['# Viaje]],10,1)</f>
        <v/>
      </c>
    </row>
    <row r="785" spans="1:28" ht="15" hidden="1" customHeight="1">
      <c r="A785" s="173" t="s">
        <v>1617</v>
      </c>
      <c r="B785" s="174">
        <v>42948</v>
      </c>
      <c r="C785" s="173" t="s">
        <v>1231</v>
      </c>
      <c r="D785" s="173" t="s">
        <v>1487</v>
      </c>
      <c r="E785" s="173" t="s">
        <v>1479</v>
      </c>
      <c r="F785" s="173">
        <v>2</v>
      </c>
      <c r="G785" s="173" t="s">
        <v>154</v>
      </c>
      <c r="H785" s="173">
        <v>2</v>
      </c>
      <c r="I785" s="173" t="s">
        <v>154</v>
      </c>
      <c r="J785" s="173" t="s">
        <v>27</v>
      </c>
      <c r="K785" s="173" t="s">
        <v>32</v>
      </c>
      <c r="L785" s="173"/>
      <c r="M785" s="173" t="s">
        <v>155</v>
      </c>
      <c r="N785" s="173">
        <v>32259672</v>
      </c>
      <c r="O785" s="175">
        <v>5789916</v>
      </c>
      <c r="P785" s="7">
        <f>+Tabla3[[#This Row],[Precio unit]]*Tabla3[[#This Row],[Cant pendiente]]</f>
        <v>11579832</v>
      </c>
      <c r="Q785" s="16">
        <f>+IF(IFERROR(VLOOKUP(Tabla3[[#This Row],[Cliente factura]],Tabla4[[NIT]:[TOTAL CREDITO]],3,FALSE),0)="",0,IFERROR(VLOOKUP(Tabla3[[#This Row],[Cliente factura]],Tabla4[[NIT]:[TOTAL CREDITO]],3,FALSE),0))</f>
        <v>183847</v>
      </c>
      <c r="R785" s="9">
        <f>+IFERROR(VLOOKUP(Tabla3[[#This Row],[Cliente factura]],Tabla4[[NIT]:[TOTAL CREDITO]],6,FALSE),0)</f>
        <v>0</v>
      </c>
      <c r="S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5" s="10" t="str">
        <f>VLOOKUP(Tabla3[[#This Row],[Razón social cliente factura]]&amp;Tabla3[[#This Row],[Desc. ciudad]],'Estandar de Rutas'!$C$1:$E$553,2,FALSE)</f>
        <v>9.1</v>
      </c>
      <c r="U785" s="130">
        <f>IFERROR(VLOOKUP(Tabla3[[#This Row],[Referencia]]&amp;Tabla3[[#This Row],[Desc detalle ext 1]],Tabla1[[Referencia-Color]:[Disponibilidad]],3,FALSE),0)</f>
        <v>7</v>
      </c>
      <c r="V785" s="13"/>
      <c r="W785" s="17">
        <f>+Tabla3[[#This Row],[Cant. Programada]]*Tabla3[[#This Row],[Precio unit]]</f>
        <v>0</v>
      </c>
      <c r="X785" s="8"/>
      <c r="Y785" s="8"/>
      <c r="Z785" s="8" t="str">
        <f>+Tabla3[[#This Row],[Referencia]]&amp;Tabla3[[#This Row],[Desc detalle ext 1]]</f>
        <v>*XR 150L                                          NEGRO ROJ</v>
      </c>
      <c r="AA785" s="128" t="e">
        <f>+VLOOKUP(Tabla3[[#This Row],[CODIGO2]],ESTANDAR!$B$3:$C$9,2,FALSE)</f>
        <v>#N/A</v>
      </c>
      <c r="AB785" s="128" t="str">
        <f>+MID(Tabla3[[#This Row],['# Viaje]],10,1)</f>
        <v/>
      </c>
    </row>
    <row r="786" spans="1:28" ht="15" hidden="1" customHeight="1">
      <c r="A786" s="173" t="s">
        <v>1617</v>
      </c>
      <c r="B786" s="174">
        <v>42948</v>
      </c>
      <c r="C786" s="173" t="s">
        <v>1231</v>
      </c>
      <c r="D786" s="173" t="s">
        <v>1487</v>
      </c>
      <c r="E786" s="173" t="s">
        <v>1479</v>
      </c>
      <c r="F786" s="173">
        <v>2</v>
      </c>
      <c r="G786" s="173" t="s">
        <v>154</v>
      </c>
      <c r="H786" s="173">
        <v>2</v>
      </c>
      <c r="I786" s="173" t="s">
        <v>154</v>
      </c>
      <c r="J786" s="173" t="s">
        <v>27</v>
      </c>
      <c r="K786" s="173" t="s">
        <v>26</v>
      </c>
      <c r="L786" s="173"/>
      <c r="M786" s="173" t="s">
        <v>155</v>
      </c>
      <c r="N786" s="173">
        <v>32259672</v>
      </c>
      <c r="O786" s="175">
        <v>5789916</v>
      </c>
      <c r="P786" s="7">
        <f>+Tabla3[[#This Row],[Precio unit]]*Tabla3[[#This Row],[Cant pendiente]]</f>
        <v>11579832</v>
      </c>
      <c r="Q786" s="16">
        <f>+IF(IFERROR(VLOOKUP(Tabla3[[#This Row],[Cliente factura]],Tabla4[[NIT]:[TOTAL CREDITO]],3,FALSE),0)="",0,IFERROR(VLOOKUP(Tabla3[[#This Row],[Cliente factura]],Tabla4[[NIT]:[TOTAL CREDITO]],3,FALSE),0))</f>
        <v>183847</v>
      </c>
      <c r="R786" s="9">
        <f>+IFERROR(VLOOKUP(Tabla3[[#This Row],[Cliente factura]],Tabla4[[NIT]:[TOTAL CREDITO]],6,FALSE),0)</f>
        <v>0</v>
      </c>
      <c r="S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6" s="10" t="str">
        <f>VLOOKUP(Tabla3[[#This Row],[Razón social cliente factura]]&amp;Tabla3[[#This Row],[Desc. ciudad]],'Estandar de Rutas'!$C$1:$E$553,2,FALSE)</f>
        <v>9.1</v>
      </c>
      <c r="U786" s="130">
        <f>IFERROR(VLOOKUP(Tabla3[[#This Row],[Referencia]]&amp;Tabla3[[#This Row],[Desc detalle ext 1]],Tabla1[[Referencia-Color]:[Disponibilidad]],3,FALSE),0)</f>
        <v>59</v>
      </c>
      <c r="V786" s="13"/>
      <c r="W786" s="17">
        <f>+Tabla3[[#This Row],[Cant. Programada]]*Tabla3[[#This Row],[Precio unit]]</f>
        <v>0</v>
      </c>
      <c r="X786" s="8"/>
      <c r="Y786" s="8"/>
      <c r="Z786" s="8" t="str">
        <f>+Tabla3[[#This Row],[Referencia]]&amp;Tabla3[[#This Row],[Desc detalle ext 1]]</f>
        <v>*XR 150L                                          NEGRO BLA</v>
      </c>
      <c r="AA786" s="128" t="e">
        <f>+VLOOKUP(Tabla3[[#This Row],[CODIGO2]],ESTANDAR!$B$3:$C$9,2,FALSE)</f>
        <v>#N/A</v>
      </c>
      <c r="AB786" s="128" t="str">
        <f>+MID(Tabla3[[#This Row],['# Viaje]],10,1)</f>
        <v/>
      </c>
    </row>
    <row r="787" spans="1:28" ht="15" hidden="1" customHeight="1">
      <c r="A787" s="173" t="s">
        <v>1617</v>
      </c>
      <c r="B787" s="174">
        <v>42948</v>
      </c>
      <c r="C787" s="173" t="s">
        <v>1231</v>
      </c>
      <c r="D787" s="173" t="s">
        <v>1487</v>
      </c>
      <c r="E787" s="173" t="s">
        <v>1479</v>
      </c>
      <c r="F787" s="173">
        <v>2</v>
      </c>
      <c r="G787" s="173" t="s">
        <v>154</v>
      </c>
      <c r="H787" s="173">
        <v>2</v>
      </c>
      <c r="I787" s="173" t="s">
        <v>154</v>
      </c>
      <c r="J787" s="173" t="s">
        <v>27</v>
      </c>
      <c r="K787" s="173" t="s">
        <v>16</v>
      </c>
      <c r="L787" s="173"/>
      <c r="M787" s="173" t="s">
        <v>155</v>
      </c>
      <c r="N787" s="173">
        <v>32259672</v>
      </c>
      <c r="O787" s="175">
        <v>5789916</v>
      </c>
      <c r="P787" s="7">
        <f>+Tabla3[[#This Row],[Precio unit]]*Tabla3[[#This Row],[Cant pendiente]]</f>
        <v>11579832</v>
      </c>
      <c r="Q787" s="16">
        <f>+IF(IFERROR(VLOOKUP(Tabla3[[#This Row],[Cliente factura]],Tabla4[[NIT]:[TOTAL CREDITO]],3,FALSE),0)="",0,IFERROR(VLOOKUP(Tabla3[[#This Row],[Cliente factura]],Tabla4[[NIT]:[TOTAL CREDITO]],3,FALSE),0))</f>
        <v>183847</v>
      </c>
      <c r="R787" s="9">
        <f>+IFERROR(VLOOKUP(Tabla3[[#This Row],[Cliente factura]],Tabla4[[NIT]:[TOTAL CREDITO]],6,FALSE),0)</f>
        <v>0</v>
      </c>
      <c r="S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7" s="10" t="str">
        <f>VLOOKUP(Tabla3[[#This Row],[Razón social cliente factura]]&amp;Tabla3[[#This Row],[Desc. ciudad]],'Estandar de Rutas'!$C$1:$E$553,2,FALSE)</f>
        <v>9.1</v>
      </c>
      <c r="U787" s="130">
        <f>IFERROR(VLOOKUP(Tabla3[[#This Row],[Referencia]]&amp;Tabla3[[#This Row],[Desc detalle ext 1]],Tabla1[[Referencia-Color]:[Disponibilidad]],3,FALSE),0)</f>
        <v>3</v>
      </c>
      <c r="V787" s="13"/>
      <c r="W787" s="17">
        <f>+Tabla3[[#This Row],[Cant. Programada]]*Tabla3[[#This Row],[Precio unit]]</f>
        <v>0</v>
      </c>
      <c r="X787" s="129"/>
      <c r="Y787" s="129"/>
      <c r="Z787" s="8" t="str">
        <f>+Tabla3[[#This Row],[Referencia]]&amp;Tabla3[[#This Row],[Desc detalle ext 1]]</f>
        <v xml:space="preserve">*XR 150L                                          NEGRO    </v>
      </c>
      <c r="AA787" s="128" t="e">
        <f>+VLOOKUP(Tabla3[[#This Row],[CODIGO2]],ESTANDAR!$B$3:$C$9,2,FALSE)</f>
        <v>#N/A</v>
      </c>
      <c r="AB787" s="128" t="str">
        <f>+MID(Tabla3[[#This Row],['# Viaje]],10,1)</f>
        <v/>
      </c>
    </row>
    <row r="788" spans="1:28" ht="15" hidden="1" customHeight="1">
      <c r="A788" s="173" t="s">
        <v>1617</v>
      </c>
      <c r="B788" s="174">
        <v>42948</v>
      </c>
      <c r="C788" s="173" t="s">
        <v>1231</v>
      </c>
      <c r="D788" s="173" t="s">
        <v>1487</v>
      </c>
      <c r="E788" s="173" t="s">
        <v>1479</v>
      </c>
      <c r="F788" s="173">
        <v>1</v>
      </c>
      <c r="G788" s="173" t="s">
        <v>154</v>
      </c>
      <c r="H788" s="173">
        <v>1</v>
      </c>
      <c r="I788" s="173" t="s">
        <v>154</v>
      </c>
      <c r="J788" s="173" t="s">
        <v>10</v>
      </c>
      <c r="K788" s="173" t="s">
        <v>13</v>
      </c>
      <c r="L788" s="173"/>
      <c r="M788" s="173" t="s">
        <v>155</v>
      </c>
      <c r="N788" s="173">
        <v>32259672</v>
      </c>
      <c r="O788" s="175">
        <v>7554622</v>
      </c>
      <c r="P788" s="7">
        <f>+Tabla3[[#This Row],[Precio unit]]*Tabla3[[#This Row],[Cant pendiente]]</f>
        <v>7554622</v>
      </c>
      <c r="Q788" s="16">
        <f>+IF(IFERROR(VLOOKUP(Tabla3[[#This Row],[Cliente factura]],Tabla4[[NIT]:[TOTAL CREDITO]],3,FALSE),0)="",0,IFERROR(VLOOKUP(Tabla3[[#This Row],[Cliente factura]],Tabla4[[NIT]:[TOTAL CREDITO]],3,FALSE),0))</f>
        <v>183847</v>
      </c>
      <c r="R788" s="9">
        <f>+IFERROR(VLOOKUP(Tabla3[[#This Row],[Cliente factura]],Tabla4[[NIT]:[TOTAL CREDITO]],6,FALSE),0)</f>
        <v>0</v>
      </c>
      <c r="S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8" s="10" t="str">
        <f>VLOOKUP(Tabla3[[#This Row],[Razón social cliente factura]]&amp;Tabla3[[#This Row],[Desc. ciudad]],'Estandar de Rutas'!$C$1:$E$553,2,FALSE)</f>
        <v>9.1</v>
      </c>
      <c r="U788" s="130">
        <f>IFERROR(VLOOKUP(Tabla3[[#This Row],[Referencia]]&amp;Tabla3[[#This Row],[Desc detalle ext 1]],Tabla1[[Referencia-Color]:[Disponibilidad]],3,FALSE),0)</f>
        <v>75</v>
      </c>
      <c r="V788" s="13"/>
      <c r="W788" s="17">
        <f>+Tabla3[[#This Row],[Cant. Programada]]*Tabla3[[#This Row],[Precio unit]]</f>
        <v>0</v>
      </c>
      <c r="X788" s="129"/>
      <c r="Y788" s="129"/>
      <c r="Z788" s="8" t="str">
        <f>+Tabla3[[#This Row],[Referencia]]&amp;Tabla3[[#This Row],[Desc detalle ext 1]]</f>
        <v>CB 190R                                           ROJO NEGR</v>
      </c>
      <c r="AA788" s="128" t="e">
        <f>+VLOOKUP(Tabla3[[#This Row],[CODIGO2]],ESTANDAR!$B$3:$C$9,2,FALSE)</f>
        <v>#N/A</v>
      </c>
      <c r="AB788" s="128" t="str">
        <f>+MID(Tabla3[[#This Row],['# Viaje]],10,1)</f>
        <v/>
      </c>
    </row>
    <row r="789" spans="1:28" ht="15" hidden="1" customHeight="1">
      <c r="A789" s="173" t="s">
        <v>1618</v>
      </c>
      <c r="B789" s="174">
        <v>42948</v>
      </c>
      <c r="C789" s="173" t="s">
        <v>1477</v>
      </c>
      <c r="D789" s="173" t="s">
        <v>1487</v>
      </c>
      <c r="E789" s="173" t="s">
        <v>1479</v>
      </c>
      <c r="F789" s="173">
        <v>1</v>
      </c>
      <c r="G789" s="173" t="s">
        <v>262</v>
      </c>
      <c r="H789" s="173">
        <v>1</v>
      </c>
      <c r="I789" s="173" t="s">
        <v>262</v>
      </c>
      <c r="J789" s="173" t="s">
        <v>10</v>
      </c>
      <c r="K789" s="173" t="s">
        <v>11</v>
      </c>
      <c r="L789" s="173"/>
      <c r="M789" s="173" t="s">
        <v>263</v>
      </c>
      <c r="N789" s="173">
        <v>8357438</v>
      </c>
      <c r="O789" s="175">
        <v>7554622</v>
      </c>
      <c r="P789" s="7">
        <f>+Tabla3[[#This Row],[Precio unit]]*Tabla3[[#This Row],[Cant pendiente]]</f>
        <v>7554622</v>
      </c>
      <c r="Q789" s="16">
        <f>+IF(IFERROR(VLOOKUP(Tabla3[[#This Row],[Cliente factura]],Tabla4[[NIT]:[TOTAL CREDITO]],3,FALSE),0)="",0,IFERROR(VLOOKUP(Tabla3[[#This Row],[Cliente factura]],Tabla4[[NIT]:[TOTAL CREDITO]],3,FALSE),0))</f>
        <v>5189000</v>
      </c>
      <c r="R789" s="9">
        <f>+IFERROR(VLOOKUP(Tabla3[[#This Row],[Cliente factura]],Tabla4[[NIT]:[TOTAL CREDITO]],6,FALSE),0)</f>
        <v>159000000</v>
      </c>
      <c r="S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9" s="10" t="str">
        <f>VLOOKUP(Tabla3[[#This Row],[Razón social cliente factura]]&amp;Tabla3[[#This Row],[Desc. ciudad]],'Estandar de Rutas'!$C$1:$E$553,2,FALSE)</f>
        <v>4.1.B</v>
      </c>
      <c r="U789" s="130">
        <f>IFERROR(VLOOKUP(Tabla3[[#This Row],[Referencia]]&amp;Tabla3[[#This Row],[Desc detalle ext 1]],Tabla1[[Referencia-Color]:[Disponibilidad]],3,FALSE),0)</f>
        <v>0</v>
      </c>
      <c r="V789" s="13"/>
      <c r="W789" s="17">
        <f>+Tabla3[[#This Row],[Cant. Programada]]*Tabla3[[#This Row],[Precio unit]]</f>
        <v>0</v>
      </c>
      <c r="X789" s="8"/>
      <c r="Y789" s="8"/>
      <c r="Z789" s="8" t="str">
        <f>+Tabla3[[#This Row],[Referencia]]&amp;Tabla3[[#This Row],[Desc detalle ext 1]]</f>
        <v>CB 190R                                           NEGRO ONI</v>
      </c>
      <c r="AA789" s="128" t="e">
        <f>+VLOOKUP(Tabla3[[#This Row],[CODIGO2]],ESTANDAR!$B$3:$C$9,2,FALSE)</f>
        <v>#N/A</v>
      </c>
      <c r="AB789" s="128" t="str">
        <f>+MID(Tabla3[[#This Row],['# Viaje]],10,1)</f>
        <v/>
      </c>
    </row>
    <row r="790" spans="1:28" ht="15" hidden="1" customHeight="1">
      <c r="A790" s="173" t="s">
        <v>1618</v>
      </c>
      <c r="B790" s="174">
        <v>42948</v>
      </c>
      <c r="C790" s="173" t="s">
        <v>1477</v>
      </c>
      <c r="D790" s="173" t="s">
        <v>1487</v>
      </c>
      <c r="E790" s="173" t="s">
        <v>1479</v>
      </c>
      <c r="F790" s="173">
        <v>5</v>
      </c>
      <c r="G790" s="173" t="s">
        <v>262</v>
      </c>
      <c r="H790" s="173">
        <v>5</v>
      </c>
      <c r="I790" s="173" t="s">
        <v>262</v>
      </c>
      <c r="J790" s="173" t="s">
        <v>25</v>
      </c>
      <c r="K790" s="173" t="s">
        <v>26</v>
      </c>
      <c r="L790" s="173"/>
      <c r="M790" s="173" t="s">
        <v>263</v>
      </c>
      <c r="N790" s="173">
        <v>8357438</v>
      </c>
      <c r="O790" s="175">
        <v>3521008</v>
      </c>
      <c r="P790" s="7">
        <f>+Tabla3[[#This Row],[Precio unit]]*Tabla3[[#This Row],[Cant pendiente]]</f>
        <v>17605040</v>
      </c>
      <c r="Q790" s="16">
        <f>+IF(IFERROR(VLOOKUP(Tabla3[[#This Row],[Cliente factura]],Tabla4[[NIT]:[TOTAL CREDITO]],3,FALSE),0)="",0,IFERROR(VLOOKUP(Tabla3[[#This Row],[Cliente factura]],Tabla4[[NIT]:[TOTAL CREDITO]],3,FALSE),0))</f>
        <v>5189000</v>
      </c>
      <c r="R790" s="9">
        <f>+IFERROR(VLOOKUP(Tabla3[[#This Row],[Cliente factura]],Tabla4[[NIT]:[TOTAL CREDITO]],6,FALSE),0)</f>
        <v>159000000</v>
      </c>
      <c r="S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0" s="10" t="str">
        <f>VLOOKUP(Tabla3[[#This Row],[Razón social cliente factura]]&amp;Tabla3[[#This Row],[Desc. ciudad]],'Estandar de Rutas'!$C$1:$E$553,2,FALSE)</f>
        <v>4.1.B</v>
      </c>
      <c r="U790" s="130">
        <f>IFERROR(VLOOKUP(Tabla3[[#This Row],[Referencia]]&amp;Tabla3[[#This Row],[Desc detalle ext 1]],Tabla1[[Referencia-Color]:[Disponibilidad]],3,FALSE),0)</f>
        <v>15</v>
      </c>
      <c r="V790" s="13"/>
      <c r="W790" s="17">
        <f>+Tabla3[[#This Row],[Cant. Programada]]*Tabla3[[#This Row],[Precio unit]]</f>
        <v>0</v>
      </c>
      <c r="X790" s="8"/>
      <c r="Y790" s="8"/>
      <c r="Z790" s="8" t="str">
        <f>+Tabla3[[#This Row],[Referencia]]&amp;Tabla3[[#This Row],[Desc detalle ext 1]]</f>
        <v>DIO 110                                           NEGRO BLA</v>
      </c>
      <c r="AA790" s="128" t="e">
        <f>+VLOOKUP(Tabla3[[#This Row],[CODIGO2]],ESTANDAR!$B$3:$C$9,2,FALSE)</f>
        <v>#N/A</v>
      </c>
      <c r="AB790" s="128" t="str">
        <f>+MID(Tabla3[[#This Row],['# Viaje]],10,1)</f>
        <v/>
      </c>
    </row>
    <row r="791" spans="1:28" ht="15" hidden="1" customHeight="1">
      <c r="A791" s="173" t="s">
        <v>1618</v>
      </c>
      <c r="B791" s="174">
        <v>42948</v>
      </c>
      <c r="C791" s="173" t="s">
        <v>1477</v>
      </c>
      <c r="D791" s="173" t="s">
        <v>1487</v>
      </c>
      <c r="E791" s="173" t="s">
        <v>1479</v>
      </c>
      <c r="F791" s="173">
        <v>4</v>
      </c>
      <c r="G791" s="173" t="s">
        <v>262</v>
      </c>
      <c r="H791" s="173">
        <v>4</v>
      </c>
      <c r="I791" s="173" t="s">
        <v>262</v>
      </c>
      <c r="J791" s="173" t="s">
        <v>1433</v>
      </c>
      <c r="K791" s="173" t="s">
        <v>1434</v>
      </c>
      <c r="L791" s="173"/>
      <c r="M791" s="173" t="s">
        <v>263</v>
      </c>
      <c r="N791" s="173">
        <v>8357438</v>
      </c>
      <c r="O791" s="175">
        <v>3521008</v>
      </c>
      <c r="P791" s="7">
        <f>+Tabla3[[#This Row],[Precio unit]]*Tabla3[[#This Row],[Cant pendiente]]</f>
        <v>14084032</v>
      </c>
      <c r="Q791" s="16">
        <f>+IF(IFERROR(VLOOKUP(Tabla3[[#This Row],[Cliente factura]],Tabla4[[NIT]:[TOTAL CREDITO]],3,FALSE),0)="",0,IFERROR(VLOOKUP(Tabla3[[#This Row],[Cliente factura]],Tabla4[[NIT]:[TOTAL CREDITO]],3,FALSE),0))</f>
        <v>5189000</v>
      </c>
      <c r="R791" s="9">
        <f>+IFERROR(VLOOKUP(Tabla3[[#This Row],[Cliente factura]],Tabla4[[NIT]:[TOTAL CREDITO]],6,FALSE),0)</f>
        <v>159000000</v>
      </c>
      <c r="S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1" s="10" t="str">
        <f>VLOOKUP(Tabla3[[#This Row],[Razón social cliente factura]]&amp;Tabla3[[#This Row],[Desc. ciudad]],'Estandar de Rutas'!$C$1:$E$553,2,FALSE)</f>
        <v>4.1.B</v>
      </c>
      <c r="U791" s="130">
        <f>IFERROR(VLOOKUP(Tabla3[[#This Row],[Referencia]]&amp;Tabla3[[#This Row],[Desc detalle ext 1]],Tabla1[[Referencia-Color]:[Disponibilidad]],3,FALSE),0)</f>
        <v>23</v>
      </c>
      <c r="V791" s="13"/>
      <c r="W791" s="17">
        <f>+Tabla3[[#This Row],[Cant. Programada]]*Tabla3[[#This Row],[Precio unit]]</f>
        <v>0</v>
      </c>
      <c r="X791" s="8"/>
      <c r="Y791" s="8"/>
      <c r="Z791" s="8" t="str">
        <f>+Tabla3[[#This Row],[Referencia]]&amp;Tabla3[[#This Row],[Desc detalle ext 1]]</f>
        <v>DIO  110                                          BLANCO NE</v>
      </c>
      <c r="AA791" s="128" t="e">
        <f>+VLOOKUP(Tabla3[[#This Row],[CODIGO2]],ESTANDAR!$B$3:$C$9,2,FALSE)</f>
        <v>#N/A</v>
      </c>
      <c r="AB791" s="128" t="str">
        <f>+MID(Tabla3[[#This Row],['# Viaje]],10,1)</f>
        <v/>
      </c>
    </row>
    <row r="792" spans="1:28" ht="15" hidden="1" customHeight="1">
      <c r="A792" s="173" t="s">
        <v>1618</v>
      </c>
      <c r="B792" s="174">
        <v>42948</v>
      </c>
      <c r="C792" s="173" t="s">
        <v>1477</v>
      </c>
      <c r="D792" s="173" t="s">
        <v>1487</v>
      </c>
      <c r="E792" s="173" t="s">
        <v>1479</v>
      </c>
      <c r="F792" s="173">
        <v>6</v>
      </c>
      <c r="G792" s="173" t="s">
        <v>262</v>
      </c>
      <c r="H792" s="173">
        <v>6</v>
      </c>
      <c r="I792" s="173" t="s">
        <v>262</v>
      </c>
      <c r="J792" s="173" t="s">
        <v>1433</v>
      </c>
      <c r="K792" s="173" t="s">
        <v>1431</v>
      </c>
      <c r="L792" s="173"/>
      <c r="M792" s="173" t="s">
        <v>263</v>
      </c>
      <c r="N792" s="173">
        <v>8357438</v>
      </c>
      <c r="O792" s="175">
        <v>3521008</v>
      </c>
      <c r="P792" s="7">
        <f>+Tabla3[[#This Row],[Precio unit]]*Tabla3[[#This Row],[Cant pendiente]]</f>
        <v>21126048</v>
      </c>
      <c r="Q792" s="16">
        <f>+IF(IFERROR(VLOOKUP(Tabla3[[#This Row],[Cliente factura]],Tabla4[[NIT]:[TOTAL CREDITO]],3,FALSE),0)="",0,IFERROR(VLOOKUP(Tabla3[[#This Row],[Cliente factura]],Tabla4[[NIT]:[TOTAL CREDITO]],3,FALSE),0))</f>
        <v>5189000</v>
      </c>
      <c r="R792" s="9">
        <f>+IFERROR(VLOOKUP(Tabla3[[#This Row],[Cliente factura]],Tabla4[[NIT]:[TOTAL CREDITO]],6,FALSE),0)</f>
        <v>159000000</v>
      </c>
      <c r="S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2" s="10" t="str">
        <f>VLOOKUP(Tabla3[[#This Row],[Razón social cliente factura]]&amp;Tabla3[[#This Row],[Desc. ciudad]],'Estandar de Rutas'!$C$1:$E$553,2,FALSE)</f>
        <v>4.1.B</v>
      </c>
      <c r="U792" s="130">
        <f>IFERROR(VLOOKUP(Tabla3[[#This Row],[Referencia]]&amp;Tabla3[[#This Row],[Desc detalle ext 1]],Tabla1[[Referencia-Color]:[Disponibilidad]],3,FALSE),0)</f>
        <v>0</v>
      </c>
      <c r="V792" s="13"/>
      <c r="W792" s="17">
        <f>+Tabla3[[#This Row],[Cant. Programada]]*Tabla3[[#This Row],[Precio unit]]</f>
        <v>0</v>
      </c>
      <c r="X792" s="8"/>
      <c r="Y792" s="8"/>
      <c r="Z792" s="8" t="str">
        <f>+Tabla3[[#This Row],[Referencia]]&amp;Tabla3[[#This Row],[Desc detalle ext 1]]</f>
        <v xml:space="preserve">DIO  110                                          ROJO     </v>
      </c>
      <c r="AA792" s="128" t="e">
        <f>+VLOOKUP(Tabla3[[#This Row],[CODIGO2]],ESTANDAR!$B$3:$C$9,2,FALSE)</f>
        <v>#N/A</v>
      </c>
      <c r="AB792" s="128" t="str">
        <f>+MID(Tabla3[[#This Row],['# Viaje]],10,1)</f>
        <v/>
      </c>
    </row>
    <row r="793" spans="1:28" ht="15" hidden="1" customHeight="1">
      <c r="A793" s="173" t="s">
        <v>1618</v>
      </c>
      <c r="B793" s="174">
        <v>42948</v>
      </c>
      <c r="C793" s="173" t="s">
        <v>1477</v>
      </c>
      <c r="D793" s="173" t="s">
        <v>1487</v>
      </c>
      <c r="E793" s="173" t="s">
        <v>1479</v>
      </c>
      <c r="F793" s="173">
        <v>5</v>
      </c>
      <c r="G793" s="173" t="s">
        <v>262</v>
      </c>
      <c r="H793" s="173">
        <v>5</v>
      </c>
      <c r="I793" s="173" t="s">
        <v>262</v>
      </c>
      <c r="J793" s="173" t="s">
        <v>1433</v>
      </c>
      <c r="K793" s="173" t="s">
        <v>1452</v>
      </c>
      <c r="L793" s="173"/>
      <c r="M793" s="173" t="s">
        <v>263</v>
      </c>
      <c r="N793" s="173">
        <v>8357438</v>
      </c>
      <c r="O793" s="175">
        <v>3521008</v>
      </c>
      <c r="P793" s="7">
        <f>+Tabla3[[#This Row],[Precio unit]]*Tabla3[[#This Row],[Cant pendiente]]</f>
        <v>17605040</v>
      </c>
      <c r="Q793" s="16">
        <f>+IF(IFERROR(VLOOKUP(Tabla3[[#This Row],[Cliente factura]],Tabla4[[NIT]:[TOTAL CREDITO]],3,FALSE),0)="",0,IFERROR(VLOOKUP(Tabla3[[#This Row],[Cliente factura]],Tabla4[[NIT]:[TOTAL CREDITO]],3,FALSE),0))</f>
        <v>5189000</v>
      </c>
      <c r="R793" s="9">
        <f>+IFERROR(VLOOKUP(Tabla3[[#This Row],[Cliente factura]],Tabla4[[NIT]:[TOTAL CREDITO]],6,FALSE),0)</f>
        <v>159000000</v>
      </c>
      <c r="S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3" s="10" t="str">
        <f>VLOOKUP(Tabla3[[#This Row],[Razón social cliente factura]]&amp;Tabla3[[#This Row],[Desc. ciudad]],'Estandar de Rutas'!$C$1:$E$553,2,FALSE)</f>
        <v>4.1.B</v>
      </c>
      <c r="U793" s="130">
        <f>IFERROR(VLOOKUP(Tabla3[[#This Row],[Referencia]]&amp;Tabla3[[#This Row],[Desc detalle ext 1]],Tabla1[[Referencia-Color]:[Disponibilidad]],3,FALSE),0)</f>
        <v>0</v>
      </c>
      <c r="V793" s="13"/>
      <c r="W793" s="17">
        <f>+Tabla3[[#This Row],[Cant. Programada]]*Tabla3[[#This Row],[Precio unit]]</f>
        <v>0</v>
      </c>
      <c r="X793" s="8"/>
      <c r="Y793" s="8"/>
      <c r="Z793" s="8" t="str">
        <f>+Tabla3[[#This Row],[Referencia]]&amp;Tabla3[[#This Row],[Desc detalle ext 1]]</f>
        <v xml:space="preserve">DIO  110                                          AZUL     </v>
      </c>
      <c r="AA793" s="128" t="e">
        <f>+VLOOKUP(Tabla3[[#This Row],[CODIGO2]],ESTANDAR!$B$3:$C$9,2,FALSE)</f>
        <v>#N/A</v>
      </c>
      <c r="AB793" s="128" t="str">
        <f>+MID(Tabla3[[#This Row],['# Viaje]],10,1)</f>
        <v/>
      </c>
    </row>
    <row r="794" spans="1:28" hidden="1">
      <c r="A794" s="173" t="s">
        <v>1618</v>
      </c>
      <c r="B794" s="174">
        <v>42948</v>
      </c>
      <c r="C794" s="173" t="s">
        <v>1477</v>
      </c>
      <c r="D794" s="173" t="s">
        <v>1487</v>
      </c>
      <c r="E794" s="173" t="s">
        <v>1479</v>
      </c>
      <c r="F794" s="173">
        <v>1</v>
      </c>
      <c r="G794" s="173" t="s">
        <v>262</v>
      </c>
      <c r="H794" s="173">
        <v>1</v>
      </c>
      <c r="I794" s="173" t="s">
        <v>262</v>
      </c>
      <c r="J794" s="173" t="s">
        <v>1428</v>
      </c>
      <c r="K794" s="173" t="s">
        <v>32</v>
      </c>
      <c r="L794" s="173"/>
      <c r="M794" s="173" t="s">
        <v>263</v>
      </c>
      <c r="N794" s="173">
        <v>8357438</v>
      </c>
      <c r="O794" s="175">
        <v>3067227</v>
      </c>
      <c r="P794" s="7">
        <f>+Tabla3[[#This Row],[Precio unit]]*Tabla3[[#This Row],[Cant pendiente]]</f>
        <v>3067227</v>
      </c>
      <c r="Q794" s="16">
        <f>+IF(IFERROR(VLOOKUP(Tabla3[[#This Row],[Cliente factura]],Tabla4[[NIT]:[TOTAL CREDITO]],3,FALSE),0)="",0,IFERROR(VLOOKUP(Tabla3[[#This Row],[Cliente factura]],Tabla4[[NIT]:[TOTAL CREDITO]],3,FALSE),0))</f>
        <v>5189000</v>
      </c>
      <c r="R794" s="9">
        <f>+IFERROR(VLOOKUP(Tabla3[[#This Row],[Cliente factura]],Tabla4[[NIT]:[TOTAL CREDITO]],6,FALSE),0)</f>
        <v>159000000</v>
      </c>
      <c r="S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4" s="10" t="str">
        <f>VLOOKUP(Tabla3[[#This Row],[Razón social cliente factura]]&amp;Tabla3[[#This Row],[Desc. ciudad]],'Estandar de Rutas'!$C$1:$E$553,2,FALSE)</f>
        <v>4.1.B</v>
      </c>
      <c r="U794" s="130">
        <f>IFERROR(VLOOKUP(Tabla3[[#This Row],[Referencia]]&amp;Tabla3[[#This Row],[Desc detalle ext 1]],Tabla1[[Referencia-Color]:[Disponibilidad]],3,FALSE),0)</f>
        <v>0</v>
      </c>
      <c r="V794" s="13"/>
      <c r="W794" s="17">
        <f>+Tabla3[[#This Row],[Cant. Programada]]*Tabla3[[#This Row],[Precio unit]]</f>
        <v>0</v>
      </c>
      <c r="X794" s="8"/>
      <c r="Y794" s="8"/>
      <c r="Z794" s="8" t="str">
        <f>+Tabla3[[#This Row],[Referencia]]&amp;Tabla3[[#This Row],[Desc detalle ext 1]]</f>
        <v>DREAM  NEO                                        NEGRO ROJ</v>
      </c>
      <c r="AA794" s="128" t="e">
        <f>+VLOOKUP(Tabla3[[#This Row],[CODIGO2]],ESTANDAR!$B$3:$C$9,2,FALSE)</f>
        <v>#N/A</v>
      </c>
      <c r="AB794" s="128" t="str">
        <f>+MID(Tabla3[[#This Row],['# Viaje]],10,1)</f>
        <v/>
      </c>
    </row>
    <row r="795" spans="1:28" ht="15" hidden="1" customHeight="1">
      <c r="A795" s="173" t="s">
        <v>1618</v>
      </c>
      <c r="B795" s="174">
        <v>42948</v>
      </c>
      <c r="C795" s="173" t="s">
        <v>1477</v>
      </c>
      <c r="D795" s="173" t="s">
        <v>1487</v>
      </c>
      <c r="E795" s="173" t="s">
        <v>1479</v>
      </c>
      <c r="F795" s="173">
        <v>1</v>
      </c>
      <c r="G795" s="173" t="s">
        <v>262</v>
      </c>
      <c r="H795" s="173">
        <v>1</v>
      </c>
      <c r="I795" s="173" t="s">
        <v>262</v>
      </c>
      <c r="J795" s="173" t="s">
        <v>1451</v>
      </c>
      <c r="K795" s="173" t="s">
        <v>1452</v>
      </c>
      <c r="L795" s="173"/>
      <c r="M795" s="173" t="s">
        <v>263</v>
      </c>
      <c r="N795" s="173">
        <v>8357438</v>
      </c>
      <c r="O795" s="175">
        <v>3696639</v>
      </c>
      <c r="P795" s="7">
        <f>+Tabla3[[#This Row],[Precio unit]]*Tabla3[[#This Row],[Cant pendiente]]</f>
        <v>3696639</v>
      </c>
      <c r="Q795" s="16">
        <f>+IF(IFERROR(VLOOKUP(Tabla3[[#This Row],[Cliente factura]],Tabla4[[NIT]:[TOTAL CREDITO]],3,FALSE),0)="",0,IFERROR(VLOOKUP(Tabla3[[#This Row],[Cliente factura]],Tabla4[[NIT]:[TOTAL CREDITO]],3,FALSE),0))</f>
        <v>5189000</v>
      </c>
      <c r="R795" s="9">
        <f>+IFERROR(VLOOKUP(Tabla3[[#This Row],[Cliente factura]],Tabla4[[NIT]:[TOTAL CREDITO]],6,FALSE),0)</f>
        <v>159000000</v>
      </c>
      <c r="S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5" s="10" t="str">
        <f>VLOOKUP(Tabla3[[#This Row],[Razón social cliente factura]]&amp;Tabla3[[#This Row],[Desc. ciudad]],'Estandar de Rutas'!$C$1:$E$553,2,FALSE)</f>
        <v>4.1.B</v>
      </c>
      <c r="U795" s="130">
        <f>IFERROR(VLOOKUP(Tabla3[[#This Row],[Referencia]]&amp;Tabla3[[#This Row],[Desc detalle ext 1]],Tabla1[[Referencia-Color]:[Disponibilidad]],3,FALSE),0)</f>
        <v>21</v>
      </c>
      <c r="V795" s="13"/>
      <c r="W795" s="17">
        <f>+Tabla3[[#This Row],[Cant. Programada]]*Tabla3[[#This Row],[Precio unit]]</f>
        <v>0</v>
      </c>
      <c r="X795" s="129"/>
      <c r="Y795" s="8"/>
      <c r="Z795" s="8" t="str">
        <f>+Tabla3[[#This Row],[Referencia]]&amp;Tabla3[[#This Row],[Desc detalle ext 1]]</f>
        <v xml:space="preserve">CB 110 DLX                                        AZUL     </v>
      </c>
      <c r="AA795" s="128" t="e">
        <f>+VLOOKUP(Tabla3[[#This Row],[CODIGO2]],ESTANDAR!$B$3:$C$9,2,FALSE)</f>
        <v>#N/A</v>
      </c>
      <c r="AB795" s="128" t="str">
        <f>+MID(Tabla3[[#This Row],['# Viaje]],10,1)</f>
        <v/>
      </c>
    </row>
    <row r="796" spans="1:28" ht="15" hidden="1" customHeight="1">
      <c r="A796" s="173" t="s">
        <v>1618</v>
      </c>
      <c r="B796" s="174">
        <v>42948</v>
      </c>
      <c r="C796" s="173" t="s">
        <v>1477</v>
      </c>
      <c r="D796" s="173" t="s">
        <v>1487</v>
      </c>
      <c r="E796" s="173" t="s">
        <v>1479</v>
      </c>
      <c r="F796" s="173">
        <v>1</v>
      </c>
      <c r="G796" s="173" t="s">
        <v>262</v>
      </c>
      <c r="H796" s="173">
        <v>1</v>
      </c>
      <c r="I796" s="173" t="s">
        <v>262</v>
      </c>
      <c r="J796" s="173" t="s">
        <v>1451</v>
      </c>
      <c r="K796" s="173" t="s">
        <v>16</v>
      </c>
      <c r="L796" s="173"/>
      <c r="M796" s="173" t="s">
        <v>263</v>
      </c>
      <c r="N796" s="173">
        <v>8357438</v>
      </c>
      <c r="O796" s="175">
        <v>3696639</v>
      </c>
      <c r="P796" s="7">
        <f>+Tabla3[[#This Row],[Precio unit]]*Tabla3[[#This Row],[Cant pendiente]]</f>
        <v>3696639</v>
      </c>
      <c r="Q796" s="16">
        <f>+IF(IFERROR(VLOOKUP(Tabla3[[#This Row],[Cliente factura]],Tabla4[[NIT]:[TOTAL CREDITO]],3,FALSE),0)="",0,IFERROR(VLOOKUP(Tabla3[[#This Row],[Cliente factura]],Tabla4[[NIT]:[TOTAL CREDITO]],3,FALSE),0))</f>
        <v>5189000</v>
      </c>
      <c r="R796" s="9">
        <f>+IFERROR(VLOOKUP(Tabla3[[#This Row],[Cliente factura]],Tabla4[[NIT]:[TOTAL CREDITO]],6,FALSE),0)</f>
        <v>159000000</v>
      </c>
      <c r="S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6" s="10" t="str">
        <f>VLOOKUP(Tabla3[[#This Row],[Razón social cliente factura]]&amp;Tabla3[[#This Row],[Desc. ciudad]],'Estandar de Rutas'!$C$1:$E$553,2,FALSE)</f>
        <v>4.1.B</v>
      </c>
      <c r="U796" s="130">
        <f>IFERROR(VLOOKUP(Tabla3[[#This Row],[Referencia]]&amp;Tabla3[[#This Row],[Desc detalle ext 1]],Tabla1[[Referencia-Color]:[Disponibilidad]],3,FALSE),0)</f>
        <v>3</v>
      </c>
      <c r="V796" s="13"/>
      <c r="W796" s="17">
        <f>+Tabla3[[#This Row],[Cant. Programada]]*Tabla3[[#This Row],[Precio unit]]</f>
        <v>0</v>
      </c>
      <c r="X796" s="129"/>
      <c r="Y796" s="8"/>
      <c r="Z796" s="8" t="str">
        <f>+Tabla3[[#This Row],[Referencia]]&amp;Tabla3[[#This Row],[Desc detalle ext 1]]</f>
        <v xml:space="preserve">CB 110 DLX                                        NEGRO    </v>
      </c>
      <c r="AA796" s="128" t="e">
        <f>+VLOOKUP(Tabla3[[#This Row],[CODIGO2]],ESTANDAR!$B$3:$C$9,2,FALSE)</f>
        <v>#N/A</v>
      </c>
      <c r="AB796" s="128" t="str">
        <f>+MID(Tabla3[[#This Row],['# Viaje]],10,1)</f>
        <v/>
      </c>
    </row>
    <row r="797" spans="1:28" hidden="1">
      <c r="A797" s="173" t="s">
        <v>1619</v>
      </c>
      <c r="B797" s="174">
        <v>42948</v>
      </c>
      <c r="C797" s="173" t="s">
        <v>1231</v>
      </c>
      <c r="D797" s="173" t="s">
        <v>1487</v>
      </c>
      <c r="E797" s="173" t="s">
        <v>1479</v>
      </c>
      <c r="F797" s="173">
        <v>1</v>
      </c>
      <c r="G797" s="173" t="s">
        <v>159</v>
      </c>
      <c r="H797" s="173">
        <v>1</v>
      </c>
      <c r="I797" s="173" t="s">
        <v>159</v>
      </c>
      <c r="J797" s="173" t="s">
        <v>27</v>
      </c>
      <c r="K797" s="173" t="s">
        <v>32</v>
      </c>
      <c r="L797" s="173"/>
      <c r="M797" s="173" t="s">
        <v>128</v>
      </c>
      <c r="N797" s="173">
        <v>900521663</v>
      </c>
      <c r="O797" s="175">
        <v>5789916</v>
      </c>
      <c r="P797" s="7">
        <f>+Tabla3[[#This Row],[Precio unit]]*Tabla3[[#This Row],[Cant pendiente]]</f>
        <v>5789916</v>
      </c>
      <c r="Q797" s="16">
        <f>+IF(IFERROR(VLOOKUP(Tabla3[[#This Row],[Cliente factura]],Tabla4[[NIT]:[TOTAL CREDITO]],3,FALSE),0)="",0,IFERROR(VLOOKUP(Tabla3[[#This Row],[Cliente factura]],Tabla4[[NIT]:[TOTAL CREDITO]],3,FALSE),0))</f>
        <v>20554809</v>
      </c>
      <c r="R797" s="9">
        <f>+IFERROR(VLOOKUP(Tabla3[[#This Row],[Cliente factura]],Tabla4[[NIT]:[TOTAL CREDITO]],6,FALSE),0)</f>
        <v>0</v>
      </c>
      <c r="S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7" s="10" t="str">
        <f>VLOOKUP(Tabla3[[#This Row],[Razón social cliente factura]]&amp;Tabla3[[#This Row],[Desc. ciudad]],'Estandar de Rutas'!$C$1:$E$553,2,FALSE)</f>
        <v>8.2.A</v>
      </c>
      <c r="U797" s="130">
        <f>IFERROR(VLOOKUP(Tabla3[[#This Row],[Referencia]]&amp;Tabla3[[#This Row],[Desc detalle ext 1]],Tabla1[[Referencia-Color]:[Disponibilidad]],3,FALSE),0)</f>
        <v>7</v>
      </c>
      <c r="V797" s="13"/>
      <c r="W797" s="17">
        <f>+Tabla3[[#This Row],[Cant. Programada]]*Tabla3[[#This Row],[Precio unit]]</f>
        <v>0</v>
      </c>
      <c r="X797" s="8"/>
      <c r="Y797" s="8"/>
      <c r="Z797" s="8" t="str">
        <f>+Tabla3[[#This Row],[Referencia]]&amp;Tabla3[[#This Row],[Desc detalle ext 1]]</f>
        <v>*XR 150L                                          NEGRO ROJ</v>
      </c>
      <c r="AA797" s="128" t="e">
        <f>+VLOOKUP(Tabla3[[#This Row],[CODIGO2]],ESTANDAR!$B$3:$C$9,2,FALSE)</f>
        <v>#N/A</v>
      </c>
      <c r="AB797" s="128" t="str">
        <f>+MID(Tabla3[[#This Row],['# Viaje]],10,1)</f>
        <v/>
      </c>
    </row>
    <row r="798" spans="1:28" ht="15" hidden="1" customHeight="1">
      <c r="A798" s="173" t="s">
        <v>1619</v>
      </c>
      <c r="B798" s="174">
        <v>42948</v>
      </c>
      <c r="C798" s="173" t="s">
        <v>1231</v>
      </c>
      <c r="D798" s="173" t="s">
        <v>1487</v>
      </c>
      <c r="E798" s="173" t="s">
        <v>1479</v>
      </c>
      <c r="F798" s="173">
        <v>1</v>
      </c>
      <c r="G798" s="173" t="s">
        <v>159</v>
      </c>
      <c r="H798" s="173">
        <v>1</v>
      </c>
      <c r="I798" s="173" t="s">
        <v>159</v>
      </c>
      <c r="J798" s="173" t="s">
        <v>27</v>
      </c>
      <c r="K798" s="173" t="s">
        <v>26</v>
      </c>
      <c r="L798" s="173"/>
      <c r="M798" s="173" t="s">
        <v>128</v>
      </c>
      <c r="N798" s="173">
        <v>900521663</v>
      </c>
      <c r="O798" s="175">
        <v>5789916</v>
      </c>
      <c r="P798" s="7">
        <f>+Tabla3[[#This Row],[Precio unit]]*Tabla3[[#This Row],[Cant pendiente]]</f>
        <v>5789916</v>
      </c>
      <c r="Q798" s="16">
        <f>+IF(IFERROR(VLOOKUP(Tabla3[[#This Row],[Cliente factura]],Tabla4[[NIT]:[TOTAL CREDITO]],3,FALSE),0)="",0,IFERROR(VLOOKUP(Tabla3[[#This Row],[Cliente factura]],Tabla4[[NIT]:[TOTAL CREDITO]],3,FALSE),0))</f>
        <v>20554809</v>
      </c>
      <c r="R798" s="9">
        <f>+IFERROR(VLOOKUP(Tabla3[[#This Row],[Cliente factura]],Tabla4[[NIT]:[TOTAL CREDITO]],6,FALSE),0)</f>
        <v>0</v>
      </c>
      <c r="S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8" s="10" t="str">
        <f>VLOOKUP(Tabla3[[#This Row],[Razón social cliente factura]]&amp;Tabla3[[#This Row],[Desc. ciudad]],'Estandar de Rutas'!$C$1:$E$553,2,FALSE)</f>
        <v>8.2.A</v>
      </c>
      <c r="U798" s="130">
        <f>IFERROR(VLOOKUP(Tabla3[[#This Row],[Referencia]]&amp;Tabla3[[#This Row],[Desc detalle ext 1]],Tabla1[[Referencia-Color]:[Disponibilidad]],3,FALSE),0)</f>
        <v>59</v>
      </c>
      <c r="V798" s="13"/>
      <c r="W798" s="17">
        <f>+Tabla3[[#This Row],[Cant. Programada]]*Tabla3[[#This Row],[Precio unit]]</f>
        <v>0</v>
      </c>
      <c r="X798" s="8"/>
      <c r="Y798" s="8"/>
      <c r="Z798" s="8" t="str">
        <f>+Tabla3[[#This Row],[Referencia]]&amp;Tabla3[[#This Row],[Desc detalle ext 1]]</f>
        <v>*XR 150L                                          NEGRO BLA</v>
      </c>
      <c r="AA798" s="128" t="e">
        <f>+VLOOKUP(Tabla3[[#This Row],[CODIGO2]],ESTANDAR!$B$3:$C$9,2,FALSE)</f>
        <v>#N/A</v>
      </c>
      <c r="AB798" s="128" t="str">
        <f>+MID(Tabla3[[#This Row],['# Viaje]],10,1)</f>
        <v/>
      </c>
    </row>
    <row r="799" spans="1:28" hidden="1">
      <c r="A799" s="173" t="s">
        <v>1619</v>
      </c>
      <c r="B799" s="174">
        <v>42948</v>
      </c>
      <c r="C799" s="173" t="s">
        <v>1231</v>
      </c>
      <c r="D799" s="173" t="s">
        <v>1487</v>
      </c>
      <c r="E799" s="173" t="s">
        <v>1479</v>
      </c>
      <c r="F799" s="173">
        <v>1</v>
      </c>
      <c r="G799" s="173" t="s">
        <v>159</v>
      </c>
      <c r="H799" s="173">
        <v>1</v>
      </c>
      <c r="I799" s="173" t="s">
        <v>159</v>
      </c>
      <c r="J799" s="173" t="s">
        <v>27</v>
      </c>
      <c r="K799" s="173" t="s">
        <v>16</v>
      </c>
      <c r="L799" s="173"/>
      <c r="M799" s="173" t="s">
        <v>128</v>
      </c>
      <c r="N799" s="173">
        <v>900521663</v>
      </c>
      <c r="O799" s="175">
        <v>5789916</v>
      </c>
      <c r="P799" s="7">
        <f>+Tabla3[[#This Row],[Precio unit]]*Tabla3[[#This Row],[Cant pendiente]]</f>
        <v>5789916</v>
      </c>
      <c r="Q799" s="16">
        <f>+IF(IFERROR(VLOOKUP(Tabla3[[#This Row],[Cliente factura]],Tabla4[[NIT]:[TOTAL CREDITO]],3,FALSE),0)="",0,IFERROR(VLOOKUP(Tabla3[[#This Row],[Cliente factura]],Tabla4[[NIT]:[TOTAL CREDITO]],3,FALSE),0))</f>
        <v>20554809</v>
      </c>
      <c r="R799" s="9">
        <f>+IFERROR(VLOOKUP(Tabla3[[#This Row],[Cliente factura]],Tabla4[[NIT]:[TOTAL CREDITO]],6,FALSE),0)</f>
        <v>0</v>
      </c>
      <c r="S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9" s="10" t="str">
        <f>VLOOKUP(Tabla3[[#This Row],[Razón social cliente factura]]&amp;Tabla3[[#This Row],[Desc. ciudad]],'Estandar de Rutas'!$C$1:$E$553,2,FALSE)</f>
        <v>8.2.A</v>
      </c>
      <c r="U799" s="130">
        <f>IFERROR(VLOOKUP(Tabla3[[#This Row],[Referencia]]&amp;Tabla3[[#This Row],[Desc detalle ext 1]],Tabla1[[Referencia-Color]:[Disponibilidad]],3,FALSE),0)</f>
        <v>3</v>
      </c>
      <c r="V799" s="13"/>
      <c r="W799" s="17">
        <f>+Tabla3[[#This Row],[Cant. Programada]]*Tabla3[[#This Row],[Precio unit]]</f>
        <v>0</v>
      </c>
      <c r="X799" s="8"/>
      <c r="Y799" s="8"/>
      <c r="Z799" s="8" t="str">
        <f>+Tabla3[[#This Row],[Referencia]]&amp;Tabla3[[#This Row],[Desc detalle ext 1]]</f>
        <v xml:space="preserve">*XR 150L                                          NEGRO    </v>
      </c>
      <c r="AA799" s="128" t="e">
        <f>+VLOOKUP(Tabla3[[#This Row],[CODIGO2]],ESTANDAR!$B$3:$C$9,2,FALSE)</f>
        <v>#N/A</v>
      </c>
      <c r="AB799" s="128" t="str">
        <f>+MID(Tabla3[[#This Row],['# Viaje]],10,1)</f>
        <v/>
      </c>
    </row>
    <row r="800" spans="1:28" ht="15" hidden="1" customHeight="1">
      <c r="A800" s="173" t="s">
        <v>1619</v>
      </c>
      <c r="B800" s="174">
        <v>42948</v>
      </c>
      <c r="C800" s="173" t="s">
        <v>1231</v>
      </c>
      <c r="D800" s="173" t="s">
        <v>1487</v>
      </c>
      <c r="E800" s="173" t="s">
        <v>1479</v>
      </c>
      <c r="F800" s="173">
        <v>1</v>
      </c>
      <c r="G800" s="173" t="s">
        <v>159</v>
      </c>
      <c r="H800" s="173">
        <v>1</v>
      </c>
      <c r="I800" s="173" t="s">
        <v>159</v>
      </c>
      <c r="J800" s="173" t="s">
        <v>354</v>
      </c>
      <c r="K800" s="173" t="s">
        <v>474</v>
      </c>
      <c r="L800" s="173"/>
      <c r="M800" s="173" t="s">
        <v>128</v>
      </c>
      <c r="N800" s="173">
        <v>900521663</v>
      </c>
      <c r="O800" s="175">
        <v>6133613</v>
      </c>
      <c r="P800" s="7">
        <f>+Tabla3[[#This Row],[Precio unit]]*Tabla3[[#This Row],[Cant pendiente]]</f>
        <v>6133613</v>
      </c>
      <c r="Q800" s="16">
        <f>+IF(IFERROR(VLOOKUP(Tabla3[[#This Row],[Cliente factura]],Tabla4[[NIT]:[TOTAL CREDITO]],3,FALSE),0)="",0,IFERROR(VLOOKUP(Tabla3[[#This Row],[Cliente factura]],Tabla4[[NIT]:[TOTAL CREDITO]],3,FALSE),0))</f>
        <v>20554809</v>
      </c>
      <c r="R800" s="9">
        <f>+IFERROR(VLOOKUP(Tabla3[[#This Row],[Cliente factura]],Tabla4[[NIT]:[TOTAL CREDITO]],6,FALSE),0)</f>
        <v>0</v>
      </c>
      <c r="S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0" s="10" t="str">
        <f>VLOOKUP(Tabla3[[#This Row],[Razón social cliente factura]]&amp;Tabla3[[#This Row],[Desc. ciudad]],'Estandar de Rutas'!$C$1:$E$553,2,FALSE)</f>
        <v>8.2.A</v>
      </c>
      <c r="U800" s="130">
        <f>IFERROR(VLOOKUP(Tabla3[[#This Row],[Referencia]]&amp;Tabla3[[#This Row],[Desc detalle ext 1]],Tabla1[[Referencia-Color]:[Disponibilidad]],3,FALSE),0)</f>
        <v>3</v>
      </c>
      <c r="V800" s="13"/>
      <c r="W800" s="17">
        <f>+Tabla3[[#This Row],[Cant. Programada]]*Tabla3[[#This Row],[Precio unit]]</f>
        <v>0</v>
      </c>
      <c r="X800" s="129"/>
      <c r="Y800" s="8"/>
      <c r="Z800" s="8" t="str">
        <f>+Tabla3[[#This Row],[Referencia]]&amp;Tabla3[[#This Row],[Desc detalle ext 1]]</f>
        <v>CB 160F DLX                                       NARANJA N</v>
      </c>
      <c r="AA800" s="128" t="e">
        <f>+VLOOKUP(Tabla3[[#This Row],[CODIGO2]],ESTANDAR!$B$3:$C$9,2,FALSE)</f>
        <v>#N/A</v>
      </c>
      <c r="AB800" s="128" t="str">
        <f>+MID(Tabla3[[#This Row],['# Viaje]],10,1)</f>
        <v/>
      </c>
    </row>
    <row r="801" spans="1:28" ht="15" hidden="1" customHeight="1">
      <c r="A801" s="173" t="s">
        <v>1619</v>
      </c>
      <c r="B801" s="174">
        <v>42948</v>
      </c>
      <c r="C801" s="173" t="s">
        <v>1231</v>
      </c>
      <c r="D801" s="173" t="s">
        <v>1487</v>
      </c>
      <c r="E801" s="173" t="s">
        <v>1479</v>
      </c>
      <c r="F801" s="173">
        <v>1</v>
      </c>
      <c r="G801" s="173" t="s">
        <v>159</v>
      </c>
      <c r="H801" s="173">
        <v>1</v>
      </c>
      <c r="I801" s="173" t="s">
        <v>159</v>
      </c>
      <c r="J801" s="173" t="s">
        <v>354</v>
      </c>
      <c r="K801" s="173" t="s">
        <v>17</v>
      </c>
      <c r="L801" s="173"/>
      <c r="M801" s="173" t="s">
        <v>128</v>
      </c>
      <c r="N801" s="173">
        <v>900521663</v>
      </c>
      <c r="O801" s="175">
        <v>6133613</v>
      </c>
      <c r="P801" s="7">
        <f>+Tabla3[[#This Row],[Precio unit]]*Tabla3[[#This Row],[Cant pendiente]]</f>
        <v>6133613</v>
      </c>
      <c r="Q801" s="16">
        <f>+IF(IFERROR(VLOOKUP(Tabla3[[#This Row],[Cliente factura]],Tabla4[[NIT]:[TOTAL CREDITO]],3,FALSE),0)="",0,IFERROR(VLOOKUP(Tabla3[[#This Row],[Cliente factura]],Tabla4[[NIT]:[TOTAL CREDITO]],3,FALSE),0))</f>
        <v>20554809</v>
      </c>
      <c r="R801" s="9">
        <f>+IFERROR(VLOOKUP(Tabla3[[#This Row],[Cliente factura]],Tabla4[[NIT]:[TOTAL CREDITO]],6,FALSE),0)</f>
        <v>0</v>
      </c>
      <c r="S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1" s="10" t="str">
        <f>VLOOKUP(Tabla3[[#This Row],[Razón social cliente factura]]&amp;Tabla3[[#This Row],[Desc. ciudad]],'Estandar de Rutas'!$C$1:$E$553,2,FALSE)</f>
        <v>8.2.A</v>
      </c>
      <c r="U801" s="130">
        <f>IFERROR(VLOOKUP(Tabla3[[#This Row],[Referencia]]&amp;Tabla3[[#This Row],[Desc detalle ext 1]],Tabla1[[Referencia-Color]:[Disponibilidad]],3,FALSE),0)</f>
        <v>48</v>
      </c>
      <c r="V801" s="13"/>
      <c r="W801" s="17">
        <f>+Tabla3[[#This Row],[Cant. Programada]]*Tabla3[[#This Row],[Precio unit]]</f>
        <v>0</v>
      </c>
      <c r="X801" s="8"/>
      <c r="Y801" s="8"/>
      <c r="Z801" s="8" t="str">
        <f>+Tabla3[[#This Row],[Referencia]]&amp;Tabla3[[#This Row],[Desc detalle ext 1]]</f>
        <v>CB 160F DLX                                       ROJO SPOR</v>
      </c>
      <c r="AA801" s="128" t="e">
        <f>+VLOOKUP(Tabla3[[#This Row],[CODIGO2]],ESTANDAR!$B$3:$C$9,2,FALSE)</f>
        <v>#N/A</v>
      </c>
      <c r="AB801" s="128" t="str">
        <f>+MID(Tabla3[[#This Row],['# Viaje]],10,1)</f>
        <v/>
      </c>
    </row>
    <row r="802" spans="1:28" ht="15" hidden="1" customHeight="1">
      <c r="A802" s="173" t="s">
        <v>1619</v>
      </c>
      <c r="B802" s="174">
        <v>42948</v>
      </c>
      <c r="C802" s="173" t="s">
        <v>1231</v>
      </c>
      <c r="D802" s="173" t="s">
        <v>1487</v>
      </c>
      <c r="E802" s="173" t="s">
        <v>1479</v>
      </c>
      <c r="F802" s="173">
        <v>1</v>
      </c>
      <c r="G802" s="173" t="s">
        <v>159</v>
      </c>
      <c r="H802" s="173">
        <v>1</v>
      </c>
      <c r="I802" s="173" t="s">
        <v>159</v>
      </c>
      <c r="J802" s="173" t="s">
        <v>354</v>
      </c>
      <c r="K802" s="173" t="s">
        <v>355</v>
      </c>
      <c r="L802" s="173"/>
      <c r="M802" s="173" t="s">
        <v>128</v>
      </c>
      <c r="N802" s="173">
        <v>900521663</v>
      </c>
      <c r="O802" s="175">
        <v>6133613</v>
      </c>
      <c r="P802" s="7">
        <f>+Tabla3[[#This Row],[Precio unit]]*Tabla3[[#This Row],[Cant pendiente]]</f>
        <v>6133613</v>
      </c>
      <c r="Q802" s="16">
        <f>+IF(IFERROR(VLOOKUP(Tabla3[[#This Row],[Cliente factura]],Tabla4[[NIT]:[TOTAL CREDITO]],3,FALSE),0)="",0,IFERROR(VLOOKUP(Tabla3[[#This Row],[Cliente factura]],Tabla4[[NIT]:[TOTAL CREDITO]],3,FALSE),0))</f>
        <v>20554809</v>
      </c>
      <c r="R802" s="9">
        <f>+IFERROR(VLOOKUP(Tabla3[[#This Row],[Cliente factura]],Tabla4[[NIT]:[TOTAL CREDITO]],6,FALSE),0)</f>
        <v>0</v>
      </c>
      <c r="S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2" s="10" t="str">
        <f>VLOOKUP(Tabla3[[#This Row],[Razón social cliente factura]]&amp;Tabla3[[#This Row],[Desc. ciudad]],'Estandar de Rutas'!$C$1:$E$553,2,FALSE)</f>
        <v>8.2.A</v>
      </c>
      <c r="U802" s="130">
        <f>IFERROR(VLOOKUP(Tabla3[[#This Row],[Referencia]]&amp;Tabla3[[#This Row],[Desc detalle ext 1]],Tabla1[[Referencia-Color]:[Disponibilidad]],3,FALSE),0)</f>
        <v>0</v>
      </c>
      <c r="V802" s="13"/>
      <c r="W802" s="17">
        <f>+Tabla3[[#This Row],[Cant. Programada]]*Tabla3[[#This Row],[Precio unit]]</f>
        <v>0</v>
      </c>
      <c r="X802" s="8"/>
      <c r="Y802" s="8"/>
      <c r="Z802" s="8" t="str">
        <f>+Tabla3[[#This Row],[Referencia]]&amp;Tabla3[[#This Row],[Desc detalle ext 1]]</f>
        <v>CB 160F DLX                                       NEGRO PER</v>
      </c>
      <c r="AA802" s="128" t="e">
        <f>+VLOOKUP(Tabla3[[#This Row],[CODIGO2]],ESTANDAR!$B$3:$C$9,2,FALSE)</f>
        <v>#N/A</v>
      </c>
      <c r="AB802" s="128" t="str">
        <f>+MID(Tabla3[[#This Row],['# Viaje]],10,1)</f>
        <v/>
      </c>
    </row>
    <row r="803" spans="1:28" ht="15" hidden="1" customHeight="1">
      <c r="A803" s="173" t="s">
        <v>1619</v>
      </c>
      <c r="B803" s="174">
        <v>42948</v>
      </c>
      <c r="C803" s="173" t="s">
        <v>1231</v>
      </c>
      <c r="D803" s="173" t="s">
        <v>1487</v>
      </c>
      <c r="E803" s="173" t="s">
        <v>1479</v>
      </c>
      <c r="F803" s="173">
        <v>1</v>
      </c>
      <c r="G803" s="173" t="s">
        <v>159</v>
      </c>
      <c r="H803" s="173">
        <v>1</v>
      </c>
      <c r="I803" s="173" t="s">
        <v>159</v>
      </c>
      <c r="J803" s="173" t="s">
        <v>1430</v>
      </c>
      <c r="K803" s="173" t="s">
        <v>16</v>
      </c>
      <c r="L803" s="173"/>
      <c r="M803" s="173" t="s">
        <v>128</v>
      </c>
      <c r="N803" s="173">
        <v>900521663</v>
      </c>
      <c r="O803" s="175">
        <v>3941176</v>
      </c>
      <c r="P803" s="7">
        <f>+Tabla3[[#This Row],[Precio unit]]*Tabla3[[#This Row],[Cant pendiente]]</f>
        <v>3941176</v>
      </c>
      <c r="Q803" s="16">
        <f>+IF(IFERROR(VLOOKUP(Tabla3[[#This Row],[Cliente factura]],Tabla4[[NIT]:[TOTAL CREDITO]],3,FALSE),0)="",0,IFERROR(VLOOKUP(Tabla3[[#This Row],[Cliente factura]],Tabla4[[NIT]:[TOTAL CREDITO]],3,FALSE),0))</f>
        <v>20554809</v>
      </c>
      <c r="R803" s="9">
        <f>+IFERROR(VLOOKUP(Tabla3[[#This Row],[Cliente factura]],Tabla4[[NIT]:[TOTAL CREDITO]],6,FALSE),0)</f>
        <v>0</v>
      </c>
      <c r="S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3" s="10" t="str">
        <f>VLOOKUP(Tabla3[[#This Row],[Razón social cliente factura]]&amp;Tabla3[[#This Row],[Desc. ciudad]],'Estandar de Rutas'!$C$1:$E$553,2,FALSE)</f>
        <v>8.2.A</v>
      </c>
      <c r="U803" s="130">
        <f>IFERROR(VLOOKUP(Tabla3[[#This Row],[Referencia]]&amp;Tabla3[[#This Row],[Desc detalle ext 1]],Tabla1[[Referencia-Color]:[Disponibilidad]],3,FALSE),0)</f>
        <v>0</v>
      </c>
      <c r="V803" s="13"/>
      <c r="W803" s="17">
        <f>+Tabla3[[#This Row],[Cant. Programada]]*Tabla3[[#This Row],[Precio unit]]</f>
        <v>0</v>
      </c>
      <c r="X803" s="8"/>
      <c r="Y803" s="8"/>
      <c r="Z803" s="8" t="str">
        <f>+Tabla3[[#This Row],[Referencia]]&amp;Tabla3[[#This Row],[Desc detalle ext 1]]</f>
        <v xml:space="preserve">WAVE 110S                                         NEGRO    </v>
      </c>
      <c r="AA803" s="128" t="e">
        <f>+VLOOKUP(Tabla3[[#This Row],[CODIGO2]],ESTANDAR!$B$3:$C$9,2,FALSE)</f>
        <v>#N/A</v>
      </c>
      <c r="AB803" s="128" t="str">
        <f>+MID(Tabla3[[#This Row],['# Viaje]],10,1)</f>
        <v/>
      </c>
    </row>
    <row r="804" spans="1:28" ht="15" hidden="1" customHeight="1">
      <c r="A804" s="173" t="s">
        <v>1619</v>
      </c>
      <c r="B804" s="174">
        <v>42948</v>
      </c>
      <c r="C804" s="173" t="s">
        <v>1231</v>
      </c>
      <c r="D804" s="173" t="s">
        <v>1487</v>
      </c>
      <c r="E804" s="173" t="s">
        <v>1479</v>
      </c>
      <c r="F804" s="173">
        <v>1</v>
      </c>
      <c r="G804" s="173" t="s">
        <v>159</v>
      </c>
      <c r="H804" s="173">
        <v>1</v>
      </c>
      <c r="I804" s="173" t="s">
        <v>159</v>
      </c>
      <c r="J804" s="173" t="s">
        <v>1451</v>
      </c>
      <c r="K804" s="173" t="s">
        <v>16</v>
      </c>
      <c r="L804" s="173"/>
      <c r="M804" s="173" t="s">
        <v>128</v>
      </c>
      <c r="N804" s="173">
        <v>900521663</v>
      </c>
      <c r="O804" s="175">
        <v>3696639</v>
      </c>
      <c r="P804" s="7">
        <f>+Tabla3[[#This Row],[Precio unit]]*Tabla3[[#This Row],[Cant pendiente]]</f>
        <v>3696639</v>
      </c>
      <c r="Q804" s="16">
        <f>+IF(IFERROR(VLOOKUP(Tabla3[[#This Row],[Cliente factura]],Tabla4[[NIT]:[TOTAL CREDITO]],3,FALSE),0)="",0,IFERROR(VLOOKUP(Tabla3[[#This Row],[Cliente factura]],Tabla4[[NIT]:[TOTAL CREDITO]],3,FALSE),0))</f>
        <v>20554809</v>
      </c>
      <c r="R804" s="9">
        <f>+IFERROR(VLOOKUP(Tabla3[[#This Row],[Cliente factura]],Tabla4[[NIT]:[TOTAL CREDITO]],6,FALSE),0)</f>
        <v>0</v>
      </c>
      <c r="S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4" s="10" t="str">
        <f>VLOOKUP(Tabla3[[#This Row],[Razón social cliente factura]]&amp;Tabla3[[#This Row],[Desc. ciudad]],'Estandar de Rutas'!$C$1:$E$553,2,FALSE)</f>
        <v>8.2.A</v>
      </c>
      <c r="U804" s="130">
        <f>IFERROR(VLOOKUP(Tabla3[[#This Row],[Referencia]]&amp;Tabla3[[#This Row],[Desc detalle ext 1]],Tabla1[[Referencia-Color]:[Disponibilidad]],3,FALSE),0)</f>
        <v>3</v>
      </c>
      <c r="V804" s="13"/>
      <c r="W804" s="17">
        <f>+Tabla3[[#This Row],[Cant. Programada]]*Tabla3[[#This Row],[Precio unit]]</f>
        <v>0</v>
      </c>
      <c r="X804" s="129"/>
      <c r="Y804" s="8"/>
      <c r="Z804" s="8" t="str">
        <f>+Tabla3[[#This Row],[Referencia]]&amp;Tabla3[[#This Row],[Desc detalle ext 1]]</f>
        <v xml:space="preserve">CB 110 DLX                                        NEGRO    </v>
      </c>
      <c r="AA804" s="128" t="e">
        <f>+VLOOKUP(Tabla3[[#This Row],[CODIGO2]],ESTANDAR!$B$3:$C$9,2,FALSE)</f>
        <v>#N/A</v>
      </c>
      <c r="AB804" s="128" t="str">
        <f>+MID(Tabla3[[#This Row],['# Viaje]],10,1)</f>
        <v/>
      </c>
    </row>
    <row r="805" spans="1:28" ht="15" hidden="1" customHeight="1">
      <c r="A805" s="173" t="s">
        <v>1620</v>
      </c>
      <c r="B805" s="174">
        <v>42948</v>
      </c>
      <c r="C805" s="173" t="s">
        <v>1477</v>
      </c>
      <c r="D805" s="173" t="s">
        <v>1487</v>
      </c>
      <c r="E805" s="173" t="s">
        <v>1479</v>
      </c>
      <c r="F805" s="173">
        <v>1</v>
      </c>
      <c r="G805" s="173" t="s">
        <v>241</v>
      </c>
      <c r="H805" s="173">
        <v>1</v>
      </c>
      <c r="I805" s="173" t="s">
        <v>241</v>
      </c>
      <c r="J805" s="173" t="s">
        <v>21</v>
      </c>
      <c r="K805" s="173" t="s">
        <v>16</v>
      </c>
      <c r="L805" s="173"/>
      <c r="M805" s="173" t="s">
        <v>242</v>
      </c>
      <c r="N805" s="173">
        <v>900573176</v>
      </c>
      <c r="O805" s="175">
        <v>4109244</v>
      </c>
      <c r="P805" s="7"/>
      <c r="Q805" s="16">
        <f>+IF(IFERROR(VLOOKUP(Tabla3[[#This Row],[Cliente factura]],Tabla4[[NIT]:[TOTAL CREDITO]],3,FALSE),0)="",0,IFERROR(VLOOKUP(Tabla3[[#This Row],[Cliente factura]],Tabla4[[NIT]:[TOTAL CREDITO]],3,FALSE),0))</f>
        <v>0</v>
      </c>
      <c r="R805" s="9">
        <f>+IFERROR(VLOOKUP(Tabla3[[#This Row],[Cliente factura]],Tabla4[[NIT]:[TOTAL CREDITO]],6,FALSE),0)</f>
        <v>4493289</v>
      </c>
      <c r="S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5" s="10" t="str">
        <f>VLOOKUP(Tabla3[[#This Row],[Razón social cliente factura]]&amp;Tabla3[[#This Row],[Desc. ciudad]],'Estandar de Rutas'!$C$1:$E$553,2,FALSE)</f>
        <v>8.3</v>
      </c>
      <c r="U805" s="130">
        <f>IFERROR(VLOOKUP(Tabla3[[#This Row],[Referencia]]&amp;Tabla3[[#This Row],[Desc detalle ext 1]],Tabla1[[Referencia-Color]:[Disponibilidad]],3,FALSE),0)</f>
        <v>6</v>
      </c>
      <c r="V805" s="13"/>
      <c r="W805" s="17">
        <f>+Tabla3[[#This Row],[Cant. Programada]]*Tabla3[[#This Row],[Precio unit]]</f>
        <v>0</v>
      </c>
      <c r="X805" s="130"/>
      <c r="Y805" s="8"/>
      <c r="Z805" s="8" t="str">
        <f>+Tabla3[[#This Row],[Referencia]]&amp;Tabla3[[#This Row],[Desc detalle ext 1]]</f>
        <v xml:space="preserve">*WAVE 110                                         NEGRO    </v>
      </c>
      <c r="AA805" s="128" t="e">
        <f>+VLOOKUP(Tabla3[[#This Row],[CODIGO2]],ESTANDAR!$B$3:$C$9,2,FALSE)</f>
        <v>#N/A</v>
      </c>
      <c r="AB805" s="128" t="str">
        <f>+MID(Tabla3[[#This Row],['# Viaje]],10,1)</f>
        <v/>
      </c>
    </row>
    <row r="806" spans="1:28" ht="15" hidden="1" customHeight="1">
      <c r="A806" s="173" t="s">
        <v>1620</v>
      </c>
      <c r="B806" s="174">
        <v>42948</v>
      </c>
      <c r="C806" s="173" t="s">
        <v>1477</v>
      </c>
      <c r="D806" s="173" t="s">
        <v>1487</v>
      </c>
      <c r="E806" s="173" t="s">
        <v>1479</v>
      </c>
      <c r="F806" s="173">
        <v>3</v>
      </c>
      <c r="G806" s="173" t="s">
        <v>241</v>
      </c>
      <c r="H806" s="173">
        <v>3</v>
      </c>
      <c r="I806" s="173" t="s">
        <v>241</v>
      </c>
      <c r="J806" s="173" t="s">
        <v>27</v>
      </c>
      <c r="K806" s="173" t="s">
        <v>32</v>
      </c>
      <c r="L806" s="173"/>
      <c r="M806" s="173" t="s">
        <v>242</v>
      </c>
      <c r="N806" s="173">
        <v>900573176</v>
      </c>
      <c r="O806" s="175">
        <v>5789916</v>
      </c>
      <c r="P806" s="7">
        <f>+Tabla3[[#This Row],[Precio unit]]*Tabla3[[#This Row],[Cant pendiente]]</f>
        <v>17369748</v>
      </c>
      <c r="Q806" s="16">
        <f>+IF(IFERROR(VLOOKUP(Tabla3[[#This Row],[Cliente factura]],Tabla4[[NIT]:[TOTAL CREDITO]],3,FALSE),0)="",0,IFERROR(VLOOKUP(Tabla3[[#This Row],[Cliente factura]],Tabla4[[NIT]:[TOTAL CREDITO]],3,FALSE),0))</f>
        <v>0</v>
      </c>
      <c r="R806" s="9">
        <f>+IFERROR(VLOOKUP(Tabla3[[#This Row],[Cliente factura]],Tabla4[[NIT]:[TOTAL CREDITO]],6,FALSE),0)</f>
        <v>4493289</v>
      </c>
      <c r="S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6" s="10" t="str">
        <f>VLOOKUP(Tabla3[[#This Row],[Razón social cliente factura]]&amp;Tabla3[[#This Row],[Desc. ciudad]],'Estandar de Rutas'!$C$1:$E$553,2,FALSE)</f>
        <v>8.3</v>
      </c>
      <c r="U806" s="130">
        <f>IFERROR(VLOOKUP(Tabla3[[#This Row],[Referencia]]&amp;Tabla3[[#This Row],[Desc detalle ext 1]],Tabla1[[Referencia-Color]:[Disponibilidad]],3,FALSE),0)</f>
        <v>7</v>
      </c>
      <c r="V806" s="13"/>
      <c r="W806" s="17">
        <f>+Tabla3[[#This Row],[Cant. Programada]]*Tabla3[[#This Row],[Precio unit]]</f>
        <v>0</v>
      </c>
      <c r="X806" s="8"/>
      <c r="Y806" s="8"/>
      <c r="Z806" s="8" t="str">
        <f>+Tabla3[[#This Row],[Referencia]]&amp;Tabla3[[#This Row],[Desc detalle ext 1]]</f>
        <v>*XR 150L                                          NEGRO ROJ</v>
      </c>
      <c r="AA806" s="128" t="e">
        <f>+VLOOKUP(Tabla3[[#This Row],[CODIGO2]],ESTANDAR!$B$3:$C$9,2,FALSE)</f>
        <v>#N/A</v>
      </c>
      <c r="AB806" s="128" t="str">
        <f>+MID(Tabla3[[#This Row],['# Viaje]],10,1)</f>
        <v/>
      </c>
    </row>
    <row r="807" spans="1:28" ht="15" hidden="1" customHeight="1">
      <c r="A807" s="173" t="s">
        <v>1620</v>
      </c>
      <c r="B807" s="174">
        <v>42948</v>
      </c>
      <c r="C807" s="173" t="s">
        <v>1477</v>
      </c>
      <c r="D807" s="173" t="s">
        <v>1487</v>
      </c>
      <c r="E807" s="173" t="s">
        <v>1479</v>
      </c>
      <c r="F807" s="173">
        <v>4</v>
      </c>
      <c r="G807" s="173" t="s">
        <v>241</v>
      </c>
      <c r="H807" s="173">
        <v>4</v>
      </c>
      <c r="I807" s="173" t="s">
        <v>241</v>
      </c>
      <c r="J807" s="173" t="s">
        <v>27</v>
      </c>
      <c r="K807" s="173" t="s">
        <v>26</v>
      </c>
      <c r="L807" s="173"/>
      <c r="M807" s="173" t="s">
        <v>242</v>
      </c>
      <c r="N807" s="173">
        <v>900573176</v>
      </c>
      <c r="O807" s="175">
        <v>5789916</v>
      </c>
      <c r="P807" s="7">
        <f>+Tabla3[[#This Row],[Precio unit]]*Tabla3[[#This Row],[Cant pendiente]]</f>
        <v>23159664</v>
      </c>
      <c r="Q807" s="16">
        <f>+IF(IFERROR(VLOOKUP(Tabla3[[#This Row],[Cliente factura]],Tabla4[[NIT]:[TOTAL CREDITO]],3,FALSE),0)="",0,IFERROR(VLOOKUP(Tabla3[[#This Row],[Cliente factura]],Tabla4[[NIT]:[TOTAL CREDITO]],3,FALSE),0))</f>
        <v>0</v>
      </c>
      <c r="R807" s="9">
        <f>+IFERROR(VLOOKUP(Tabla3[[#This Row],[Cliente factura]],Tabla4[[NIT]:[TOTAL CREDITO]],6,FALSE),0)</f>
        <v>4493289</v>
      </c>
      <c r="S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7" s="10" t="str">
        <f>VLOOKUP(Tabla3[[#This Row],[Razón social cliente factura]]&amp;Tabla3[[#This Row],[Desc. ciudad]],'Estandar de Rutas'!$C$1:$E$553,2,FALSE)</f>
        <v>8.3</v>
      </c>
      <c r="U807" s="130">
        <f>IFERROR(VLOOKUP(Tabla3[[#This Row],[Referencia]]&amp;Tabla3[[#This Row],[Desc detalle ext 1]],Tabla1[[Referencia-Color]:[Disponibilidad]],3,FALSE),0)</f>
        <v>59</v>
      </c>
      <c r="V807" s="13"/>
      <c r="W807" s="17">
        <f>+Tabla3[[#This Row],[Cant. Programada]]*Tabla3[[#This Row],[Precio unit]]</f>
        <v>0</v>
      </c>
      <c r="X807" s="130"/>
      <c r="Y807" s="129"/>
      <c r="Z807" s="8" t="str">
        <f>+Tabla3[[#This Row],[Referencia]]&amp;Tabla3[[#This Row],[Desc detalle ext 1]]</f>
        <v>*XR 150L                                          NEGRO BLA</v>
      </c>
      <c r="AA807" s="128" t="e">
        <f>+VLOOKUP(Tabla3[[#This Row],[CODIGO2]],ESTANDAR!$B$3:$C$9,2,FALSE)</f>
        <v>#N/A</v>
      </c>
      <c r="AB807" s="128" t="str">
        <f>+MID(Tabla3[[#This Row],['# Viaje]],10,1)</f>
        <v/>
      </c>
    </row>
    <row r="808" spans="1:28" ht="15" hidden="1" customHeight="1">
      <c r="A808" s="173" t="s">
        <v>1620</v>
      </c>
      <c r="B808" s="174">
        <v>42948</v>
      </c>
      <c r="C808" s="173" t="s">
        <v>1477</v>
      </c>
      <c r="D808" s="173" t="s">
        <v>1487</v>
      </c>
      <c r="E808" s="173" t="s">
        <v>1479</v>
      </c>
      <c r="F808" s="173">
        <v>4</v>
      </c>
      <c r="G808" s="173" t="s">
        <v>241</v>
      </c>
      <c r="H808" s="173">
        <v>4</v>
      </c>
      <c r="I808" s="173" t="s">
        <v>241</v>
      </c>
      <c r="J808" s="173" t="s">
        <v>27</v>
      </c>
      <c r="K808" s="173" t="s">
        <v>16</v>
      </c>
      <c r="L808" s="173"/>
      <c r="M808" s="173" t="s">
        <v>242</v>
      </c>
      <c r="N808" s="173">
        <v>900573176</v>
      </c>
      <c r="O808" s="175">
        <v>5789916</v>
      </c>
      <c r="P808" s="7">
        <f>+Tabla3[[#This Row],[Precio unit]]*Tabla3[[#This Row],[Cant pendiente]]</f>
        <v>23159664</v>
      </c>
      <c r="Q808" s="16">
        <f>+IF(IFERROR(VLOOKUP(Tabla3[[#This Row],[Cliente factura]],Tabla4[[NIT]:[TOTAL CREDITO]],3,FALSE),0)="",0,IFERROR(VLOOKUP(Tabla3[[#This Row],[Cliente factura]],Tabla4[[NIT]:[TOTAL CREDITO]],3,FALSE),0))</f>
        <v>0</v>
      </c>
      <c r="R808" s="9">
        <f>+IFERROR(VLOOKUP(Tabla3[[#This Row],[Cliente factura]],Tabla4[[NIT]:[TOTAL CREDITO]],6,FALSE),0)</f>
        <v>4493289</v>
      </c>
      <c r="S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8" s="10" t="str">
        <f>VLOOKUP(Tabla3[[#This Row],[Razón social cliente factura]]&amp;Tabla3[[#This Row],[Desc. ciudad]],'Estandar de Rutas'!$C$1:$E$553,2,FALSE)</f>
        <v>8.3</v>
      </c>
      <c r="U808" s="130">
        <f>IFERROR(VLOOKUP(Tabla3[[#This Row],[Referencia]]&amp;Tabla3[[#This Row],[Desc detalle ext 1]],Tabla1[[Referencia-Color]:[Disponibilidad]],3,FALSE),0)</f>
        <v>3</v>
      </c>
      <c r="V808" s="13"/>
      <c r="W808" s="17">
        <f>+Tabla3[[#This Row],[Cant. Programada]]*Tabla3[[#This Row],[Precio unit]]</f>
        <v>0</v>
      </c>
      <c r="X808" s="130"/>
      <c r="Y808" s="129"/>
      <c r="Z808" s="8" t="str">
        <f>+Tabla3[[#This Row],[Referencia]]&amp;Tabla3[[#This Row],[Desc detalle ext 1]]</f>
        <v xml:space="preserve">*XR 150L                                          NEGRO    </v>
      </c>
      <c r="AA808" s="128" t="e">
        <f>+VLOOKUP(Tabla3[[#This Row],[CODIGO2]],ESTANDAR!$B$3:$C$9,2,FALSE)</f>
        <v>#N/A</v>
      </c>
      <c r="AB808" s="128" t="str">
        <f>+MID(Tabla3[[#This Row],['# Viaje]],10,1)</f>
        <v/>
      </c>
    </row>
    <row r="809" spans="1:28" ht="15" hidden="1" customHeight="1">
      <c r="A809" s="173" t="s">
        <v>1620</v>
      </c>
      <c r="B809" s="174">
        <v>42948</v>
      </c>
      <c r="C809" s="173" t="s">
        <v>1477</v>
      </c>
      <c r="D809" s="173" t="s">
        <v>1487</v>
      </c>
      <c r="E809" s="173" t="s">
        <v>1479</v>
      </c>
      <c r="F809" s="173">
        <v>2</v>
      </c>
      <c r="G809" s="173" t="s">
        <v>241</v>
      </c>
      <c r="H809" s="173">
        <v>2</v>
      </c>
      <c r="I809" s="173" t="s">
        <v>241</v>
      </c>
      <c r="J809" s="173" t="s">
        <v>25</v>
      </c>
      <c r="K809" s="173" t="s">
        <v>26</v>
      </c>
      <c r="L809" s="173"/>
      <c r="M809" s="173" t="s">
        <v>242</v>
      </c>
      <c r="N809" s="173">
        <v>900573176</v>
      </c>
      <c r="O809" s="175">
        <v>3521008</v>
      </c>
      <c r="P809" s="7">
        <f>+Tabla3[[#This Row],[Precio unit]]*Tabla3[[#This Row],[Cant pendiente]]</f>
        <v>7042016</v>
      </c>
      <c r="Q809" s="16">
        <f>+IF(IFERROR(VLOOKUP(Tabla3[[#This Row],[Cliente factura]],Tabla4[[NIT]:[TOTAL CREDITO]],3,FALSE),0)="",0,IFERROR(VLOOKUP(Tabla3[[#This Row],[Cliente factura]],Tabla4[[NIT]:[TOTAL CREDITO]],3,FALSE),0))</f>
        <v>0</v>
      </c>
      <c r="R809" s="9">
        <f>+IFERROR(VLOOKUP(Tabla3[[#This Row],[Cliente factura]],Tabla4[[NIT]:[TOTAL CREDITO]],6,FALSE),0)</f>
        <v>4493289</v>
      </c>
      <c r="S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9" s="10" t="str">
        <f>VLOOKUP(Tabla3[[#This Row],[Razón social cliente factura]]&amp;Tabla3[[#This Row],[Desc. ciudad]],'Estandar de Rutas'!$C$1:$E$553,2,FALSE)</f>
        <v>8.3</v>
      </c>
      <c r="U809" s="130">
        <f>IFERROR(VLOOKUP(Tabla3[[#This Row],[Referencia]]&amp;Tabla3[[#This Row],[Desc detalle ext 1]],Tabla1[[Referencia-Color]:[Disponibilidad]],3,FALSE),0)</f>
        <v>15</v>
      </c>
      <c r="V809" s="13"/>
      <c r="W809" s="17">
        <f>+Tabla3[[#This Row],[Cant. Programada]]*Tabla3[[#This Row],[Precio unit]]</f>
        <v>0</v>
      </c>
      <c r="X809" s="130"/>
      <c r="Y809" s="129"/>
      <c r="Z809" s="8" t="str">
        <f>+Tabla3[[#This Row],[Referencia]]&amp;Tabla3[[#This Row],[Desc detalle ext 1]]</f>
        <v>DIO 110                                           NEGRO BLA</v>
      </c>
      <c r="AA809" s="128" t="e">
        <f>+VLOOKUP(Tabla3[[#This Row],[CODIGO2]],ESTANDAR!$B$3:$C$9,2,FALSE)</f>
        <v>#N/A</v>
      </c>
      <c r="AB809" s="128" t="str">
        <f>+MID(Tabla3[[#This Row],['# Viaje]],10,1)</f>
        <v/>
      </c>
    </row>
    <row r="810" spans="1:28" hidden="1">
      <c r="A810" s="173" t="s">
        <v>1620</v>
      </c>
      <c r="B810" s="174">
        <v>42948</v>
      </c>
      <c r="C810" s="173" t="s">
        <v>1477</v>
      </c>
      <c r="D810" s="173" t="s">
        <v>1487</v>
      </c>
      <c r="E810" s="173" t="s">
        <v>1479</v>
      </c>
      <c r="F810" s="173">
        <v>1</v>
      </c>
      <c r="G810" s="173" t="s">
        <v>241</v>
      </c>
      <c r="H810" s="173">
        <v>1</v>
      </c>
      <c r="I810" s="173" t="s">
        <v>241</v>
      </c>
      <c r="J810" s="173" t="s">
        <v>1433</v>
      </c>
      <c r="K810" s="173" t="s">
        <v>1431</v>
      </c>
      <c r="L810" s="173"/>
      <c r="M810" s="173" t="s">
        <v>242</v>
      </c>
      <c r="N810" s="173">
        <v>900573176</v>
      </c>
      <c r="O810" s="175">
        <v>3521008</v>
      </c>
      <c r="P810" s="7">
        <f>+Tabla3[[#This Row],[Precio unit]]*Tabla3[[#This Row],[Cant pendiente]]</f>
        <v>3521008</v>
      </c>
      <c r="Q810" s="16">
        <f>+IF(IFERROR(VLOOKUP(Tabla3[[#This Row],[Cliente factura]],Tabla4[[NIT]:[TOTAL CREDITO]],3,FALSE),0)="",0,IFERROR(VLOOKUP(Tabla3[[#This Row],[Cliente factura]],Tabla4[[NIT]:[TOTAL CREDITO]],3,FALSE),0))</f>
        <v>0</v>
      </c>
      <c r="R810" s="9">
        <f>+IFERROR(VLOOKUP(Tabla3[[#This Row],[Cliente factura]],Tabla4[[NIT]:[TOTAL CREDITO]],6,FALSE),0)</f>
        <v>4493289</v>
      </c>
      <c r="S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0" s="10" t="str">
        <f>VLOOKUP(Tabla3[[#This Row],[Razón social cliente factura]]&amp;Tabla3[[#This Row],[Desc. ciudad]],'Estandar de Rutas'!$C$1:$E$553,2,FALSE)</f>
        <v>8.3</v>
      </c>
      <c r="U810" s="130">
        <f>IFERROR(VLOOKUP(Tabla3[[#This Row],[Referencia]]&amp;Tabla3[[#This Row],[Desc detalle ext 1]],Tabla1[[Referencia-Color]:[Disponibilidad]],3,FALSE),0)</f>
        <v>0</v>
      </c>
      <c r="V810" s="13"/>
      <c r="W810" s="17">
        <f>+Tabla3[[#This Row],[Cant. Programada]]*Tabla3[[#This Row],[Precio unit]]</f>
        <v>0</v>
      </c>
      <c r="X810" s="130"/>
      <c r="Y810" s="129"/>
      <c r="Z810" s="8" t="str">
        <f>+Tabla3[[#This Row],[Referencia]]&amp;Tabla3[[#This Row],[Desc detalle ext 1]]</f>
        <v xml:space="preserve">DIO  110                                          ROJO     </v>
      </c>
      <c r="AA810" s="128" t="e">
        <f>+VLOOKUP(Tabla3[[#This Row],[CODIGO2]],ESTANDAR!$B$3:$C$9,2,FALSE)</f>
        <v>#N/A</v>
      </c>
      <c r="AB810" s="128" t="str">
        <f>+MID(Tabla3[[#This Row],['# Viaje]],10,1)</f>
        <v/>
      </c>
    </row>
    <row r="811" spans="1:28" ht="15" hidden="1" customHeight="1">
      <c r="A811" s="173" t="s">
        <v>1620</v>
      </c>
      <c r="B811" s="174">
        <v>42948</v>
      </c>
      <c r="C811" s="173" t="s">
        <v>1477</v>
      </c>
      <c r="D811" s="173" t="s">
        <v>1487</v>
      </c>
      <c r="E811" s="173" t="s">
        <v>1479</v>
      </c>
      <c r="F811" s="173">
        <v>1</v>
      </c>
      <c r="G811" s="173" t="s">
        <v>241</v>
      </c>
      <c r="H811" s="173">
        <v>1</v>
      </c>
      <c r="I811" s="173" t="s">
        <v>241</v>
      </c>
      <c r="J811" s="173" t="s">
        <v>1428</v>
      </c>
      <c r="K811" s="173" t="s">
        <v>1461</v>
      </c>
      <c r="L811" s="173"/>
      <c r="M811" s="173" t="s">
        <v>242</v>
      </c>
      <c r="N811" s="173">
        <v>900573176</v>
      </c>
      <c r="O811" s="175">
        <v>3067227</v>
      </c>
      <c r="P811" s="7">
        <f>+Tabla3[[#This Row],[Precio unit]]*Tabla3[[#This Row],[Cant pendiente]]</f>
        <v>3067227</v>
      </c>
      <c r="Q811" s="16">
        <f>+IF(IFERROR(VLOOKUP(Tabla3[[#This Row],[Cliente factura]],Tabla4[[NIT]:[TOTAL CREDITO]],3,FALSE),0)="",0,IFERROR(VLOOKUP(Tabla3[[#This Row],[Cliente factura]],Tabla4[[NIT]:[TOTAL CREDITO]],3,FALSE),0))</f>
        <v>0</v>
      </c>
      <c r="R811" s="9">
        <f>+IFERROR(VLOOKUP(Tabla3[[#This Row],[Cliente factura]],Tabla4[[NIT]:[TOTAL CREDITO]],6,FALSE),0)</f>
        <v>4493289</v>
      </c>
      <c r="S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1" s="10" t="str">
        <f>VLOOKUP(Tabla3[[#This Row],[Razón social cliente factura]]&amp;Tabla3[[#This Row],[Desc. ciudad]],'Estandar de Rutas'!$C$1:$E$553,2,FALSE)</f>
        <v>8.3</v>
      </c>
      <c r="U811" s="130">
        <f>IFERROR(VLOOKUP(Tabla3[[#This Row],[Referencia]]&amp;Tabla3[[#This Row],[Desc detalle ext 1]],Tabla1[[Referencia-Color]:[Disponibilidad]],3,FALSE),0)</f>
        <v>0</v>
      </c>
      <c r="V811" s="13"/>
      <c r="W811" s="17">
        <f>+Tabla3[[#This Row],[Cant. Programada]]*Tabla3[[#This Row],[Precio unit]]</f>
        <v>0</v>
      </c>
      <c r="X811" s="130"/>
      <c r="Y811" s="129"/>
      <c r="Z811" s="8" t="str">
        <f>+Tabla3[[#This Row],[Referencia]]&amp;Tabla3[[#This Row],[Desc detalle ext 1]]</f>
        <v>DREAM  NEO                                        ROJO ALFA</v>
      </c>
      <c r="AA811" s="128" t="e">
        <f>+VLOOKUP(Tabla3[[#This Row],[CODIGO2]],ESTANDAR!$B$3:$C$9,2,FALSE)</f>
        <v>#N/A</v>
      </c>
      <c r="AB811" s="128" t="str">
        <f>+MID(Tabla3[[#This Row],['# Viaje]],10,1)</f>
        <v/>
      </c>
    </row>
    <row r="812" spans="1:28" ht="15" hidden="1" customHeight="1">
      <c r="A812" s="173" t="s">
        <v>1620</v>
      </c>
      <c r="B812" s="174">
        <v>42948</v>
      </c>
      <c r="C812" s="173" t="s">
        <v>1477</v>
      </c>
      <c r="D812" s="173" t="s">
        <v>1487</v>
      </c>
      <c r="E812" s="173" t="s">
        <v>1479</v>
      </c>
      <c r="F812" s="173">
        <v>1</v>
      </c>
      <c r="G812" s="173" t="s">
        <v>241</v>
      </c>
      <c r="H812" s="173">
        <v>1</v>
      </c>
      <c r="I812" s="173" t="s">
        <v>241</v>
      </c>
      <c r="J812" s="173" t="s">
        <v>1430</v>
      </c>
      <c r="K812" s="173" t="s">
        <v>16</v>
      </c>
      <c r="L812" s="173"/>
      <c r="M812" s="173" t="s">
        <v>242</v>
      </c>
      <c r="N812" s="173">
        <v>900573176</v>
      </c>
      <c r="O812" s="175">
        <v>3941176</v>
      </c>
      <c r="P812" s="7">
        <f>+Tabla3[[#This Row],[Precio unit]]*Tabla3[[#This Row],[Cant pendiente]]</f>
        <v>3941176</v>
      </c>
      <c r="Q812" s="16">
        <f>+IF(IFERROR(VLOOKUP(Tabla3[[#This Row],[Cliente factura]],Tabla4[[NIT]:[TOTAL CREDITO]],3,FALSE),0)="",0,IFERROR(VLOOKUP(Tabla3[[#This Row],[Cliente factura]],Tabla4[[NIT]:[TOTAL CREDITO]],3,FALSE),0))</f>
        <v>0</v>
      </c>
      <c r="R812" s="9">
        <f>+IFERROR(VLOOKUP(Tabla3[[#This Row],[Cliente factura]],Tabla4[[NIT]:[TOTAL CREDITO]],6,FALSE),0)</f>
        <v>4493289</v>
      </c>
      <c r="S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2" s="10" t="str">
        <f>VLOOKUP(Tabla3[[#This Row],[Razón social cliente factura]]&amp;Tabla3[[#This Row],[Desc. ciudad]],'Estandar de Rutas'!$C$1:$E$553,2,FALSE)</f>
        <v>8.3</v>
      </c>
      <c r="U812" s="130">
        <f>IFERROR(VLOOKUP(Tabla3[[#This Row],[Referencia]]&amp;Tabla3[[#This Row],[Desc detalle ext 1]],Tabla1[[Referencia-Color]:[Disponibilidad]],3,FALSE),0)</f>
        <v>0</v>
      </c>
      <c r="V812" s="13"/>
      <c r="W812" s="17">
        <f>+Tabla3[[#This Row],[Cant. Programada]]*Tabla3[[#This Row],[Precio unit]]</f>
        <v>0</v>
      </c>
      <c r="X812" s="130"/>
      <c r="Y812" s="129"/>
      <c r="Z812" s="8" t="str">
        <f>+Tabla3[[#This Row],[Referencia]]&amp;Tabla3[[#This Row],[Desc detalle ext 1]]</f>
        <v xml:space="preserve">WAVE 110S                                         NEGRO    </v>
      </c>
      <c r="AA812" s="128" t="e">
        <f>+VLOOKUP(Tabla3[[#This Row],[CODIGO2]],ESTANDAR!$B$3:$C$9,2,FALSE)</f>
        <v>#N/A</v>
      </c>
      <c r="AB812" s="128" t="str">
        <f>+MID(Tabla3[[#This Row],['# Viaje]],10,1)</f>
        <v/>
      </c>
    </row>
    <row r="813" spans="1:28" ht="15" hidden="1" customHeight="1">
      <c r="A813" s="173" t="s">
        <v>1620</v>
      </c>
      <c r="B813" s="174">
        <v>42948</v>
      </c>
      <c r="C813" s="173" t="s">
        <v>1477</v>
      </c>
      <c r="D813" s="173" t="s">
        <v>1487</v>
      </c>
      <c r="E813" s="173" t="s">
        <v>1479</v>
      </c>
      <c r="F813" s="173">
        <v>1</v>
      </c>
      <c r="G813" s="173" t="s">
        <v>241</v>
      </c>
      <c r="H813" s="173">
        <v>1</v>
      </c>
      <c r="I813" s="173" t="s">
        <v>241</v>
      </c>
      <c r="J813" s="173" t="s">
        <v>1430</v>
      </c>
      <c r="K813" s="173" t="s">
        <v>1431</v>
      </c>
      <c r="L813" s="173"/>
      <c r="M813" s="173" t="s">
        <v>242</v>
      </c>
      <c r="N813" s="173">
        <v>900573176</v>
      </c>
      <c r="O813" s="175">
        <v>3941176</v>
      </c>
      <c r="P813" s="7">
        <f>+Tabla3[[#This Row],[Precio unit]]*Tabla3[[#This Row],[Cant pendiente]]</f>
        <v>3941176</v>
      </c>
      <c r="Q813" s="16">
        <f>+IF(IFERROR(VLOOKUP(Tabla3[[#This Row],[Cliente factura]],Tabla4[[NIT]:[TOTAL CREDITO]],3,FALSE),0)="",0,IFERROR(VLOOKUP(Tabla3[[#This Row],[Cliente factura]],Tabla4[[NIT]:[TOTAL CREDITO]],3,FALSE),0))</f>
        <v>0</v>
      </c>
      <c r="R813" s="9">
        <f>+IFERROR(VLOOKUP(Tabla3[[#This Row],[Cliente factura]],Tabla4[[NIT]:[TOTAL CREDITO]],6,FALSE),0)</f>
        <v>4493289</v>
      </c>
      <c r="S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3" s="10" t="str">
        <f>VLOOKUP(Tabla3[[#This Row],[Razón social cliente factura]]&amp;Tabla3[[#This Row],[Desc. ciudad]],'Estandar de Rutas'!$C$1:$E$553,2,FALSE)</f>
        <v>8.3</v>
      </c>
      <c r="U813" s="130">
        <f>IFERROR(VLOOKUP(Tabla3[[#This Row],[Referencia]]&amp;Tabla3[[#This Row],[Desc detalle ext 1]],Tabla1[[Referencia-Color]:[Disponibilidad]],3,FALSE),0)</f>
        <v>0</v>
      </c>
      <c r="V813" s="13"/>
      <c r="W813" s="17">
        <f>+Tabla3[[#This Row],[Cant. Programada]]*Tabla3[[#This Row],[Precio unit]]</f>
        <v>0</v>
      </c>
      <c r="X813" s="8"/>
      <c r="Y813" s="8"/>
      <c r="Z813" s="8" t="str">
        <f>+Tabla3[[#This Row],[Referencia]]&amp;Tabla3[[#This Row],[Desc detalle ext 1]]</f>
        <v xml:space="preserve">WAVE 110S                                         ROJO     </v>
      </c>
      <c r="AA813" s="128" t="e">
        <f>+VLOOKUP(Tabla3[[#This Row],[CODIGO2]],ESTANDAR!$B$3:$C$9,2,FALSE)</f>
        <v>#N/A</v>
      </c>
      <c r="AB813" s="128" t="str">
        <f>+MID(Tabla3[[#This Row],['# Viaje]],10,1)</f>
        <v/>
      </c>
    </row>
    <row r="814" spans="1:28" ht="15" hidden="1" customHeight="1">
      <c r="A814" s="173" t="s">
        <v>1620</v>
      </c>
      <c r="B814" s="174">
        <v>42948</v>
      </c>
      <c r="C814" s="173" t="s">
        <v>1477</v>
      </c>
      <c r="D814" s="173" t="s">
        <v>1487</v>
      </c>
      <c r="E814" s="173" t="s">
        <v>1479</v>
      </c>
      <c r="F814" s="173">
        <v>1</v>
      </c>
      <c r="G814" s="173" t="s">
        <v>241</v>
      </c>
      <c r="H814" s="173">
        <v>1</v>
      </c>
      <c r="I814" s="173" t="s">
        <v>241</v>
      </c>
      <c r="J814" s="173" t="s">
        <v>1451</v>
      </c>
      <c r="K814" s="173" t="s">
        <v>1452</v>
      </c>
      <c r="L814" s="173"/>
      <c r="M814" s="173" t="s">
        <v>242</v>
      </c>
      <c r="N814" s="173">
        <v>900573176</v>
      </c>
      <c r="O814" s="175">
        <v>3696639</v>
      </c>
      <c r="P814" s="7">
        <f>+Tabla3[[#This Row],[Precio unit]]*Tabla3[[#This Row],[Cant pendiente]]</f>
        <v>3696639</v>
      </c>
      <c r="Q814" s="16">
        <f>+IF(IFERROR(VLOOKUP(Tabla3[[#This Row],[Cliente factura]],Tabla4[[NIT]:[TOTAL CREDITO]],3,FALSE),0)="",0,IFERROR(VLOOKUP(Tabla3[[#This Row],[Cliente factura]],Tabla4[[NIT]:[TOTAL CREDITO]],3,FALSE),0))</f>
        <v>0</v>
      </c>
      <c r="R814" s="9">
        <f>+IFERROR(VLOOKUP(Tabla3[[#This Row],[Cliente factura]],Tabla4[[NIT]:[TOTAL CREDITO]],6,FALSE),0)</f>
        <v>4493289</v>
      </c>
      <c r="S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4" s="10" t="str">
        <f>VLOOKUP(Tabla3[[#This Row],[Razón social cliente factura]]&amp;Tabla3[[#This Row],[Desc. ciudad]],'Estandar de Rutas'!$C$1:$E$553,2,FALSE)</f>
        <v>8.3</v>
      </c>
      <c r="U814" s="130">
        <f>IFERROR(VLOOKUP(Tabla3[[#This Row],[Referencia]]&amp;Tabla3[[#This Row],[Desc detalle ext 1]],Tabla1[[Referencia-Color]:[Disponibilidad]],3,FALSE),0)</f>
        <v>21</v>
      </c>
      <c r="V814" s="13"/>
      <c r="W814" s="17">
        <f>+Tabla3[[#This Row],[Cant. Programada]]*Tabla3[[#This Row],[Precio unit]]</f>
        <v>0</v>
      </c>
      <c r="X814" s="8"/>
      <c r="Y814" s="8"/>
      <c r="Z814" s="8" t="str">
        <f>+Tabla3[[#This Row],[Referencia]]&amp;Tabla3[[#This Row],[Desc detalle ext 1]]</f>
        <v xml:space="preserve">CB 110 DLX                                        AZUL     </v>
      </c>
      <c r="AA814" s="128" t="e">
        <f>+VLOOKUP(Tabla3[[#This Row],[CODIGO2]],ESTANDAR!$B$3:$C$9,2,FALSE)</f>
        <v>#N/A</v>
      </c>
      <c r="AB814" s="128" t="str">
        <f>+MID(Tabla3[[#This Row],['# Viaje]],10,1)</f>
        <v/>
      </c>
    </row>
    <row r="815" spans="1:28" ht="15" hidden="1" customHeight="1">
      <c r="A815" s="173" t="s">
        <v>1620</v>
      </c>
      <c r="B815" s="174">
        <v>42948</v>
      </c>
      <c r="C815" s="173" t="s">
        <v>1477</v>
      </c>
      <c r="D815" s="173" t="s">
        <v>1487</v>
      </c>
      <c r="E815" s="173" t="s">
        <v>1479</v>
      </c>
      <c r="F815" s="173">
        <v>1</v>
      </c>
      <c r="G815" s="173" t="s">
        <v>241</v>
      </c>
      <c r="H815" s="173">
        <v>1</v>
      </c>
      <c r="I815" s="173" t="s">
        <v>241</v>
      </c>
      <c r="J815" s="173" t="s">
        <v>1451</v>
      </c>
      <c r="K815" s="173" t="s">
        <v>1431</v>
      </c>
      <c r="L815" s="173"/>
      <c r="M815" s="173" t="s">
        <v>242</v>
      </c>
      <c r="N815" s="173">
        <v>900573176</v>
      </c>
      <c r="O815" s="175">
        <v>3696639</v>
      </c>
      <c r="P815" s="7">
        <f>+Tabla3[[#This Row],[Precio unit]]*Tabla3[[#This Row],[Cant pendiente]]</f>
        <v>3696639</v>
      </c>
      <c r="Q815" s="16">
        <f>+IF(IFERROR(VLOOKUP(Tabla3[[#This Row],[Cliente factura]],Tabla4[[NIT]:[TOTAL CREDITO]],3,FALSE),0)="",0,IFERROR(VLOOKUP(Tabla3[[#This Row],[Cliente factura]],Tabla4[[NIT]:[TOTAL CREDITO]],3,FALSE),0))</f>
        <v>0</v>
      </c>
      <c r="R815" s="9">
        <f>+IFERROR(VLOOKUP(Tabla3[[#This Row],[Cliente factura]],Tabla4[[NIT]:[TOTAL CREDITO]],6,FALSE),0)</f>
        <v>4493289</v>
      </c>
      <c r="S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5" s="10" t="str">
        <f>VLOOKUP(Tabla3[[#This Row],[Razón social cliente factura]]&amp;Tabla3[[#This Row],[Desc. ciudad]],'Estandar de Rutas'!$C$1:$E$553,2,FALSE)</f>
        <v>8.3</v>
      </c>
      <c r="U815" s="130">
        <f>IFERROR(VLOOKUP(Tabla3[[#This Row],[Referencia]]&amp;Tabla3[[#This Row],[Desc detalle ext 1]],Tabla1[[Referencia-Color]:[Disponibilidad]],3,FALSE),0)</f>
        <v>21</v>
      </c>
      <c r="V815" s="13"/>
      <c r="W815" s="17">
        <f>+Tabla3[[#This Row],[Cant. Programada]]*Tabla3[[#This Row],[Precio unit]]</f>
        <v>0</v>
      </c>
      <c r="X815" s="8"/>
      <c r="Y815" s="8"/>
      <c r="Z815" s="8" t="str">
        <f>+Tabla3[[#This Row],[Referencia]]&amp;Tabla3[[#This Row],[Desc detalle ext 1]]</f>
        <v xml:space="preserve">CB 110 DLX                                        ROJO     </v>
      </c>
      <c r="AA815" s="128" t="e">
        <f>+VLOOKUP(Tabla3[[#This Row],[CODIGO2]],ESTANDAR!$B$3:$C$9,2,FALSE)</f>
        <v>#N/A</v>
      </c>
      <c r="AB815" s="128" t="str">
        <f>+MID(Tabla3[[#This Row],['# Viaje]],10,1)</f>
        <v/>
      </c>
    </row>
    <row r="816" spans="1:28" ht="15" hidden="1" customHeight="1">
      <c r="A816" s="173" t="s">
        <v>1620</v>
      </c>
      <c r="B816" s="174">
        <v>42948</v>
      </c>
      <c r="C816" s="173" t="s">
        <v>1477</v>
      </c>
      <c r="D816" s="173" t="s">
        <v>1487</v>
      </c>
      <c r="E816" s="173" t="s">
        <v>1479</v>
      </c>
      <c r="F816" s="173">
        <v>3</v>
      </c>
      <c r="G816" s="173" t="s">
        <v>241</v>
      </c>
      <c r="H816" s="173">
        <v>3</v>
      </c>
      <c r="I816" s="173" t="s">
        <v>241</v>
      </c>
      <c r="J816" s="173" t="s">
        <v>1451</v>
      </c>
      <c r="K816" s="173" t="s">
        <v>16</v>
      </c>
      <c r="L816" s="173"/>
      <c r="M816" s="173" t="s">
        <v>242</v>
      </c>
      <c r="N816" s="173">
        <v>900573176</v>
      </c>
      <c r="O816" s="175">
        <v>3696639</v>
      </c>
      <c r="P816" s="7">
        <f>+Tabla3[[#This Row],[Precio unit]]*Tabla3[[#This Row],[Cant pendiente]]</f>
        <v>11089917</v>
      </c>
      <c r="Q816" s="16">
        <f>+IF(IFERROR(VLOOKUP(Tabla3[[#This Row],[Cliente factura]],Tabla4[[NIT]:[TOTAL CREDITO]],3,FALSE),0)="",0,IFERROR(VLOOKUP(Tabla3[[#This Row],[Cliente factura]],Tabla4[[NIT]:[TOTAL CREDITO]],3,FALSE),0))</f>
        <v>0</v>
      </c>
      <c r="R816" s="9">
        <f>+IFERROR(VLOOKUP(Tabla3[[#This Row],[Cliente factura]],Tabla4[[NIT]:[TOTAL CREDITO]],6,FALSE),0)</f>
        <v>4493289</v>
      </c>
      <c r="S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6" s="10" t="str">
        <f>VLOOKUP(Tabla3[[#This Row],[Razón social cliente factura]]&amp;Tabla3[[#This Row],[Desc. ciudad]],'Estandar de Rutas'!$C$1:$E$553,2,FALSE)</f>
        <v>8.3</v>
      </c>
      <c r="U816" s="130">
        <f>IFERROR(VLOOKUP(Tabla3[[#This Row],[Referencia]]&amp;Tabla3[[#This Row],[Desc detalle ext 1]],Tabla1[[Referencia-Color]:[Disponibilidad]],3,FALSE),0)</f>
        <v>3</v>
      </c>
      <c r="V816" s="13"/>
      <c r="W816" s="17">
        <f>+Tabla3[[#This Row],[Cant. Programada]]*Tabla3[[#This Row],[Precio unit]]</f>
        <v>0</v>
      </c>
      <c r="X816" s="8"/>
      <c r="Y816" s="8"/>
      <c r="Z816" s="8" t="str">
        <f>+Tabla3[[#This Row],[Referencia]]&amp;Tabla3[[#This Row],[Desc detalle ext 1]]</f>
        <v xml:space="preserve">CB 110 DLX                                        NEGRO    </v>
      </c>
      <c r="AA816" s="128" t="e">
        <f>+VLOOKUP(Tabla3[[#This Row],[CODIGO2]],ESTANDAR!$B$3:$C$9,2,FALSE)</f>
        <v>#N/A</v>
      </c>
      <c r="AB816" s="128" t="str">
        <f>+MID(Tabla3[[#This Row],['# Viaje]],10,1)</f>
        <v/>
      </c>
    </row>
    <row r="817" spans="1:28" ht="15" hidden="1" customHeight="1">
      <c r="A817" s="173" t="s">
        <v>1621</v>
      </c>
      <c r="B817" s="174">
        <v>42948</v>
      </c>
      <c r="C817" s="173" t="s">
        <v>1477</v>
      </c>
      <c r="D817" s="173" t="s">
        <v>1487</v>
      </c>
      <c r="E817" s="173" t="s">
        <v>1479</v>
      </c>
      <c r="F817" s="173">
        <v>1</v>
      </c>
      <c r="G817" s="173" t="s">
        <v>172</v>
      </c>
      <c r="H817" s="173">
        <v>1</v>
      </c>
      <c r="I817" s="173" t="s">
        <v>172</v>
      </c>
      <c r="J817" s="173" t="s">
        <v>1414</v>
      </c>
      <c r="K817" s="173" t="s">
        <v>1415</v>
      </c>
      <c r="L817" s="173"/>
      <c r="M817" s="173" t="s">
        <v>177</v>
      </c>
      <c r="N817" s="173">
        <v>1042768777</v>
      </c>
      <c r="O817" s="175">
        <v>3588235</v>
      </c>
      <c r="P817" s="7"/>
      <c r="Q817" s="16">
        <f>+IF(IFERROR(VLOOKUP(Tabla3[[#This Row],[Cliente factura]],Tabla4[[NIT]:[TOTAL CREDITO]],3,FALSE),0)="",0,IFERROR(VLOOKUP(Tabla3[[#This Row],[Cliente factura]],Tabla4[[NIT]:[TOTAL CREDITO]],3,FALSE),0))</f>
        <v>16000000</v>
      </c>
      <c r="R817" s="9">
        <f>+IFERROR(VLOOKUP(Tabla3[[#This Row],[Cliente factura]],Tabla4[[NIT]:[TOTAL CREDITO]],6,FALSE),0)</f>
        <v>12000000</v>
      </c>
      <c r="S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7" s="10" t="str">
        <f>VLOOKUP(Tabla3[[#This Row],[Razón social cliente factura]]&amp;Tabla3[[#This Row],[Desc. ciudad]],'Estandar de Rutas'!$C$1:$E$553,2,FALSE)</f>
        <v>8.3</v>
      </c>
      <c r="U817" s="130">
        <f>IFERROR(VLOOKUP(Tabla3[[#This Row],[Referencia]]&amp;Tabla3[[#This Row],[Desc detalle ext 1]],Tabla1[[Referencia-Color]:[Disponibilidad]],3,FALSE),0)</f>
        <v>14</v>
      </c>
      <c r="V817" s="13"/>
      <c r="W817" s="17">
        <f>+Tabla3[[#This Row],[Cant. Programada]]*Tabla3[[#This Row],[Precio unit]]</f>
        <v>0</v>
      </c>
      <c r="X817" s="129"/>
      <c r="Y817" s="129"/>
      <c r="Z817" s="8" t="str">
        <f>+Tabla3[[#This Row],[Referencia]]&amp;Tabla3[[#This Row],[Desc detalle ext 1]]</f>
        <v>*CB1 PRO                                          PEARL PRO</v>
      </c>
      <c r="AA817" s="128" t="e">
        <f>+VLOOKUP(Tabla3[[#This Row],[CODIGO2]],ESTANDAR!$B$3:$C$9,2,FALSE)</f>
        <v>#N/A</v>
      </c>
      <c r="AB817" s="128" t="str">
        <f>+MID(Tabla3[[#This Row],['# Viaje]],10,1)</f>
        <v/>
      </c>
    </row>
    <row r="818" spans="1:28" ht="15" hidden="1" customHeight="1">
      <c r="A818" s="173" t="s">
        <v>1621</v>
      </c>
      <c r="B818" s="174">
        <v>42948</v>
      </c>
      <c r="C818" s="173" t="s">
        <v>1477</v>
      </c>
      <c r="D818" s="173" t="s">
        <v>1487</v>
      </c>
      <c r="E818" s="173" t="s">
        <v>1479</v>
      </c>
      <c r="F818" s="173">
        <v>3</v>
      </c>
      <c r="G818" s="173" t="s">
        <v>172</v>
      </c>
      <c r="H818" s="173">
        <v>3</v>
      </c>
      <c r="I818" s="173" t="s">
        <v>172</v>
      </c>
      <c r="J818" s="173" t="s">
        <v>27</v>
      </c>
      <c r="K818" s="173" t="s">
        <v>32</v>
      </c>
      <c r="L818" s="173"/>
      <c r="M818" s="173" t="s">
        <v>177</v>
      </c>
      <c r="N818" s="173">
        <v>1042768777</v>
      </c>
      <c r="O818" s="175">
        <v>5789916</v>
      </c>
      <c r="P818" s="7"/>
      <c r="Q818" s="16">
        <f>+IF(IFERROR(VLOOKUP(Tabla3[[#This Row],[Cliente factura]],Tabla4[[NIT]:[TOTAL CREDITO]],3,FALSE),0)="",0,IFERROR(VLOOKUP(Tabla3[[#This Row],[Cliente factura]],Tabla4[[NIT]:[TOTAL CREDITO]],3,FALSE),0))</f>
        <v>16000000</v>
      </c>
      <c r="R818" s="9">
        <f>+IFERROR(VLOOKUP(Tabla3[[#This Row],[Cliente factura]],Tabla4[[NIT]:[TOTAL CREDITO]],6,FALSE),0)</f>
        <v>12000000</v>
      </c>
      <c r="S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8" s="10" t="str">
        <f>VLOOKUP(Tabla3[[#This Row],[Razón social cliente factura]]&amp;Tabla3[[#This Row],[Desc. ciudad]],'Estandar de Rutas'!$C$1:$E$553,2,FALSE)</f>
        <v>8.3</v>
      </c>
      <c r="U818" s="130">
        <f>IFERROR(VLOOKUP(Tabla3[[#This Row],[Referencia]]&amp;Tabla3[[#This Row],[Desc detalle ext 1]],Tabla1[[Referencia-Color]:[Disponibilidad]],3,FALSE),0)</f>
        <v>7</v>
      </c>
      <c r="V818" s="13"/>
      <c r="W818" s="17">
        <f>+Tabla3[[#This Row],[Cant. Programada]]*Tabla3[[#This Row],[Precio unit]]</f>
        <v>0</v>
      </c>
      <c r="X818" s="8"/>
      <c r="Y818" s="8"/>
      <c r="Z818" s="8" t="str">
        <f>+Tabla3[[#This Row],[Referencia]]&amp;Tabla3[[#This Row],[Desc detalle ext 1]]</f>
        <v>*XR 150L                                          NEGRO ROJ</v>
      </c>
      <c r="AA818" s="128" t="e">
        <f>+VLOOKUP(Tabla3[[#This Row],[CODIGO2]],ESTANDAR!$B$3:$C$9,2,FALSE)</f>
        <v>#N/A</v>
      </c>
      <c r="AB818" s="128" t="str">
        <f>+MID(Tabla3[[#This Row],['# Viaje]],10,1)</f>
        <v/>
      </c>
    </row>
    <row r="819" spans="1:28" ht="15" hidden="1" customHeight="1">
      <c r="A819" s="173" t="s">
        <v>1621</v>
      </c>
      <c r="B819" s="174">
        <v>42948</v>
      </c>
      <c r="C819" s="173" t="s">
        <v>1477</v>
      </c>
      <c r="D819" s="173" t="s">
        <v>1487</v>
      </c>
      <c r="E819" s="173" t="s">
        <v>1479</v>
      </c>
      <c r="F819" s="173">
        <v>3</v>
      </c>
      <c r="G819" s="173" t="s">
        <v>172</v>
      </c>
      <c r="H819" s="173">
        <v>3</v>
      </c>
      <c r="I819" s="173" t="s">
        <v>172</v>
      </c>
      <c r="J819" s="173" t="s">
        <v>27</v>
      </c>
      <c r="K819" s="173" t="s">
        <v>26</v>
      </c>
      <c r="L819" s="173"/>
      <c r="M819" s="173" t="s">
        <v>177</v>
      </c>
      <c r="N819" s="173">
        <v>1042768777</v>
      </c>
      <c r="O819" s="175">
        <v>5789916</v>
      </c>
      <c r="P819" s="7"/>
      <c r="Q819" s="16">
        <f>+IF(IFERROR(VLOOKUP(Tabla3[[#This Row],[Cliente factura]],Tabla4[[NIT]:[TOTAL CREDITO]],3,FALSE),0)="",0,IFERROR(VLOOKUP(Tabla3[[#This Row],[Cliente factura]],Tabla4[[NIT]:[TOTAL CREDITO]],3,FALSE),0))</f>
        <v>16000000</v>
      </c>
      <c r="R819" s="9">
        <f>+IFERROR(VLOOKUP(Tabla3[[#This Row],[Cliente factura]],Tabla4[[NIT]:[TOTAL CREDITO]],6,FALSE),0)</f>
        <v>12000000</v>
      </c>
      <c r="S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9" s="10" t="str">
        <f>VLOOKUP(Tabla3[[#This Row],[Razón social cliente factura]]&amp;Tabla3[[#This Row],[Desc. ciudad]],'Estandar de Rutas'!$C$1:$E$553,2,FALSE)</f>
        <v>8.3</v>
      </c>
      <c r="U819" s="130">
        <f>IFERROR(VLOOKUP(Tabla3[[#This Row],[Referencia]]&amp;Tabla3[[#This Row],[Desc detalle ext 1]],Tabla1[[Referencia-Color]:[Disponibilidad]],3,FALSE),0)</f>
        <v>59</v>
      </c>
      <c r="V819" s="13"/>
      <c r="W819" s="17">
        <f>+Tabla3[[#This Row],[Cant. Programada]]*Tabla3[[#This Row],[Precio unit]]</f>
        <v>0</v>
      </c>
      <c r="X819" s="8"/>
      <c r="Y819" s="8"/>
      <c r="Z819" s="8" t="str">
        <f>+Tabla3[[#This Row],[Referencia]]&amp;Tabla3[[#This Row],[Desc detalle ext 1]]</f>
        <v>*XR 150L                                          NEGRO BLA</v>
      </c>
      <c r="AA819" s="128" t="e">
        <f>+VLOOKUP(Tabla3[[#This Row],[CODIGO2]],ESTANDAR!$B$3:$C$9,2,FALSE)</f>
        <v>#N/A</v>
      </c>
      <c r="AB819" s="128" t="str">
        <f>+MID(Tabla3[[#This Row],['# Viaje]],10,1)</f>
        <v/>
      </c>
    </row>
    <row r="820" spans="1:28" ht="15" hidden="1" customHeight="1">
      <c r="A820" s="173" t="s">
        <v>1621</v>
      </c>
      <c r="B820" s="174">
        <v>42948</v>
      </c>
      <c r="C820" s="173" t="s">
        <v>1477</v>
      </c>
      <c r="D820" s="173" t="s">
        <v>1487</v>
      </c>
      <c r="E820" s="173" t="s">
        <v>1479</v>
      </c>
      <c r="F820" s="173">
        <v>4</v>
      </c>
      <c r="G820" s="173" t="s">
        <v>172</v>
      </c>
      <c r="H820" s="173">
        <v>4</v>
      </c>
      <c r="I820" s="173" t="s">
        <v>172</v>
      </c>
      <c r="J820" s="173" t="s">
        <v>27</v>
      </c>
      <c r="K820" s="173" t="s">
        <v>16</v>
      </c>
      <c r="L820" s="173"/>
      <c r="M820" s="173" t="s">
        <v>177</v>
      </c>
      <c r="N820" s="173">
        <v>1042768777</v>
      </c>
      <c r="O820" s="175">
        <v>5789916</v>
      </c>
      <c r="P820" s="7"/>
      <c r="Q820" s="16">
        <f>+IF(IFERROR(VLOOKUP(Tabla3[[#This Row],[Cliente factura]],Tabla4[[NIT]:[TOTAL CREDITO]],3,FALSE),0)="",0,IFERROR(VLOOKUP(Tabla3[[#This Row],[Cliente factura]],Tabla4[[NIT]:[TOTAL CREDITO]],3,FALSE),0))</f>
        <v>16000000</v>
      </c>
      <c r="R820" s="9">
        <f>+IFERROR(VLOOKUP(Tabla3[[#This Row],[Cliente factura]],Tabla4[[NIT]:[TOTAL CREDITO]],6,FALSE),0)</f>
        <v>12000000</v>
      </c>
      <c r="S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0" s="10" t="str">
        <f>VLOOKUP(Tabla3[[#This Row],[Razón social cliente factura]]&amp;Tabla3[[#This Row],[Desc. ciudad]],'Estandar de Rutas'!$C$1:$E$553,2,FALSE)</f>
        <v>8.3</v>
      </c>
      <c r="U820" s="130">
        <f>IFERROR(VLOOKUP(Tabla3[[#This Row],[Referencia]]&amp;Tabla3[[#This Row],[Desc detalle ext 1]],Tabla1[[Referencia-Color]:[Disponibilidad]],3,FALSE),0)</f>
        <v>3</v>
      </c>
      <c r="V820" s="13"/>
      <c r="W820" s="17">
        <f>+Tabla3[[#This Row],[Cant. Programada]]*Tabla3[[#This Row],[Precio unit]]</f>
        <v>0</v>
      </c>
      <c r="X820" s="129"/>
      <c r="Y820" s="129"/>
      <c r="Z820" s="8" t="str">
        <f>+Tabla3[[#This Row],[Referencia]]&amp;Tabla3[[#This Row],[Desc detalle ext 1]]</f>
        <v xml:space="preserve">*XR 150L                                          NEGRO    </v>
      </c>
      <c r="AA820" s="128" t="e">
        <f>+VLOOKUP(Tabla3[[#This Row],[CODIGO2]],ESTANDAR!$B$3:$C$9,2,FALSE)</f>
        <v>#N/A</v>
      </c>
      <c r="AB820" s="128" t="str">
        <f>+MID(Tabla3[[#This Row],['# Viaje]],10,1)</f>
        <v/>
      </c>
    </row>
    <row r="821" spans="1:28" ht="15" hidden="1" customHeight="1">
      <c r="A821" s="173" t="s">
        <v>1621</v>
      </c>
      <c r="B821" s="174">
        <v>42948</v>
      </c>
      <c r="C821" s="173" t="s">
        <v>1477</v>
      </c>
      <c r="D821" s="173" t="s">
        <v>1487</v>
      </c>
      <c r="E821" s="173" t="s">
        <v>1479</v>
      </c>
      <c r="F821" s="173">
        <v>1</v>
      </c>
      <c r="G821" s="173" t="s">
        <v>172</v>
      </c>
      <c r="H821" s="173">
        <v>1</v>
      </c>
      <c r="I821" s="173" t="s">
        <v>172</v>
      </c>
      <c r="J821" s="173" t="s">
        <v>25</v>
      </c>
      <c r="K821" s="173" t="s">
        <v>26</v>
      </c>
      <c r="L821" s="173"/>
      <c r="M821" s="173" t="s">
        <v>177</v>
      </c>
      <c r="N821" s="173">
        <v>1042768777</v>
      </c>
      <c r="O821" s="175">
        <v>3521008</v>
      </c>
      <c r="P821" s="7"/>
      <c r="Q821" s="16">
        <f>+IF(IFERROR(VLOOKUP(Tabla3[[#This Row],[Cliente factura]],Tabla4[[NIT]:[TOTAL CREDITO]],3,FALSE),0)="",0,IFERROR(VLOOKUP(Tabla3[[#This Row],[Cliente factura]],Tabla4[[NIT]:[TOTAL CREDITO]],3,FALSE),0))</f>
        <v>16000000</v>
      </c>
      <c r="R821" s="9">
        <f>+IFERROR(VLOOKUP(Tabla3[[#This Row],[Cliente factura]],Tabla4[[NIT]:[TOTAL CREDITO]],6,FALSE),0)</f>
        <v>12000000</v>
      </c>
      <c r="S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1" s="10" t="str">
        <f>VLOOKUP(Tabla3[[#This Row],[Razón social cliente factura]]&amp;Tabla3[[#This Row],[Desc. ciudad]],'Estandar de Rutas'!$C$1:$E$553,2,FALSE)</f>
        <v>8.3</v>
      </c>
      <c r="U821" s="130">
        <f>IFERROR(VLOOKUP(Tabla3[[#This Row],[Referencia]]&amp;Tabla3[[#This Row],[Desc detalle ext 1]],Tabla1[[Referencia-Color]:[Disponibilidad]],3,FALSE),0)</f>
        <v>15</v>
      </c>
      <c r="V821" s="13"/>
      <c r="W821" s="17">
        <f>+Tabla3[[#This Row],[Cant. Programada]]*Tabla3[[#This Row],[Precio unit]]</f>
        <v>0</v>
      </c>
      <c r="X821" s="129"/>
      <c r="Y821" s="129"/>
      <c r="Z821" s="8" t="str">
        <f>+Tabla3[[#This Row],[Referencia]]&amp;Tabla3[[#This Row],[Desc detalle ext 1]]</f>
        <v>DIO 110                                           NEGRO BLA</v>
      </c>
      <c r="AA821" s="128" t="e">
        <f>+VLOOKUP(Tabla3[[#This Row],[CODIGO2]],ESTANDAR!$B$3:$C$9,2,FALSE)</f>
        <v>#N/A</v>
      </c>
      <c r="AB821" s="128" t="str">
        <f>+MID(Tabla3[[#This Row],['# Viaje]],10,1)</f>
        <v/>
      </c>
    </row>
    <row r="822" spans="1:28" ht="15" hidden="1" customHeight="1">
      <c r="A822" s="173" t="s">
        <v>1621</v>
      </c>
      <c r="B822" s="174">
        <v>42948</v>
      </c>
      <c r="C822" s="173" t="s">
        <v>1477</v>
      </c>
      <c r="D822" s="173" t="s">
        <v>1487</v>
      </c>
      <c r="E822" s="173" t="s">
        <v>1479</v>
      </c>
      <c r="F822" s="173">
        <v>1</v>
      </c>
      <c r="G822" s="173" t="s">
        <v>172</v>
      </c>
      <c r="H822" s="173">
        <v>1</v>
      </c>
      <c r="I822" s="173" t="s">
        <v>172</v>
      </c>
      <c r="J822" s="173" t="s">
        <v>354</v>
      </c>
      <c r="K822" s="173" t="s">
        <v>355</v>
      </c>
      <c r="L822" s="173"/>
      <c r="M822" s="173" t="s">
        <v>177</v>
      </c>
      <c r="N822" s="173">
        <v>1042768777</v>
      </c>
      <c r="O822" s="175">
        <v>6133613</v>
      </c>
      <c r="P822" s="7"/>
      <c r="Q822" s="16">
        <f>+IF(IFERROR(VLOOKUP(Tabla3[[#This Row],[Cliente factura]],Tabla4[[NIT]:[TOTAL CREDITO]],3,FALSE),0)="",0,IFERROR(VLOOKUP(Tabla3[[#This Row],[Cliente factura]],Tabla4[[NIT]:[TOTAL CREDITO]],3,FALSE),0))</f>
        <v>16000000</v>
      </c>
      <c r="R822" s="9">
        <f>+IFERROR(VLOOKUP(Tabla3[[#This Row],[Cliente factura]],Tabla4[[NIT]:[TOTAL CREDITO]],6,FALSE),0)</f>
        <v>12000000</v>
      </c>
      <c r="S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2" s="10" t="str">
        <f>VLOOKUP(Tabla3[[#This Row],[Razón social cliente factura]]&amp;Tabla3[[#This Row],[Desc. ciudad]],'Estandar de Rutas'!$C$1:$E$553,2,FALSE)</f>
        <v>8.3</v>
      </c>
      <c r="U822" s="130">
        <f>IFERROR(VLOOKUP(Tabla3[[#This Row],[Referencia]]&amp;Tabla3[[#This Row],[Desc detalle ext 1]],Tabla1[[Referencia-Color]:[Disponibilidad]],3,FALSE),0)</f>
        <v>0</v>
      </c>
      <c r="V822" s="13"/>
      <c r="W822" s="17">
        <f>+Tabla3[[#This Row],[Cant. Programada]]*Tabla3[[#This Row],[Precio unit]]</f>
        <v>0</v>
      </c>
      <c r="X822" s="129"/>
      <c r="Y822" s="129"/>
      <c r="Z822" s="8" t="str">
        <f>+Tabla3[[#This Row],[Referencia]]&amp;Tabla3[[#This Row],[Desc detalle ext 1]]</f>
        <v>CB 160F DLX                                       NEGRO PER</v>
      </c>
      <c r="AA822" s="128" t="e">
        <f>+VLOOKUP(Tabla3[[#This Row],[CODIGO2]],ESTANDAR!$B$3:$C$9,2,FALSE)</f>
        <v>#N/A</v>
      </c>
      <c r="AB822" s="128" t="str">
        <f>+MID(Tabla3[[#This Row],['# Viaje]],10,1)</f>
        <v/>
      </c>
    </row>
    <row r="823" spans="1:28" ht="15" hidden="1" customHeight="1">
      <c r="A823" s="173" t="s">
        <v>1621</v>
      </c>
      <c r="B823" s="174">
        <v>42948</v>
      </c>
      <c r="C823" s="173" t="s">
        <v>1477</v>
      </c>
      <c r="D823" s="173" t="s">
        <v>1487</v>
      </c>
      <c r="E823" s="173" t="s">
        <v>1479</v>
      </c>
      <c r="F823" s="173">
        <v>1</v>
      </c>
      <c r="G823" s="173" t="s">
        <v>172</v>
      </c>
      <c r="H823" s="173">
        <v>1</v>
      </c>
      <c r="I823" s="173" t="s">
        <v>172</v>
      </c>
      <c r="J823" s="173" t="s">
        <v>1430</v>
      </c>
      <c r="K823" s="173" t="s">
        <v>1432</v>
      </c>
      <c r="L823" s="173"/>
      <c r="M823" s="173" t="s">
        <v>177</v>
      </c>
      <c r="N823" s="173">
        <v>1042768777</v>
      </c>
      <c r="O823" s="175">
        <v>3941176</v>
      </c>
      <c r="P823" s="7"/>
      <c r="Q823" s="16">
        <f>+IF(IFERROR(VLOOKUP(Tabla3[[#This Row],[Cliente factura]],Tabla4[[NIT]:[TOTAL CREDITO]],3,FALSE),0)="",0,IFERROR(VLOOKUP(Tabla3[[#This Row],[Cliente factura]],Tabla4[[NIT]:[TOTAL CREDITO]],3,FALSE),0))</f>
        <v>16000000</v>
      </c>
      <c r="R823" s="9">
        <f>+IFERROR(VLOOKUP(Tabla3[[#This Row],[Cliente factura]],Tabla4[[NIT]:[TOTAL CREDITO]],6,FALSE),0)</f>
        <v>12000000</v>
      </c>
      <c r="S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3" s="10" t="str">
        <f>VLOOKUP(Tabla3[[#This Row],[Razón social cliente factura]]&amp;Tabla3[[#This Row],[Desc. ciudad]],'Estandar de Rutas'!$C$1:$E$553,2,FALSE)</f>
        <v>8.3</v>
      </c>
      <c r="U823" s="130">
        <f>IFERROR(VLOOKUP(Tabla3[[#This Row],[Referencia]]&amp;Tabla3[[#This Row],[Desc detalle ext 1]],Tabla1[[Referencia-Color]:[Disponibilidad]],3,FALSE),0)</f>
        <v>23</v>
      </c>
      <c r="V823" s="13"/>
      <c r="W823" s="17">
        <f>+Tabla3[[#This Row],[Cant. Programada]]*Tabla3[[#This Row],[Precio unit]]</f>
        <v>0</v>
      </c>
      <c r="X823" s="129"/>
      <c r="Y823" s="129"/>
      <c r="Z823" s="8" t="str">
        <f>+Tabla3[[#This Row],[Referencia]]&amp;Tabla3[[#This Row],[Desc detalle ext 1]]</f>
        <v xml:space="preserve">WAVE 110S                                         BLANCO   </v>
      </c>
      <c r="AA823" s="128" t="e">
        <f>+VLOOKUP(Tabla3[[#This Row],[CODIGO2]],ESTANDAR!$B$3:$C$9,2,FALSE)</f>
        <v>#N/A</v>
      </c>
      <c r="AB823" s="128" t="str">
        <f>+MID(Tabla3[[#This Row],['# Viaje]],10,1)</f>
        <v/>
      </c>
    </row>
    <row r="824" spans="1:28" ht="15" hidden="1" customHeight="1">
      <c r="A824" s="173" t="s">
        <v>1621</v>
      </c>
      <c r="B824" s="174">
        <v>42948</v>
      </c>
      <c r="C824" s="173" t="s">
        <v>1477</v>
      </c>
      <c r="D824" s="173" t="s">
        <v>1487</v>
      </c>
      <c r="E824" s="173" t="s">
        <v>1479</v>
      </c>
      <c r="F824" s="173">
        <v>2</v>
      </c>
      <c r="G824" s="173" t="s">
        <v>172</v>
      </c>
      <c r="H824" s="173">
        <v>2</v>
      </c>
      <c r="I824" s="173" t="s">
        <v>172</v>
      </c>
      <c r="J824" s="173" t="s">
        <v>1451</v>
      </c>
      <c r="K824" s="173" t="s">
        <v>1449</v>
      </c>
      <c r="L824" s="173"/>
      <c r="M824" s="173" t="s">
        <v>177</v>
      </c>
      <c r="N824" s="173">
        <v>1042768777</v>
      </c>
      <c r="O824" s="175">
        <v>3696639</v>
      </c>
      <c r="P824" s="7"/>
      <c r="Q824" s="16">
        <f>+IF(IFERROR(VLOOKUP(Tabla3[[#This Row],[Cliente factura]],Tabla4[[NIT]:[TOTAL CREDITO]],3,FALSE),0)="",0,IFERROR(VLOOKUP(Tabla3[[#This Row],[Cliente factura]],Tabla4[[NIT]:[TOTAL CREDITO]],3,FALSE),0))</f>
        <v>16000000</v>
      </c>
      <c r="R824" s="9">
        <f>+IFERROR(VLOOKUP(Tabla3[[#This Row],[Cliente factura]],Tabla4[[NIT]:[TOTAL CREDITO]],6,FALSE),0)</f>
        <v>12000000</v>
      </c>
      <c r="S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4" s="10" t="str">
        <f>VLOOKUP(Tabla3[[#This Row],[Razón social cliente factura]]&amp;Tabla3[[#This Row],[Desc. ciudad]],'Estandar de Rutas'!$C$1:$E$553,2,FALSE)</f>
        <v>8.3</v>
      </c>
      <c r="U824" s="130">
        <f>IFERROR(VLOOKUP(Tabla3[[#This Row],[Referencia]]&amp;Tabla3[[#This Row],[Desc detalle ext 1]],Tabla1[[Referencia-Color]:[Disponibilidad]],3,FALSE),0)</f>
        <v>24</v>
      </c>
      <c r="V824" s="13"/>
      <c r="W824" s="17">
        <f>+Tabla3[[#This Row],[Cant. Programada]]*Tabla3[[#This Row],[Precio unit]]</f>
        <v>0</v>
      </c>
      <c r="X824" s="129"/>
      <c r="Y824" s="129"/>
      <c r="Z824" s="8" t="str">
        <f>+Tabla3[[#This Row],[Referencia]]&amp;Tabla3[[#This Row],[Desc detalle ext 1]]</f>
        <v xml:space="preserve">CB 110 DLX                                        GRIS     </v>
      </c>
      <c r="AA824" s="128" t="e">
        <f>+VLOOKUP(Tabla3[[#This Row],[CODIGO2]],ESTANDAR!$B$3:$C$9,2,FALSE)</f>
        <v>#N/A</v>
      </c>
      <c r="AB824" s="128" t="str">
        <f>+MID(Tabla3[[#This Row],['# Viaje]],10,1)</f>
        <v/>
      </c>
    </row>
    <row r="825" spans="1:28" ht="15" hidden="1" customHeight="1">
      <c r="A825" s="173" t="s">
        <v>1621</v>
      </c>
      <c r="B825" s="174">
        <v>42948</v>
      </c>
      <c r="C825" s="173" t="s">
        <v>1477</v>
      </c>
      <c r="D825" s="173" t="s">
        <v>1487</v>
      </c>
      <c r="E825" s="173" t="s">
        <v>1479</v>
      </c>
      <c r="F825" s="173">
        <v>3</v>
      </c>
      <c r="G825" s="173" t="s">
        <v>172</v>
      </c>
      <c r="H825" s="173">
        <v>3</v>
      </c>
      <c r="I825" s="173" t="s">
        <v>172</v>
      </c>
      <c r="J825" s="173" t="s">
        <v>1451</v>
      </c>
      <c r="K825" s="173" t="s">
        <v>16</v>
      </c>
      <c r="L825" s="173"/>
      <c r="M825" s="173" t="s">
        <v>177</v>
      </c>
      <c r="N825" s="173">
        <v>1042768777</v>
      </c>
      <c r="O825" s="175">
        <v>3696639</v>
      </c>
      <c r="P825" s="7"/>
      <c r="Q825" s="16">
        <f>+IF(IFERROR(VLOOKUP(Tabla3[[#This Row],[Cliente factura]],Tabla4[[NIT]:[TOTAL CREDITO]],3,FALSE),0)="",0,IFERROR(VLOOKUP(Tabla3[[#This Row],[Cliente factura]],Tabla4[[NIT]:[TOTAL CREDITO]],3,FALSE),0))</f>
        <v>16000000</v>
      </c>
      <c r="R825" s="9">
        <f>+IFERROR(VLOOKUP(Tabla3[[#This Row],[Cliente factura]],Tabla4[[NIT]:[TOTAL CREDITO]],6,FALSE),0)</f>
        <v>12000000</v>
      </c>
      <c r="S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5" s="10" t="str">
        <f>VLOOKUP(Tabla3[[#This Row],[Razón social cliente factura]]&amp;Tabla3[[#This Row],[Desc. ciudad]],'Estandar de Rutas'!$C$1:$E$553,2,FALSE)</f>
        <v>8.3</v>
      </c>
      <c r="U825" s="130">
        <f>IFERROR(VLOOKUP(Tabla3[[#This Row],[Referencia]]&amp;Tabla3[[#This Row],[Desc detalle ext 1]],Tabla1[[Referencia-Color]:[Disponibilidad]],3,FALSE),0)</f>
        <v>3</v>
      </c>
      <c r="V825" s="13"/>
      <c r="W825" s="17">
        <f>+Tabla3[[#This Row],[Cant. Programada]]*Tabla3[[#This Row],[Precio unit]]</f>
        <v>0</v>
      </c>
      <c r="X825" s="129"/>
      <c r="Y825" s="129"/>
      <c r="Z825" s="8" t="str">
        <f>+Tabla3[[#This Row],[Referencia]]&amp;Tabla3[[#This Row],[Desc detalle ext 1]]</f>
        <v xml:space="preserve">CB 110 DLX                                        NEGRO    </v>
      </c>
      <c r="AA825" s="128" t="e">
        <f>+VLOOKUP(Tabla3[[#This Row],[CODIGO2]],ESTANDAR!$B$3:$C$9,2,FALSE)</f>
        <v>#N/A</v>
      </c>
      <c r="AB825" s="128" t="str">
        <f>+MID(Tabla3[[#This Row],['# Viaje]],10,1)</f>
        <v/>
      </c>
    </row>
    <row r="826" spans="1:28" ht="15" hidden="1" customHeight="1">
      <c r="A826" s="173" t="s">
        <v>1622</v>
      </c>
      <c r="B826" s="174">
        <v>42948</v>
      </c>
      <c r="C826" s="173" t="s">
        <v>1477</v>
      </c>
      <c r="D826" s="173" t="s">
        <v>1487</v>
      </c>
      <c r="E826" s="173" t="s">
        <v>1479</v>
      </c>
      <c r="F826" s="173">
        <v>3</v>
      </c>
      <c r="G826" s="173" t="s">
        <v>172</v>
      </c>
      <c r="H826" s="173">
        <v>3</v>
      </c>
      <c r="I826" s="173" t="s">
        <v>172</v>
      </c>
      <c r="J826" s="173" t="s">
        <v>27</v>
      </c>
      <c r="K826" s="173" t="s">
        <v>32</v>
      </c>
      <c r="L826" s="173"/>
      <c r="M826" s="173" t="s">
        <v>173</v>
      </c>
      <c r="N826" s="173">
        <v>1042768777</v>
      </c>
      <c r="O826" s="175">
        <v>5789916</v>
      </c>
      <c r="P826" s="7"/>
      <c r="Q826" s="16">
        <f>+IF(IFERROR(VLOOKUP(Tabla3[[#This Row],[Cliente factura]],Tabla4[[NIT]:[TOTAL CREDITO]],3,FALSE),0)="",0,IFERROR(VLOOKUP(Tabla3[[#This Row],[Cliente factura]],Tabla4[[NIT]:[TOTAL CREDITO]],3,FALSE),0))</f>
        <v>16000000</v>
      </c>
      <c r="R826" s="9">
        <f>+IFERROR(VLOOKUP(Tabla3[[#This Row],[Cliente factura]],Tabla4[[NIT]:[TOTAL CREDITO]],6,FALSE),0)</f>
        <v>12000000</v>
      </c>
      <c r="S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6" s="10" t="str">
        <f>VLOOKUP(Tabla3[[#This Row],[Razón social cliente factura]]&amp;Tabla3[[#This Row],[Desc. ciudad]],'Estandar de Rutas'!$C$1:$E$553,2,FALSE)</f>
        <v>8.3</v>
      </c>
      <c r="U826" s="130">
        <f>IFERROR(VLOOKUP(Tabla3[[#This Row],[Referencia]]&amp;Tabla3[[#This Row],[Desc detalle ext 1]],Tabla1[[Referencia-Color]:[Disponibilidad]],3,FALSE),0)</f>
        <v>7</v>
      </c>
      <c r="V826" s="13"/>
      <c r="W826" s="17">
        <f>+Tabla3[[#This Row],[Cant. Programada]]*Tabla3[[#This Row],[Precio unit]]</f>
        <v>0</v>
      </c>
      <c r="X826" s="8"/>
      <c r="Y826" s="8"/>
      <c r="Z826" s="8" t="str">
        <f>+Tabla3[[#This Row],[Referencia]]&amp;Tabla3[[#This Row],[Desc detalle ext 1]]</f>
        <v>*XR 150L                                          NEGRO ROJ</v>
      </c>
      <c r="AA826" s="128" t="e">
        <f>+VLOOKUP(Tabla3[[#This Row],[CODIGO2]],ESTANDAR!$B$3:$C$9,2,FALSE)</f>
        <v>#N/A</v>
      </c>
      <c r="AB826" s="128" t="str">
        <f>+MID(Tabla3[[#This Row],['# Viaje]],10,1)</f>
        <v/>
      </c>
    </row>
    <row r="827" spans="1:28" ht="15" hidden="1" customHeight="1">
      <c r="A827" s="173" t="s">
        <v>1622</v>
      </c>
      <c r="B827" s="174">
        <v>42948</v>
      </c>
      <c r="C827" s="173" t="s">
        <v>1477</v>
      </c>
      <c r="D827" s="173" t="s">
        <v>1487</v>
      </c>
      <c r="E827" s="173" t="s">
        <v>1479</v>
      </c>
      <c r="F827" s="173">
        <v>2</v>
      </c>
      <c r="G827" s="173" t="s">
        <v>172</v>
      </c>
      <c r="H827" s="173">
        <v>2</v>
      </c>
      <c r="I827" s="173" t="s">
        <v>172</v>
      </c>
      <c r="J827" s="173" t="s">
        <v>27</v>
      </c>
      <c r="K827" s="173" t="s">
        <v>26</v>
      </c>
      <c r="L827" s="173"/>
      <c r="M827" s="173" t="s">
        <v>173</v>
      </c>
      <c r="N827" s="173">
        <v>1042768777</v>
      </c>
      <c r="O827" s="175">
        <v>5789916</v>
      </c>
      <c r="P827" s="7"/>
      <c r="Q827" s="16">
        <f>+IF(IFERROR(VLOOKUP(Tabla3[[#This Row],[Cliente factura]],Tabla4[[NIT]:[TOTAL CREDITO]],3,FALSE),0)="",0,IFERROR(VLOOKUP(Tabla3[[#This Row],[Cliente factura]],Tabla4[[NIT]:[TOTAL CREDITO]],3,FALSE),0))</f>
        <v>16000000</v>
      </c>
      <c r="R827" s="9">
        <f>+IFERROR(VLOOKUP(Tabla3[[#This Row],[Cliente factura]],Tabla4[[NIT]:[TOTAL CREDITO]],6,FALSE),0)</f>
        <v>12000000</v>
      </c>
      <c r="S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7" s="10" t="str">
        <f>VLOOKUP(Tabla3[[#This Row],[Razón social cliente factura]]&amp;Tabla3[[#This Row],[Desc. ciudad]],'Estandar de Rutas'!$C$1:$E$553,2,FALSE)</f>
        <v>8.3</v>
      </c>
      <c r="U827" s="130">
        <f>IFERROR(VLOOKUP(Tabla3[[#This Row],[Referencia]]&amp;Tabla3[[#This Row],[Desc detalle ext 1]],Tabla1[[Referencia-Color]:[Disponibilidad]],3,FALSE),0)</f>
        <v>59</v>
      </c>
      <c r="V827" s="13"/>
      <c r="W827" s="17">
        <f>+Tabla3[[#This Row],[Cant. Programada]]*Tabla3[[#This Row],[Precio unit]]</f>
        <v>0</v>
      </c>
      <c r="X827" s="129"/>
      <c r="Y827" s="129"/>
      <c r="Z827" s="8" t="str">
        <f>+Tabla3[[#This Row],[Referencia]]&amp;Tabla3[[#This Row],[Desc detalle ext 1]]</f>
        <v>*XR 150L                                          NEGRO BLA</v>
      </c>
      <c r="AA827" s="128" t="e">
        <f>+VLOOKUP(Tabla3[[#This Row],[CODIGO2]],ESTANDAR!$B$3:$C$9,2,FALSE)</f>
        <v>#N/A</v>
      </c>
      <c r="AB827" s="128" t="str">
        <f>+MID(Tabla3[[#This Row],['# Viaje]],10,1)</f>
        <v/>
      </c>
    </row>
    <row r="828" spans="1:28" ht="15" hidden="1" customHeight="1">
      <c r="A828" s="173" t="s">
        <v>1622</v>
      </c>
      <c r="B828" s="174">
        <v>42948</v>
      </c>
      <c r="C828" s="173" t="s">
        <v>1477</v>
      </c>
      <c r="D828" s="173" t="s">
        <v>1487</v>
      </c>
      <c r="E828" s="173" t="s">
        <v>1479</v>
      </c>
      <c r="F828" s="173">
        <v>3</v>
      </c>
      <c r="G828" s="173" t="s">
        <v>172</v>
      </c>
      <c r="H828" s="173">
        <v>3</v>
      </c>
      <c r="I828" s="173" t="s">
        <v>172</v>
      </c>
      <c r="J828" s="173" t="s">
        <v>27</v>
      </c>
      <c r="K828" s="173" t="s">
        <v>16</v>
      </c>
      <c r="L828" s="173"/>
      <c r="M828" s="173" t="s">
        <v>173</v>
      </c>
      <c r="N828" s="173">
        <v>1042768777</v>
      </c>
      <c r="O828" s="175">
        <v>5789916</v>
      </c>
      <c r="P828" s="7"/>
      <c r="Q828" s="16">
        <f>+IF(IFERROR(VLOOKUP(Tabla3[[#This Row],[Cliente factura]],Tabla4[[NIT]:[TOTAL CREDITO]],3,FALSE),0)="",0,IFERROR(VLOOKUP(Tabla3[[#This Row],[Cliente factura]],Tabla4[[NIT]:[TOTAL CREDITO]],3,FALSE),0))</f>
        <v>16000000</v>
      </c>
      <c r="R828" s="9">
        <f>+IFERROR(VLOOKUP(Tabla3[[#This Row],[Cliente factura]],Tabla4[[NIT]:[TOTAL CREDITO]],6,FALSE),0)</f>
        <v>12000000</v>
      </c>
      <c r="S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8" s="10" t="str">
        <f>VLOOKUP(Tabla3[[#This Row],[Razón social cliente factura]]&amp;Tabla3[[#This Row],[Desc. ciudad]],'Estandar de Rutas'!$C$1:$E$553,2,FALSE)</f>
        <v>8.3</v>
      </c>
      <c r="U828" s="130">
        <f>IFERROR(VLOOKUP(Tabla3[[#This Row],[Referencia]]&amp;Tabla3[[#This Row],[Desc detalle ext 1]],Tabla1[[Referencia-Color]:[Disponibilidad]],3,FALSE),0)</f>
        <v>3</v>
      </c>
      <c r="V828" s="13"/>
      <c r="W828" s="17">
        <f>+Tabla3[[#This Row],[Cant. Programada]]*Tabla3[[#This Row],[Precio unit]]</f>
        <v>0</v>
      </c>
      <c r="X828" s="129"/>
      <c r="Y828" s="129"/>
      <c r="Z828" s="8" t="str">
        <f>+Tabla3[[#This Row],[Referencia]]&amp;Tabla3[[#This Row],[Desc detalle ext 1]]</f>
        <v xml:space="preserve">*XR 150L                                          NEGRO    </v>
      </c>
      <c r="AA828" s="128" t="e">
        <f>+VLOOKUP(Tabla3[[#This Row],[CODIGO2]],ESTANDAR!$B$3:$C$9,2,FALSE)</f>
        <v>#N/A</v>
      </c>
      <c r="AB828" s="128" t="str">
        <f>+MID(Tabla3[[#This Row],['# Viaje]],10,1)</f>
        <v/>
      </c>
    </row>
    <row r="829" spans="1:28" ht="15" hidden="1" customHeight="1">
      <c r="A829" s="173" t="s">
        <v>1622</v>
      </c>
      <c r="B829" s="174">
        <v>42948</v>
      </c>
      <c r="C829" s="173" t="s">
        <v>1477</v>
      </c>
      <c r="D829" s="173" t="s">
        <v>1487</v>
      </c>
      <c r="E829" s="173" t="s">
        <v>1479</v>
      </c>
      <c r="F829" s="173">
        <v>1</v>
      </c>
      <c r="G829" s="173" t="s">
        <v>172</v>
      </c>
      <c r="H829" s="173">
        <v>1</v>
      </c>
      <c r="I829" s="173" t="s">
        <v>172</v>
      </c>
      <c r="J829" s="173" t="s">
        <v>1451</v>
      </c>
      <c r="K829" s="173" t="s">
        <v>1449</v>
      </c>
      <c r="L829" s="173"/>
      <c r="M829" s="173" t="s">
        <v>173</v>
      </c>
      <c r="N829" s="173">
        <v>1042768777</v>
      </c>
      <c r="O829" s="175">
        <v>3696639</v>
      </c>
      <c r="P829" s="7"/>
      <c r="Q829" s="16">
        <f>+IF(IFERROR(VLOOKUP(Tabla3[[#This Row],[Cliente factura]],Tabla4[[NIT]:[TOTAL CREDITO]],3,FALSE),0)="",0,IFERROR(VLOOKUP(Tabla3[[#This Row],[Cliente factura]],Tabla4[[NIT]:[TOTAL CREDITO]],3,FALSE),0))</f>
        <v>16000000</v>
      </c>
      <c r="R829" s="9">
        <f>+IFERROR(VLOOKUP(Tabla3[[#This Row],[Cliente factura]],Tabla4[[NIT]:[TOTAL CREDITO]],6,FALSE),0)</f>
        <v>12000000</v>
      </c>
      <c r="S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9" s="10" t="str">
        <f>VLOOKUP(Tabla3[[#This Row],[Razón social cliente factura]]&amp;Tabla3[[#This Row],[Desc. ciudad]],'Estandar de Rutas'!$C$1:$E$553,2,FALSE)</f>
        <v>8.3</v>
      </c>
      <c r="U829" s="130">
        <f>IFERROR(VLOOKUP(Tabla3[[#This Row],[Referencia]]&amp;Tabla3[[#This Row],[Desc detalle ext 1]],Tabla1[[Referencia-Color]:[Disponibilidad]],3,FALSE),0)</f>
        <v>24</v>
      </c>
      <c r="V829" s="13"/>
      <c r="W829" s="17">
        <f>+Tabla3[[#This Row],[Cant. Programada]]*Tabla3[[#This Row],[Precio unit]]</f>
        <v>0</v>
      </c>
      <c r="X829" s="129"/>
      <c r="Y829" s="129"/>
      <c r="Z829" s="8" t="str">
        <f>+Tabla3[[#This Row],[Referencia]]&amp;Tabla3[[#This Row],[Desc detalle ext 1]]</f>
        <v xml:space="preserve">CB 110 DLX                                        GRIS     </v>
      </c>
      <c r="AA829" s="128" t="e">
        <f>+VLOOKUP(Tabla3[[#This Row],[CODIGO2]],ESTANDAR!$B$3:$C$9,2,FALSE)</f>
        <v>#N/A</v>
      </c>
      <c r="AB829" s="128" t="str">
        <f>+MID(Tabla3[[#This Row],['# Viaje]],10,1)</f>
        <v/>
      </c>
    </row>
    <row r="830" spans="1:28" hidden="1">
      <c r="A830" s="173" t="s">
        <v>1622</v>
      </c>
      <c r="B830" s="174">
        <v>42948</v>
      </c>
      <c r="C830" s="173" t="s">
        <v>1477</v>
      </c>
      <c r="D830" s="173" t="s">
        <v>1487</v>
      </c>
      <c r="E830" s="173" t="s">
        <v>1479</v>
      </c>
      <c r="F830" s="173">
        <v>1</v>
      </c>
      <c r="G830" s="173" t="s">
        <v>172</v>
      </c>
      <c r="H830" s="173">
        <v>1</v>
      </c>
      <c r="I830" s="173" t="s">
        <v>172</v>
      </c>
      <c r="J830" s="173" t="s">
        <v>1451</v>
      </c>
      <c r="K830" s="173" t="s">
        <v>16</v>
      </c>
      <c r="L830" s="173"/>
      <c r="M830" s="173" t="s">
        <v>173</v>
      </c>
      <c r="N830" s="173">
        <v>1042768777</v>
      </c>
      <c r="O830" s="175">
        <v>3696639</v>
      </c>
      <c r="P830" s="7"/>
      <c r="Q830" s="16">
        <f>+IF(IFERROR(VLOOKUP(Tabla3[[#This Row],[Cliente factura]],Tabla4[[NIT]:[TOTAL CREDITO]],3,FALSE),0)="",0,IFERROR(VLOOKUP(Tabla3[[#This Row],[Cliente factura]],Tabla4[[NIT]:[TOTAL CREDITO]],3,FALSE),0))</f>
        <v>16000000</v>
      </c>
      <c r="R830" s="9">
        <f>+IFERROR(VLOOKUP(Tabla3[[#This Row],[Cliente factura]],Tabla4[[NIT]:[TOTAL CREDITO]],6,FALSE),0)</f>
        <v>12000000</v>
      </c>
      <c r="S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0" s="10" t="str">
        <f>VLOOKUP(Tabla3[[#This Row],[Razón social cliente factura]]&amp;Tabla3[[#This Row],[Desc. ciudad]],'Estandar de Rutas'!$C$1:$E$553,2,FALSE)</f>
        <v>8.3</v>
      </c>
      <c r="U830" s="130">
        <f>IFERROR(VLOOKUP(Tabla3[[#This Row],[Referencia]]&amp;Tabla3[[#This Row],[Desc detalle ext 1]],Tabla1[[Referencia-Color]:[Disponibilidad]],3,FALSE),0)</f>
        <v>3</v>
      </c>
      <c r="V830" s="13"/>
      <c r="W830" s="17">
        <f>+Tabla3[[#This Row],[Cant. Programada]]*Tabla3[[#This Row],[Precio unit]]</f>
        <v>0</v>
      </c>
      <c r="X830" s="129"/>
      <c r="Y830" s="129"/>
      <c r="Z830" s="8" t="str">
        <f>+Tabla3[[#This Row],[Referencia]]&amp;Tabla3[[#This Row],[Desc detalle ext 1]]</f>
        <v xml:space="preserve">CB 110 DLX                                        NEGRO    </v>
      </c>
      <c r="AA830" s="128" t="e">
        <f>+VLOOKUP(Tabla3[[#This Row],[CODIGO2]],ESTANDAR!$B$3:$C$9,2,FALSE)</f>
        <v>#N/A</v>
      </c>
      <c r="AB830" s="128" t="str">
        <f>+MID(Tabla3[[#This Row],['# Viaje]],10,1)</f>
        <v/>
      </c>
    </row>
    <row r="831" spans="1:28" ht="15" hidden="1" customHeight="1">
      <c r="A831" s="173" t="s">
        <v>1623</v>
      </c>
      <c r="B831" s="174">
        <v>42948</v>
      </c>
      <c r="C831" s="173" t="s">
        <v>1231</v>
      </c>
      <c r="D831" s="173" t="s">
        <v>1237</v>
      </c>
      <c r="E831" s="173" t="s">
        <v>1232</v>
      </c>
      <c r="F831" s="173">
        <v>1</v>
      </c>
      <c r="G831" s="173" t="s">
        <v>189</v>
      </c>
      <c r="H831" s="173">
        <v>1</v>
      </c>
      <c r="I831" s="173" t="s">
        <v>1471</v>
      </c>
      <c r="J831" s="173" t="s">
        <v>1234</v>
      </c>
      <c r="K831" s="173" t="s">
        <v>44</v>
      </c>
      <c r="L831" s="173"/>
      <c r="M831" s="173" t="s">
        <v>254</v>
      </c>
      <c r="N831" s="173">
        <v>860062808</v>
      </c>
      <c r="O831" s="175">
        <v>5453782</v>
      </c>
      <c r="P831" s="7"/>
      <c r="Q8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31" s="9">
        <f>+IFERROR(VLOOKUP(Tabla3[[#This Row],[Cliente factura]],Tabla4[[NIT]:[TOTAL CREDITO]],6,FALSE),0)</f>
        <v>0</v>
      </c>
      <c r="S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1" s="10" t="str">
        <f>VLOOKUP(Tabla3[[#This Row],[Razón social cliente factura]]&amp;Tabla3[[#This Row],[Desc. ciudad]],'Estandar de Rutas'!$C$1:$E$553,2,FALSE)</f>
        <v>7.1.A</v>
      </c>
      <c r="U831" s="130">
        <f>IFERROR(VLOOKUP(Tabla3[[#This Row],[Referencia]]&amp;Tabla3[[#This Row],[Desc detalle ext 1]],Tabla1[[Referencia-Color]:[Disponibilidad]],3,FALSE),0)</f>
        <v>1</v>
      </c>
      <c r="V831" s="13"/>
      <c r="W831" s="17">
        <f>+Tabla3[[#This Row],[Cant. Programada]]*Tabla3[[#This Row],[Precio unit]]</f>
        <v>0</v>
      </c>
      <c r="X831" s="8"/>
      <c r="Y831" s="8"/>
      <c r="Z831" s="8" t="str">
        <f>+Tabla3[[#This Row],[Referencia]]&amp;Tabla3[[#This Row],[Desc detalle ext 1]]</f>
        <v>CB 160F STD                                       BLANCO PE</v>
      </c>
      <c r="AA831" s="128" t="e">
        <f>+VLOOKUP(Tabla3[[#This Row],[CODIGO2]],ESTANDAR!$B$3:$C$9,2,FALSE)</f>
        <v>#N/A</v>
      </c>
      <c r="AB831" s="128" t="str">
        <f>+MID(Tabla3[[#This Row],['# Viaje]],10,1)</f>
        <v/>
      </c>
    </row>
    <row r="832" spans="1:28" ht="15" hidden="1" customHeight="1">
      <c r="A832" s="173" t="s">
        <v>1624</v>
      </c>
      <c r="B832" s="174">
        <v>42948</v>
      </c>
      <c r="C832" s="173" t="s">
        <v>1231</v>
      </c>
      <c r="D832" s="173" t="s">
        <v>1487</v>
      </c>
      <c r="E832" s="173" t="s">
        <v>1479</v>
      </c>
      <c r="F832" s="173">
        <v>2</v>
      </c>
      <c r="G832" s="173" t="s">
        <v>93</v>
      </c>
      <c r="H832" s="173">
        <v>2</v>
      </c>
      <c r="I832" s="173" t="s">
        <v>1625</v>
      </c>
      <c r="J832" s="173" t="s">
        <v>14</v>
      </c>
      <c r="K832" s="173" t="s">
        <v>1418</v>
      </c>
      <c r="L832" s="173"/>
      <c r="M832" s="173" t="s">
        <v>238</v>
      </c>
      <c r="N832" s="173">
        <v>812004443</v>
      </c>
      <c r="O832" s="175">
        <v>3360504</v>
      </c>
      <c r="P832" s="7"/>
      <c r="Q832" s="16">
        <f>+IF(IFERROR(VLOOKUP(Tabla3[[#This Row],[Cliente factura]],Tabla4[[NIT]:[TOTAL CREDITO]],3,FALSE),0)="",0,IFERROR(VLOOKUP(Tabla3[[#This Row],[Cliente factura]],Tabla4[[NIT]:[TOTAL CREDITO]],3,FALSE),0))</f>
        <v>0</v>
      </c>
      <c r="R832" s="9">
        <f>+IFERROR(VLOOKUP(Tabla3[[#This Row],[Cliente factura]],Tabla4[[NIT]:[TOTAL CREDITO]],6,FALSE),0)</f>
        <v>126683387</v>
      </c>
      <c r="S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2" s="10" t="str">
        <f>VLOOKUP(Tabla3[[#This Row],[Razón social cliente factura]]&amp;Tabla3[[#This Row],[Desc. ciudad]],'Estandar de Rutas'!$C$1:$E$553,2,FALSE)</f>
        <v>9.2</v>
      </c>
      <c r="U832" s="130">
        <f>IFERROR(VLOOKUP(Tabla3[[#This Row],[Referencia]]&amp;Tabla3[[#This Row],[Desc detalle ext 1]],Tabla1[[Referencia-Color]:[Disponibilidad]],3,FALSE),0)</f>
        <v>0</v>
      </c>
      <c r="V832" s="13"/>
      <c r="W832" s="17">
        <f>+Tabla3[[#This Row],[Cant. Programada]]*Tabla3[[#This Row],[Precio unit]]</f>
        <v>0</v>
      </c>
      <c r="X832" s="129"/>
      <c r="Y832" s="129"/>
      <c r="Z832" s="8" t="str">
        <f>+Tabla3[[#This Row],[Referencia]]&amp;Tabla3[[#This Row],[Desc detalle ext 1]]</f>
        <v>*CB-110                                           VERDE CAN</v>
      </c>
      <c r="AA832" s="128" t="e">
        <f>+VLOOKUP(Tabla3[[#This Row],[CODIGO2]],ESTANDAR!$B$3:$C$9,2,FALSE)</f>
        <v>#N/A</v>
      </c>
      <c r="AB832" s="128" t="str">
        <f>+MID(Tabla3[[#This Row],['# Viaje]],10,1)</f>
        <v/>
      </c>
    </row>
    <row r="833" spans="1:28" ht="15" hidden="1" customHeight="1">
      <c r="A833" s="173" t="s">
        <v>1626</v>
      </c>
      <c r="B833" s="174">
        <v>42948</v>
      </c>
      <c r="C833" s="173" t="s">
        <v>1231</v>
      </c>
      <c r="D833" s="173" t="s">
        <v>1487</v>
      </c>
      <c r="E833" s="173" t="s">
        <v>1479</v>
      </c>
      <c r="F833" s="173">
        <v>2</v>
      </c>
      <c r="G833" s="173" t="s">
        <v>93</v>
      </c>
      <c r="H833" s="173">
        <v>2</v>
      </c>
      <c r="I833" s="173" t="s">
        <v>1627</v>
      </c>
      <c r="J833" s="173" t="s">
        <v>1451</v>
      </c>
      <c r="K833" s="173" t="s">
        <v>1449</v>
      </c>
      <c r="L833" s="173"/>
      <c r="M833" s="173" t="s">
        <v>196</v>
      </c>
      <c r="N833" s="173">
        <v>812004443</v>
      </c>
      <c r="O833" s="175">
        <v>3696639</v>
      </c>
      <c r="P833" s="7"/>
      <c r="Q833" s="16">
        <f>+IF(IFERROR(VLOOKUP(Tabla3[[#This Row],[Cliente factura]],Tabla4[[NIT]:[TOTAL CREDITO]],3,FALSE),0)="",0,IFERROR(VLOOKUP(Tabla3[[#This Row],[Cliente factura]],Tabla4[[NIT]:[TOTAL CREDITO]],3,FALSE),0))</f>
        <v>0</v>
      </c>
      <c r="R833" s="9">
        <f>+IFERROR(VLOOKUP(Tabla3[[#This Row],[Cliente factura]],Tabla4[[NIT]:[TOTAL CREDITO]],6,FALSE),0)</f>
        <v>126683387</v>
      </c>
      <c r="S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3" s="10" t="str">
        <f>VLOOKUP(Tabla3[[#This Row],[Razón social cliente factura]]&amp;Tabla3[[#This Row],[Desc. ciudad]],'Estandar de Rutas'!$C$1:$E$553,2,FALSE)</f>
        <v>10.2</v>
      </c>
      <c r="U833" s="130">
        <f>IFERROR(VLOOKUP(Tabla3[[#This Row],[Referencia]]&amp;Tabla3[[#This Row],[Desc detalle ext 1]],Tabla1[[Referencia-Color]:[Disponibilidad]],3,FALSE),0)</f>
        <v>24</v>
      </c>
      <c r="V833" s="13"/>
      <c r="W833" s="17">
        <f>+Tabla3[[#This Row],[Cant. Programada]]*Tabla3[[#This Row],[Precio unit]]</f>
        <v>0</v>
      </c>
      <c r="X833" s="129"/>
      <c r="Y833" s="129"/>
      <c r="Z833" s="8" t="str">
        <f>+Tabla3[[#This Row],[Referencia]]&amp;Tabla3[[#This Row],[Desc detalle ext 1]]</f>
        <v xml:space="preserve">CB 110 DLX                                        GRIS     </v>
      </c>
      <c r="AA833" s="128" t="e">
        <f>+VLOOKUP(Tabla3[[#This Row],[CODIGO2]],ESTANDAR!$B$3:$C$9,2,FALSE)</f>
        <v>#N/A</v>
      </c>
      <c r="AB833" s="128" t="str">
        <f>+MID(Tabla3[[#This Row],['# Viaje]],10,1)</f>
        <v/>
      </c>
    </row>
    <row r="834" spans="1:28" ht="15" hidden="1" customHeight="1">
      <c r="A834" s="173" t="s">
        <v>1628</v>
      </c>
      <c r="B834" s="174">
        <v>42948</v>
      </c>
      <c r="C834" s="173" t="s">
        <v>1231</v>
      </c>
      <c r="D834" s="173" t="s">
        <v>1487</v>
      </c>
      <c r="E834" s="173" t="s">
        <v>1479</v>
      </c>
      <c r="F834" s="173">
        <v>1</v>
      </c>
      <c r="G834" s="173" t="s">
        <v>93</v>
      </c>
      <c r="H834" s="173">
        <v>1</v>
      </c>
      <c r="I834" s="173" t="s">
        <v>1629</v>
      </c>
      <c r="J834" s="173" t="s">
        <v>354</v>
      </c>
      <c r="K834" s="173" t="s">
        <v>355</v>
      </c>
      <c r="L834" s="173"/>
      <c r="M834" s="173" t="s">
        <v>243</v>
      </c>
      <c r="N834" s="173">
        <v>812004443</v>
      </c>
      <c r="O834" s="175">
        <v>6133613</v>
      </c>
      <c r="P834" s="7"/>
      <c r="Q834" s="16">
        <f>+IF(IFERROR(VLOOKUP(Tabla3[[#This Row],[Cliente factura]],Tabla4[[NIT]:[TOTAL CREDITO]],3,FALSE),0)="",0,IFERROR(VLOOKUP(Tabla3[[#This Row],[Cliente factura]],Tabla4[[NIT]:[TOTAL CREDITO]],3,FALSE),0))</f>
        <v>0</v>
      </c>
      <c r="R834" s="9">
        <f>+IFERROR(VLOOKUP(Tabla3[[#This Row],[Cliente factura]],Tabla4[[NIT]:[TOTAL CREDITO]],6,FALSE),0)</f>
        <v>126683387</v>
      </c>
      <c r="S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4" s="10" t="str">
        <f>VLOOKUP(Tabla3[[#This Row],[Razón social cliente factura]]&amp;Tabla3[[#This Row],[Desc. ciudad]],'Estandar de Rutas'!$C$1:$E$553,2,FALSE)</f>
        <v>10.1</v>
      </c>
      <c r="U834" s="130">
        <f>IFERROR(VLOOKUP(Tabla3[[#This Row],[Referencia]]&amp;Tabla3[[#This Row],[Desc detalle ext 1]],Tabla1[[Referencia-Color]:[Disponibilidad]],3,FALSE),0)</f>
        <v>0</v>
      </c>
      <c r="V834" s="13"/>
      <c r="W834" s="17">
        <f>+Tabla3[[#This Row],[Cant. Programada]]*Tabla3[[#This Row],[Precio unit]]</f>
        <v>0</v>
      </c>
      <c r="X834" s="129"/>
      <c r="Y834" s="129"/>
      <c r="Z834" s="8" t="str">
        <f>+Tabla3[[#This Row],[Referencia]]&amp;Tabla3[[#This Row],[Desc detalle ext 1]]</f>
        <v>CB 160F DLX                                       NEGRO PER</v>
      </c>
      <c r="AA834" s="128" t="e">
        <f>+VLOOKUP(Tabla3[[#This Row],[CODIGO2]],ESTANDAR!$B$3:$C$9,2,FALSE)</f>
        <v>#N/A</v>
      </c>
      <c r="AB834" s="128" t="str">
        <f>+MID(Tabla3[[#This Row],['# Viaje]],10,1)</f>
        <v/>
      </c>
    </row>
    <row r="835" spans="1:28" ht="15" hidden="1" customHeight="1">
      <c r="A835" s="173" t="s">
        <v>1630</v>
      </c>
      <c r="B835" s="174">
        <v>42948</v>
      </c>
      <c r="C835" s="173" t="s">
        <v>1477</v>
      </c>
      <c r="D835" s="173" t="s">
        <v>1487</v>
      </c>
      <c r="E835" s="173" t="s">
        <v>1479</v>
      </c>
      <c r="F835" s="173">
        <v>1</v>
      </c>
      <c r="G835" s="173" t="s">
        <v>144</v>
      </c>
      <c r="H835" s="173">
        <v>1</v>
      </c>
      <c r="I835" s="173" t="s">
        <v>1631</v>
      </c>
      <c r="J835" s="173" t="s">
        <v>1428</v>
      </c>
      <c r="K835" s="173" t="s">
        <v>32</v>
      </c>
      <c r="L835" s="173"/>
      <c r="M835" s="173" t="s">
        <v>237</v>
      </c>
      <c r="N835" s="173">
        <v>900345712</v>
      </c>
      <c r="O835" s="175">
        <v>3067227</v>
      </c>
      <c r="P835" s="7"/>
      <c r="Q8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5" s="9">
        <f>+IFERROR(VLOOKUP(Tabla3[[#This Row],[Cliente factura]],Tabla4[[NIT]:[TOTAL CREDITO]],6,FALSE),0)</f>
        <v>0</v>
      </c>
      <c r="S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5" s="10" t="str">
        <f>VLOOKUP(Tabla3[[#This Row],[Razón social cliente factura]]&amp;Tabla3[[#This Row],[Desc. ciudad]],'Estandar de Rutas'!$C$1:$E$553,2,FALSE)</f>
        <v>10.1.A</v>
      </c>
      <c r="U835" s="130">
        <f>IFERROR(VLOOKUP(Tabla3[[#This Row],[Referencia]]&amp;Tabla3[[#This Row],[Desc detalle ext 1]],Tabla1[[Referencia-Color]:[Disponibilidad]],3,FALSE),0)</f>
        <v>0</v>
      </c>
      <c r="V835" s="13"/>
      <c r="W835" s="17">
        <f>+Tabla3[[#This Row],[Cant. Programada]]*Tabla3[[#This Row],[Precio unit]]</f>
        <v>0</v>
      </c>
      <c r="X835" s="8"/>
      <c r="Y835" s="8"/>
      <c r="Z835" s="8" t="str">
        <f>+Tabla3[[#This Row],[Referencia]]&amp;Tabla3[[#This Row],[Desc detalle ext 1]]</f>
        <v>DREAM  NEO                                        NEGRO ROJ</v>
      </c>
      <c r="AA835" s="128" t="e">
        <f>+VLOOKUP(Tabla3[[#This Row],[CODIGO2]],ESTANDAR!$B$3:$C$9,2,FALSE)</f>
        <v>#N/A</v>
      </c>
      <c r="AB835" s="128" t="str">
        <f>+MID(Tabla3[[#This Row],['# Viaje]],10,1)</f>
        <v/>
      </c>
    </row>
    <row r="836" spans="1:28" ht="15" hidden="1" customHeight="1">
      <c r="A836" s="173" t="s">
        <v>1630</v>
      </c>
      <c r="B836" s="174">
        <v>42948</v>
      </c>
      <c r="C836" s="173" t="s">
        <v>1477</v>
      </c>
      <c r="D836" s="173" t="s">
        <v>1487</v>
      </c>
      <c r="E836" s="173" t="s">
        <v>1479</v>
      </c>
      <c r="F836" s="173">
        <v>1</v>
      </c>
      <c r="G836" s="173" t="s">
        <v>144</v>
      </c>
      <c r="H836" s="173">
        <v>1</v>
      </c>
      <c r="I836" s="173" t="s">
        <v>1631</v>
      </c>
      <c r="J836" s="173" t="s">
        <v>1428</v>
      </c>
      <c r="K836" s="173" t="s">
        <v>1429</v>
      </c>
      <c r="L836" s="173"/>
      <c r="M836" s="173" t="s">
        <v>237</v>
      </c>
      <c r="N836" s="173">
        <v>900345712</v>
      </c>
      <c r="O836" s="175">
        <v>3067227</v>
      </c>
      <c r="P836" s="7"/>
      <c r="Q8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6" s="9">
        <f>+IFERROR(VLOOKUP(Tabla3[[#This Row],[Cliente factura]],Tabla4[[NIT]:[TOTAL CREDITO]],6,FALSE),0)</f>
        <v>0</v>
      </c>
      <c r="S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6" s="10" t="str">
        <f>VLOOKUP(Tabla3[[#This Row],[Razón social cliente factura]]&amp;Tabla3[[#This Row],[Desc. ciudad]],'Estandar de Rutas'!$C$1:$E$553,2,FALSE)</f>
        <v>10.1.A</v>
      </c>
      <c r="U836" s="130">
        <f>IFERROR(VLOOKUP(Tabla3[[#This Row],[Referencia]]&amp;Tabla3[[#This Row],[Desc detalle ext 1]],Tabla1[[Referencia-Color]:[Disponibilidad]],3,FALSE),0)</f>
        <v>0</v>
      </c>
      <c r="V836" s="13"/>
      <c r="W836" s="17">
        <f>+Tabla3[[#This Row],[Cant. Programada]]*Tabla3[[#This Row],[Precio unit]]</f>
        <v>0</v>
      </c>
      <c r="X836" s="8"/>
      <c r="Y836" s="8"/>
      <c r="Z836" s="8" t="str">
        <f>+Tabla3[[#This Row],[Referencia]]&amp;Tabla3[[#This Row],[Desc detalle ext 1]]</f>
        <v>DREAM  NEO                                        NEGRO AZU</v>
      </c>
      <c r="AA836" s="128" t="e">
        <f>+VLOOKUP(Tabla3[[#This Row],[CODIGO2]],ESTANDAR!$B$3:$C$9,2,FALSE)</f>
        <v>#N/A</v>
      </c>
      <c r="AB836" s="128" t="str">
        <f>+MID(Tabla3[[#This Row],['# Viaje]],10,1)</f>
        <v/>
      </c>
    </row>
    <row r="837" spans="1:28" ht="15" hidden="1" customHeight="1">
      <c r="A837" s="173" t="s">
        <v>1630</v>
      </c>
      <c r="B837" s="174">
        <v>42948</v>
      </c>
      <c r="C837" s="173" t="s">
        <v>1477</v>
      </c>
      <c r="D837" s="173" t="s">
        <v>1487</v>
      </c>
      <c r="E837" s="173" t="s">
        <v>1479</v>
      </c>
      <c r="F837" s="173">
        <v>1</v>
      </c>
      <c r="G837" s="173" t="s">
        <v>144</v>
      </c>
      <c r="H837" s="173">
        <v>1</v>
      </c>
      <c r="I837" s="173" t="s">
        <v>1631</v>
      </c>
      <c r="J837" s="173" t="s">
        <v>1451</v>
      </c>
      <c r="K837" s="173" t="s">
        <v>1449</v>
      </c>
      <c r="L837" s="173"/>
      <c r="M837" s="173" t="s">
        <v>237</v>
      </c>
      <c r="N837" s="173">
        <v>900345712</v>
      </c>
      <c r="O837" s="175">
        <v>3696639</v>
      </c>
      <c r="P837" s="7"/>
      <c r="Q8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7" s="9">
        <f>+IFERROR(VLOOKUP(Tabla3[[#This Row],[Cliente factura]],Tabla4[[NIT]:[TOTAL CREDITO]],6,FALSE),0)</f>
        <v>0</v>
      </c>
      <c r="S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7" s="10" t="str">
        <f>VLOOKUP(Tabla3[[#This Row],[Razón social cliente factura]]&amp;Tabla3[[#This Row],[Desc. ciudad]],'Estandar de Rutas'!$C$1:$E$553,2,FALSE)</f>
        <v>10.1.A</v>
      </c>
      <c r="U837" s="130">
        <f>IFERROR(VLOOKUP(Tabla3[[#This Row],[Referencia]]&amp;Tabla3[[#This Row],[Desc detalle ext 1]],Tabla1[[Referencia-Color]:[Disponibilidad]],3,FALSE),0)</f>
        <v>24</v>
      </c>
      <c r="V837" s="13"/>
      <c r="W837" s="17">
        <f>+Tabla3[[#This Row],[Cant. Programada]]*Tabla3[[#This Row],[Precio unit]]</f>
        <v>0</v>
      </c>
      <c r="X837" s="8"/>
      <c r="Y837" s="8"/>
      <c r="Z837" s="8" t="str">
        <f>+Tabla3[[#This Row],[Referencia]]&amp;Tabla3[[#This Row],[Desc detalle ext 1]]</f>
        <v xml:space="preserve">CB 110 DLX                                        GRIS     </v>
      </c>
      <c r="AA837" s="128" t="e">
        <f>+VLOOKUP(Tabla3[[#This Row],[CODIGO2]],ESTANDAR!$B$3:$C$9,2,FALSE)</f>
        <v>#N/A</v>
      </c>
      <c r="AB837" s="128" t="str">
        <f>+MID(Tabla3[[#This Row],['# Viaje]],10,1)</f>
        <v/>
      </c>
    </row>
    <row r="838" spans="1:28" ht="15" hidden="1" customHeight="1">
      <c r="A838" s="173" t="s">
        <v>1630</v>
      </c>
      <c r="B838" s="174">
        <v>42948</v>
      </c>
      <c r="C838" s="173" t="s">
        <v>1477</v>
      </c>
      <c r="D838" s="173" t="s">
        <v>1487</v>
      </c>
      <c r="E838" s="173" t="s">
        <v>1479</v>
      </c>
      <c r="F838" s="173">
        <v>1</v>
      </c>
      <c r="G838" s="173" t="s">
        <v>144</v>
      </c>
      <c r="H838" s="173">
        <v>1</v>
      </c>
      <c r="I838" s="173" t="s">
        <v>1631</v>
      </c>
      <c r="J838" s="173" t="s">
        <v>1451</v>
      </c>
      <c r="K838" s="173" t="s">
        <v>16</v>
      </c>
      <c r="L838" s="173"/>
      <c r="M838" s="173" t="s">
        <v>237</v>
      </c>
      <c r="N838" s="173">
        <v>900345712</v>
      </c>
      <c r="O838" s="175">
        <v>3696639</v>
      </c>
      <c r="P838" s="7"/>
      <c r="Q8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8" s="9">
        <f>+IFERROR(VLOOKUP(Tabla3[[#This Row],[Cliente factura]],Tabla4[[NIT]:[TOTAL CREDITO]],6,FALSE),0)</f>
        <v>0</v>
      </c>
      <c r="S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8" s="10" t="str">
        <f>VLOOKUP(Tabla3[[#This Row],[Razón social cliente factura]]&amp;Tabla3[[#This Row],[Desc. ciudad]],'Estandar de Rutas'!$C$1:$E$553,2,FALSE)</f>
        <v>10.1.A</v>
      </c>
      <c r="U838" s="130">
        <f>IFERROR(VLOOKUP(Tabla3[[#This Row],[Referencia]]&amp;Tabla3[[#This Row],[Desc detalle ext 1]],Tabla1[[Referencia-Color]:[Disponibilidad]],3,FALSE),0)</f>
        <v>3</v>
      </c>
      <c r="V838" s="13"/>
      <c r="W838" s="17">
        <f>+Tabla3[[#This Row],[Cant. Programada]]*Tabla3[[#This Row],[Precio unit]]</f>
        <v>0</v>
      </c>
      <c r="X838" s="8"/>
      <c r="Y838" s="8"/>
      <c r="Z838" s="8" t="str">
        <f>+Tabla3[[#This Row],[Referencia]]&amp;Tabla3[[#This Row],[Desc detalle ext 1]]</f>
        <v xml:space="preserve">CB 110 DLX                                        NEGRO    </v>
      </c>
      <c r="AA838" s="128" t="e">
        <f>+VLOOKUP(Tabla3[[#This Row],[CODIGO2]],ESTANDAR!$B$3:$C$9,2,FALSE)</f>
        <v>#N/A</v>
      </c>
      <c r="AB838" s="128" t="str">
        <f>+MID(Tabla3[[#This Row],['# Viaje]],10,1)</f>
        <v/>
      </c>
    </row>
    <row r="839" spans="1:28" ht="15" hidden="1" customHeight="1">
      <c r="A839" s="173" t="s">
        <v>1632</v>
      </c>
      <c r="B839" s="174">
        <v>42948</v>
      </c>
      <c r="C839" s="173" t="s">
        <v>1477</v>
      </c>
      <c r="D839" s="173" t="s">
        <v>1487</v>
      </c>
      <c r="E839" s="173" t="s">
        <v>1479</v>
      </c>
      <c r="F839" s="173">
        <v>1</v>
      </c>
      <c r="G839" s="173" t="s">
        <v>144</v>
      </c>
      <c r="H839" s="173">
        <v>1</v>
      </c>
      <c r="I839" s="173" t="s">
        <v>144</v>
      </c>
      <c r="J839" s="173" t="s">
        <v>1428</v>
      </c>
      <c r="K839" s="173" t="s">
        <v>32</v>
      </c>
      <c r="L839" s="173"/>
      <c r="M839" s="173" t="s">
        <v>145</v>
      </c>
      <c r="N839" s="173">
        <v>900345712</v>
      </c>
      <c r="O839" s="175">
        <v>3067227</v>
      </c>
      <c r="P839" s="7"/>
      <c r="Q8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9" s="9">
        <f>+IFERROR(VLOOKUP(Tabla3[[#This Row],[Cliente factura]],Tabla4[[NIT]:[TOTAL CREDITO]],6,FALSE),0)</f>
        <v>0</v>
      </c>
      <c r="S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9" s="10" t="str">
        <f>VLOOKUP(Tabla3[[#This Row],[Razón social cliente factura]]&amp;Tabla3[[#This Row],[Desc. ciudad]],'Estandar de Rutas'!$C$1:$E$553,2,FALSE)</f>
        <v>10.1</v>
      </c>
      <c r="U839" s="130">
        <f>IFERROR(VLOOKUP(Tabla3[[#This Row],[Referencia]]&amp;Tabla3[[#This Row],[Desc detalle ext 1]],Tabla1[[Referencia-Color]:[Disponibilidad]],3,FALSE),0)</f>
        <v>0</v>
      </c>
      <c r="V839" s="13"/>
      <c r="W839" s="17">
        <f>+Tabla3[[#This Row],[Cant. Programada]]*Tabla3[[#This Row],[Precio unit]]</f>
        <v>0</v>
      </c>
      <c r="X839" s="8"/>
      <c r="Y839" s="8"/>
      <c r="Z839" s="8" t="str">
        <f>+Tabla3[[#This Row],[Referencia]]&amp;Tabla3[[#This Row],[Desc detalle ext 1]]</f>
        <v>DREAM  NEO                                        NEGRO ROJ</v>
      </c>
      <c r="AA839" s="128" t="e">
        <f>+VLOOKUP(Tabla3[[#This Row],[CODIGO2]],ESTANDAR!$B$3:$C$9,2,FALSE)</f>
        <v>#N/A</v>
      </c>
      <c r="AB839" s="128" t="str">
        <f>+MID(Tabla3[[#This Row],['# Viaje]],10,1)</f>
        <v/>
      </c>
    </row>
    <row r="840" spans="1:28" ht="15" hidden="1" customHeight="1">
      <c r="A840" s="173" t="s">
        <v>1632</v>
      </c>
      <c r="B840" s="174">
        <v>42948</v>
      </c>
      <c r="C840" s="173" t="s">
        <v>1477</v>
      </c>
      <c r="D840" s="173" t="s">
        <v>1487</v>
      </c>
      <c r="E840" s="173" t="s">
        <v>1479</v>
      </c>
      <c r="F840" s="173">
        <v>1</v>
      </c>
      <c r="G840" s="173" t="s">
        <v>144</v>
      </c>
      <c r="H840" s="173">
        <v>1</v>
      </c>
      <c r="I840" s="173" t="s">
        <v>144</v>
      </c>
      <c r="J840" s="173" t="s">
        <v>1428</v>
      </c>
      <c r="K840" s="173" t="s">
        <v>1429</v>
      </c>
      <c r="L840" s="173"/>
      <c r="M840" s="173" t="s">
        <v>145</v>
      </c>
      <c r="N840" s="173">
        <v>900345712</v>
      </c>
      <c r="O840" s="175">
        <v>3067227</v>
      </c>
      <c r="P840" s="7"/>
      <c r="Q8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0" s="9">
        <f>+IFERROR(VLOOKUP(Tabla3[[#This Row],[Cliente factura]],Tabla4[[NIT]:[TOTAL CREDITO]],6,FALSE),0)</f>
        <v>0</v>
      </c>
      <c r="S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0" s="10" t="str">
        <f>VLOOKUP(Tabla3[[#This Row],[Razón social cliente factura]]&amp;Tabla3[[#This Row],[Desc. ciudad]],'Estandar de Rutas'!$C$1:$E$553,2,FALSE)</f>
        <v>10.1</v>
      </c>
      <c r="U840" s="130">
        <f>IFERROR(VLOOKUP(Tabla3[[#This Row],[Referencia]]&amp;Tabla3[[#This Row],[Desc detalle ext 1]],Tabla1[[Referencia-Color]:[Disponibilidad]],3,FALSE),0)</f>
        <v>0</v>
      </c>
      <c r="V840" s="13"/>
      <c r="W840" s="17">
        <f>+Tabla3[[#This Row],[Cant. Programada]]*Tabla3[[#This Row],[Precio unit]]</f>
        <v>0</v>
      </c>
      <c r="X840" s="8"/>
      <c r="Y840" s="8"/>
      <c r="Z840" s="8" t="str">
        <f>+Tabla3[[#This Row],[Referencia]]&amp;Tabla3[[#This Row],[Desc detalle ext 1]]</f>
        <v>DREAM  NEO                                        NEGRO AZU</v>
      </c>
      <c r="AA840" s="128" t="e">
        <f>+VLOOKUP(Tabla3[[#This Row],[CODIGO2]],ESTANDAR!$B$3:$C$9,2,FALSE)</f>
        <v>#N/A</v>
      </c>
      <c r="AB840" s="128" t="str">
        <f>+MID(Tabla3[[#This Row],['# Viaje]],10,1)</f>
        <v/>
      </c>
    </row>
    <row r="841" spans="1:28" ht="15" hidden="1" customHeight="1">
      <c r="A841" s="173" t="s">
        <v>1632</v>
      </c>
      <c r="B841" s="174">
        <v>42948</v>
      </c>
      <c r="C841" s="173" t="s">
        <v>1477</v>
      </c>
      <c r="D841" s="173" t="s">
        <v>1487</v>
      </c>
      <c r="E841" s="173" t="s">
        <v>1479</v>
      </c>
      <c r="F841" s="173">
        <v>1</v>
      </c>
      <c r="G841" s="173" t="s">
        <v>144</v>
      </c>
      <c r="H841" s="173">
        <v>1</v>
      </c>
      <c r="I841" s="173" t="s">
        <v>144</v>
      </c>
      <c r="J841" s="173" t="s">
        <v>1451</v>
      </c>
      <c r="K841" s="173" t="s">
        <v>1452</v>
      </c>
      <c r="L841" s="173"/>
      <c r="M841" s="173" t="s">
        <v>145</v>
      </c>
      <c r="N841" s="173">
        <v>900345712</v>
      </c>
      <c r="O841" s="175">
        <v>3696639</v>
      </c>
      <c r="P841" s="7"/>
      <c r="Q8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1" s="9">
        <f>+IFERROR(VLOOKUP(Tabla3[[#This Row],[Cliente factura]],Tabla4[[NIT]:[TOTAL CREDITO]],6,FALSE),0)</f>
        <v>0</v>
      </c>
      <c r="S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1" s="10" t="str">
        <f>VLOOKUP(Tabla3[[#This Row],[Razón social cliente factura]]&amp;Tabla3[[#This Row],[Desc. ciudad]],'Estandar de Rutas'!$C$1:$E$553,2,FALSE)</f>
        <v>10.1</v>
      </c>
      <c r="U841" s="130">
        <f>IFERROR(VLOOKUP(Tabla3[[#This Row],[Referencia]]&amp;Tabla3[[#This Row],[Desc detalle ext 1]],Tabla1[[Referencia-Color]:[Disponibilidad]],3,FALSE),0)</f>
        <v>21</v>
      </c>
      <c r="V841" s="13"/>
      <c r="W841" s="17">
        <f>+Tabla3[[#This Row],[Cant. Programada]]*Tabla3[[#This Row],[Precio unit]]</f>
        <v>0</v>
      </c>
      <c r="X841" s="8"/>
      <c r="Y841" s="8"/>
      <c r="Z841" s="8" t="str">
        <f>+Tabla3[[#This Row],[Referencia]]&amp;Tabla3[[#This Row],[Desc detalle ext 1]]</f>
        <v xml:space="preserve">CB 110 DLX                                        AZUL     </v>
      </c>
      <c r="AA841" s="128" t="e">
        <f>+VLOOKUP(Tabla3[[#This Row],[CODIGO2]],ESTANDAR!$B$3:$C$9,2,FALSE)</f>
        <v>#N/A</v>
      </c>
      <c r="AB841" s="128" t="str">
        <f>+MID(Tabla3[[#This Row],['# Viaje]],10,1)</f>
        <v/>
      </c>
    </row>
    <row r="842" spans="1:28" ht="15" hidden="1" customHeight="1">
      <c r="A842" s="173" t="s">
        <v>1632</v>
      </c>
      <c r="B842" s="174">
        <v>42948</v>
      </c>
      <c r="C842" s="173" t="s">
        <v>1477</v>
      </c>
      <c r="D842" s="173" t="s">
        <v>1487</v>
      </c>
      <c r="E842" s="173" t="s">
        <v>1479</v>
      </c>
      <c r="F842" s="173">
        <v>1</v>
      </c>
      <c r="G842" s="173" t="s">
        <v>144</v>
      </c>
      <c r="H842" s="173">
        <v>1</v>
      </c>
      <c r="I842" s="173" t="s">
        <v>144</v>
      </c>
      <c r="J842" s="173" t="s">
        <v>1451</v>
      </c>
      <c r="K842" s="173" t="s">
        <v>1431</v>
      </c>
      <c r="L842" s="173"/>
      <c r="M842" s="173" t="s">
        <v>145</v>
      </c>
      <c r="N842" s="173">
        <v>900345712</v>
      </c>
      <c r="O842" s="175">
        <v>3696639</v>
      </c>
      <c r="P842" s="7"/>
      <c r="Q8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2" s="9">
        <f>+IFERROR(VLOOKUP(Tabla3[[#This Row],[Cliente factura]],Tabla4[[NIT]:[TOTAL CREDITO]],6,FALSE),0)</f>
        <v>0</v>
      </c>
      <c r="S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2" s="10" t="str">
        <f>VLOOKUP(Tabla3[[#This Row],[Razón social cliente factura]]&amp;Tabla3[[#This Row],[Desc. ciudad]],'Estandar de Rutas'!$C$1:$E$553,2,FALSE)</f>
        <v>10.1</v>
      </c>
      <c r="U842" s="130">
        <f>IFERROR(VLOOKUP(Tabla3[[#This Row],[Referencia]]&amp;Tabla3[[#This Row],[Desc detalle ext 1]],Tabla1[[Referencia-Color]:[Disponibilidad]],3,FALSE),0)</f>
        <v>21</v>
      </c>
      <c r="V842" s="13"/>
      <c r="W842" s="17">
        <f>+Tabla3[[#This Row],[Cant. Programada]]*Tabla3[[#This Row],[Precio unit]]</f>
        <v>0</v>
      </c>
      <c r="X842" s="8"/>
      <c r="Y842" s="8"/>
      <c r="Z842" s="8" t="str">
        <f>+Tabla3[[#This Row],[Referencia]]&amp;Tabla3[[#This Row],[Desc detalle ext 1]]</f>
        <v xml:space="preserve">CB 110 DLX                                        ROJO     </v>
      </c>
      <c r="AA842" s="128" t="e">
        <f>+VLOOKUP(Tabla3[[#This Row],[CODIGO2]],ESTANDAR!$B$3:$C$9,2,FALSE)</f>
        <v>#N/A</v>
      </c>
      <c r="AB842" s="128" t="str">
        <f>+MID(Tabla3[[#This Row],['# Viaje]],10,1)</f>
        <v/>
      </c>
    </row>
    <row r="843" spans="1:28" ht="15" hidden="1" customHeight="1">
      <c r="A843" s="173" t="s">
        <v>1632</v>
      </c>
      <c r="B843" s="174">
        <v>42948</v>
      </c>
      <c r="C843" s="173" t="s">
        <v>1477</v>
      </c>
      <c r="D843" s="173" t="s">
        <v>1487</v>
      </c>
      <c r="E843" s="173" t="s">
        <v>1479</v>
      </c>
      <c r="F843" s="173">
        <v>1</v>
      </c>
      <c r="G843" s="173" t="s">
        <v>144</v>
      </c>
      <c r="H843" s="173">
        <v>1</v>
      </c>
      <c r="I843" s="173" t="s">
        <v>144</v>
      </c>
      <c r="J843" s="173" t="s">
        <v>1451</v>
      </c>
      <c r="K843" s="173" t="s">
        <v>16</v>
      </c>
      <c r="L843" s="173"/>
      <c r="M843" s="173" t="s">
        <v>145</v>
      </c>
      <c r="N843" s="173">
        <v>900345712</v>
      </c>
      <c r="O843" s="175">
        <v>3696639</v>
      </c>
      <c r="P843" s="7"/>
      <c r="Q8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3" s="9">
        <f>+IFERROR(VLOOKUP(Tabla3[[#This Row],[Cliente factura]],Tabla4[[NIT]:[TOTAL CREDITO]],6,FALSE),0)</f>
        <v>0</v>
      </c>
      <c r="S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3" s="10" t="str">
        <f>VLOOKUP(Tabla3[[#This Row],[Razón social cliente factura]]&amp;Tabla3[[#This Row],[Desc. ciudad]],'Estandar de Rutas'!$C$1:$E$553,2,FALSE)</f>
        <v>10.1</v>
      </c>
      <c r="U843" s="130">
        <f>IFERROR(VLOOKUP(Tabla3[[#This Row],[Referencia]]&amp;Tabla3[[#This Row],[Desc detalle ext 1]],Tabla1[[Referencia-Color]:[Disponibilidad]],3,FALSE),0)</f>
        <v>3</v>
      </c>
      <c r="V843" s="13"/>
      <c r="W843" s="17">
        <f>+Tabla3[[#This Row],[Cant. Programada]]*Tabla3[[#This Row],[Precio unit]]</f>
        <v>0</v>
      </c>
      <c r="X843" s="129"/>
      <c r="Y843" s="129"/>
      <c r="Z843" s="8" t="str">
        <f>+Tabla3[[#This Row],[Referencia]]&amp;Tabla3[[#This Row],[Desc detalle ext 1]]</f>
        <v xml:space="preserve">CB 110 DLX                                        NEGRO    </v>
      </c>
      <c r="AA843" s="128" t="e">
        <f>+VLOOKUP(Tabla3[[#This Row],[CODIGO2]],ESTANDAR!$B$3:$C$9,2,FALSE)</f>
        <v>#N/A</v>
      </c>
      <c r="AB843" s="128" t="str">
        <f>+MID(Tabla3[[#This Row],['# Viaje]],10,1)</f>
        <v/>
      </c>
    </row>
    <row r="844" spans="1:28" hidden="1">
      <c r="A844" s="173" t="s">
        <v>1633</v>
      </c>
      <c r="B844" s="174">
        <v>42948</v>
      </c>
      <c r="C844" s="173" t="s">
        <v>1477</v>
      </c>
      <c r="D844" s="173" t="s">
        <v>1487</v>
      </c>
      <c r="E844" s="173" t="s">
        <v>1479</v>
      </c>
      <c r="F844" s="173">
        <v>1</v>
      </c>
      <c r="G844" s="173" t="s">
        <v>144</v>
      </c>
      <c r="H844" s="173">
        <v>1</v>
      </c>
      <c r="I844" s="173" t="s">
        <v>144</v>
      </c>
      <c r="J844" s="173" t="s">
        <v>27</v>
      </c>
      <c r="K844" s="173" t="s">
        <v>32</v>
      </c>
      <c r="L844" s="173"/>
      <c r="M844" s="173" t="s">
        <v>249</v>
      </c>
      <c r="N844" s="173">
        <v>900345712</v>
      </c>
      <c r="O844" s="175">
        <v>5789916</v>
      </c>
      <c r="P844" s="7"/>
      <c r="Q8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4" s="9">
        <f>+IFERROR(VLOOKUP(Tabla3[[#This Row],[Cliente factura]],Tabla4[[NIT]:[TOTAL CREDITO]],6,FALSE),0)</f>
        <v>0</v>
      </c>
      <c r="S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4" s="10" t="str">
        <f>VLOOKUP(Tabla3[[#This Row],[Razón social cliente factura]]&amp;Tabla3[[#This Row],[Desc. ciudad]],'Estandar de Rutas'!$C$1:$E$553,2,FALSE)</f>
        <v>9.2</v>
      </c>
      <c r="U844" s="130">
        <f>IFERROR(VLOOKUP(Tabla3[[#This Row],[Referencia]]&amp;Tabla3[[#This Row],[Desc detalle ext 1]],Tabla1[[Referencia-Color]:[Disponibilidad]],3,FALSE),0)</f>
        <v>7</v>
      </c>
      <c r="V844" s="13"/>
      <c r="W844" s="17">
        <f>+Tabla3[[#This Row],[Cant. Programada]]*Tabla3[[#This Row],[Precio unit]]</f>
        <v>0</v>
      </c>
      <c r="X844" s="129"/>
      <c r="Y844" s="129"/>
      <c r="Z844" s="8" t="str">
        <f>+Tabla3[[#This Row],[Referencia]]&amp;Tabla3[[#This Row],[Desc detalle ext 1]]</f>
        <v>*XR 150L                                          NEGRO ROJ</v>
      </c>
      <c r="AA844" s="128" t="e">
        <f>+VLOOKUP(Tabla3[[#This Row],[CODIGO2]],ESTANDAR!$B$3:$C$9,2,FALSE)</f>
        <v>#N/A</v>
      </c>
      <c r="AB844" s="128" t="str">
        <f>+MID(Tabla3[[#This Row],['# Viaje]],10,1)</f>
        <v/>
      </c>
    </row>
    <row r="845" spans="1:28" ht="15" hidden="1" customHeight="1">
      <c r="A845" s="173" t="s">
        <v>1633</v>
      </c>
      <c r="B845" s="174">
        <v>42948</v>
      </c>
      <c r="C845" s="173" t="s">
        <v>1477</v>
      </c>
      <c r="D845" s="173" t="s">
        <v>1487</v>
      </c>
      <c r="E845" s="173" t="s">
        <v>1479</v>
      </c>
      <c r="F845" s="173">
        <v>1</v>
      </c>
      <c r="G845" s="173" t="s">
        <v>144</v>
      </c>
      <c r="H845" s="173">
        <v>1</v>
      </c>
      <c r="I845" s="173" t="s">
        <v>144</v>
      </c>
      <c r="J845" s="173" t="s">
        <v>1428</v>
      </c>
      <c r="K845" s="173" t="s">
        <v>32</v>
      </c>
      <c r="L845" s="173"/>
      <c r="M845" s="173" t="s">
        <v>249</v>
      </c>
      <c r="N845" s="173">
        <v>900345712</v>
      </c>
      <c r="O845" s="175">
        <v>3067227</v>
      </c>
      <c r="P845" s="7"/>
      <c r="Q8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5" s="9">
        <f>+IFERROR(VLOOKUP(Tabla3[[#This Row],[Cliente factura]],Tabla4[[NIT]:[TOTAL CREDITO]],6,FALSE),0)</f>
        <v>0</v>
      </c>
      <c r="S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5" s="10" t="str">
        <f>VLOOKUP(Tabla3[[#This Row],[Razón social cliente factura]]&amp;Tabla3[[#This Row],[Desc. ciudad]],'Estandar de Rutas'!$C$1:$E$553,2,FALSE)</f>
        <v>9.2</v>
      </c>
      <c r="U845" s="130">
        <f>IFERROR(VLOOKUP(Tabla3[[#This Row],[Referencia]]&amp;Tabla3[[#This Row],[Desc detalle ext 1]],Tabla1[[Referencia-Color]:[Disponibilidad]],3,FALSE),0)</f>
        <v>0</v>
      </c>
      <c r="V845" s="13"/>
      <c r="W845" s="17">
        <f>+Tabla3[[#This Row],[Cant. Programada]]*Tabla3[[#This Row],[Precio unit]]</f>
        <v>0</v>
      </c>
      <c r="X845" s="129"/>
      <c r="Y845" s="129"/>
      <c r="Z845" s="8" t="str">
        <f>+Tabla3[[#This Row],[Referencia]]&amp;Tabla3[[#This Row],[Desc detalle ext 1]]</f>
        <v>DREAM  NEO                                        NEGRO ROJ</v>
      </c>
      <c r="AA845" s="128" t="e">
        <f>+VLOOKUP(Tabla3[[#This Row],[CODIGO2]],ESTANDAR!$B$3:$C$9,2,FALSE)</f>
        <v>#N/A</v>
      </c>
      <c r="AB845" s="128" t="str">
        <f>+MID(Tabla3[[#This Row],['# Viaje]],10,1)</f>
        <v/>
      </c>
    </row>
    <row r="846" spans="1:28" ht="15" hidden="1" customHeight="1">
      <c r="A846" s="173" t="s">
        <v>1633</v>
      </c>
      <c r="B846" s="174">
        <v>42948</v>
      </c>
      <c r="C846" s="173" t="s">
        <v>1477</v>
      </c>
      <c r="D846" s="173" t="s">
        <v>1487</v>
      </c>
      <c r="E846" s="173" t="s">
        <v>1479</v>
      </c>
      <c r="F846" s="173">
        <v>1</v>
      </c>
      <c r="G846" s="173" t="s">
        <v>144</v>
      </c>
      <c r="H846" s="173">
        <v>1</v>
      </c>
      <c r="I846" s="173" t="s">
        <v>144</v>
      </c>
      <c r="J846" s="173" t="s">
        <v>1428</v>
      </c>
      <c r="K846" s="173" t="s">
        <v>1429</v>
      </c>
      <c r="L846" s="173"/>
      <c r="M846" s="173" t="s">
        <v>249</v>
      </c>
      <c r="N846" s="173">
        <v>900345712</v>
      </c>
      <c r="O846" s="175">
        <v>3067227</v>
      </c>
      <c r="P846" s="7"/>
      <c r="Q8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6" s="9">
        <f>+IFERROR(VLOOKUP(Tabla3[[#This Row],[Cliente factura]],Tabla4[[NIT]:[TOTAL CREDITO]],6,FALSE),0)</f>
        <v>0</v>
      </c>
      <c r="S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6" s="10" t="str">
        <f>VLOOKUP(Tabla3[[#This Row],[Razón social cliente factura]]&amp;Tabla3[[#This Row],[Desc. ciudad]],'Estandar de Rutas'!$C$1:$E$553,2,FALSE)</f>
        <v>9.2</v>
      </c>
      <c r="U846" s="130">
        <f>IFERROR(VLOOKUP(Tabla3[[#This Row],[Referencia]]&amp;Tabla3[[#This Row],[Desc detalle ext 1]],Tabla1[[Referencia-Color]:[Disponibilidad]],3,FALSE),0)</f>
        <v>0</v>
      </c>
      <c r="V846" s="13"/>
      <c r="W846" s="17">
        <f>+Tabla3[[#This Row],[Cant. Programada]]*Tabla3[[#This Row],[Precio unit]]</f>
        <v>0</v>
      </c>
      <c r="X846" s="8"/>
      <c r="Y846" s="8"/>
      <c r="Z846" s="8" t="str">
        <f>+Tabla3[[#This Row],[Referencia]]&amp;Tabla3[[#This Row],[Desc detalle ext 1]]</f>
        <v>DREAM  NEO                                        NEGRO AZU</v>
      </c>
      <c r="AA846" s="128" t="e">
        <f>+VLOOKUP(Tabla3[[#This Row],[CODIGO2]],ESTANDAR!$B$3:$C$9,2,FALSE)</f>
        <v>#N/A</v>
      </c>
      <c r="AB846" s="128" t="str">
        <f>+MID(Tabla3[[#This Row],['# Viaje]],10,1)</f>
        <v/>
      </c>
    </row>
    <row r="847" spans="1:28" ht="15" hidden="1" customHeight="1">
      <c r="A847" s="173" t="s">
        <v>1633</v>
      </c>
      <c r="B847" s="174">
        <v>42948</v>
      </c>
      <c r="C847" s="173" t="s">
        <v>1477</v>
      </c>
      <c r="D847" s="173" t="s">
        <v>1487</v>
      </c>
      <c r="E847" s="173" t="s">
        <v>1479</v>
      </c>
      <c r="F847" s="173">
        <v>1</v>
      </c>
      <c r="G847" s="173" t="s">
        <v>144</v>
      </c>
      <c r="H847" s="173">
        <v>1</v>
      </c>
      <c r="I847" s="173" t="s">
        <v>144</v>
      </c>
      <c r="J847" s="173" t="s">
        <v>1430</v>
      </c>
      <c r="K847" s="173" t="s">
        <v>16</v>
      </c>
      <c r="L847" s="173"/>
      <c r="M847" s="173" t="s">
        <v>249</v>
      </c>
      <c r="N847" s="173">
        <v>900345712</v>
      </c>
      <c r="O847" s="175">
        <v>3941176</v>
      </c>
      <c r="P847" s="7"/>
      <c r="Q8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7" s="9">
        <f>+IFERROR(VLOOKUP(Tabla3[[#This Row],[Cliente factura]],Tabla4[[NIT]:[TOTAL CREDITO]],6,FALSE),0)</f>
        <v>0</v>
      </c>
      <c r="S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7" s="10" t="str">
        <f>VLOOKUP(Tabla3[[#This Row],[Razón social cliente factura]]&amp;Tabla3[[#This Row],[Desc. ciudad]],'Estandar de Rutas'!$C$1:$E$553,2,FALSE)</f>
        <v>9.2</v>
      </c>
      <c r="U847" s="130">
        <f>IFERROR(VLOOKUP(Tabla3[[#This Row],[Referencia]]&amp;Tabla3[[#This Row],[Desc detalle ext 1]],Tabla1[[Referencia-Color]:[Disponibilidad]],3,FALSE),0)</f>
        <v>0</v>
      </c>
      <c r="V847" s="13"/>
      <c r="W847" s="17">
        <f>+Tabla3[[#This Row],[Cant. Programada]]*Tabla3[[#This Row],[Precio unit]]</f>
        <v>0</v>
      </c>
      <c r="X847" s="129"/>
      <c r="Y847" s="129"/>
      <c r="Z847" s="8" t="str">
        <f>+Tabla3[[#This Row],[Referencia]]&amp;Tabla3[[#This Row],[Desc detalle ext 1]]</f>
        <v xml:space="preserve">WAVE 110S                                         NEGRO    </v>
      </c>
      <c r="AA847" s="128" t="e">
        <f>+VLOOKUP(Tabla3[[#This Row],[CODIGO2]],ESTANDAR!$B$3:$C$9,2,FALSE)</f>
        <v>#N/A</v>
      </c>
      <c r="AB847" s="128" t="str">
        <f>+MID(Tabla3[[#This Row],['# Viaje]],10,1)</f>
        <v/>
      </c>
    </row>
    <row r="848" spans="1:28" ht="15" hidden="1" customHeight="1">
      <c r="A848" s="173" t="s">
        <v>1633</v>
      </c>
      <c r="B848" s="174">
        <v>42948</v>
      </c>
      <c r="C848" s="173" t="s">
        <v>1477</v>
      </c>
      <c r="D848" s="173" t="s">
        <v>1487</v>
      </c>
      <c r="E848" s="173" t="s">
        <v>1479</v>
      </c>
      <c r="F848" s="173">
        <v>1</v>
      </c>
      <c r="G848" s="173" t="s">
        <v>144</v>
      </c>
      <c r="H848" s="173">
        <v>1</v>
      </c>
      <c r="I848" s="173" t="s">
        <v>144</v>
      </c>
      <c r="J848" s="173" t="s">
        <v>1451</v>
      </c>
      <c r="K848" s="173" t="s">
        <v>1449</v>
      </c>
      <c r="L848" s="173"/>
      <c r="M848" s="173" t="s">
        <v>249</v>
      </c>
      <c r="N848" s="173">
        <v>900345712</v>
      </c>
      <c r="O848" s="175">
        <v>3696639</v>
      </c>
      <c r="P848" s="7"/>
      <c r="Q8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8" s="9">
        <f>+IFERROR(VLOOKUP(Tabla3[[#This Row],[Cliente factura]],Tabla4[[NIT]:[TOTAL CREDITO]],6,FALSE),0)</f>
        <v>0</v>
      </c>
      <c r="S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8" s="10" t="str">
        <f>VLOOKUP(Tabla3[[#This Row],[Razón social cliente factura]]&amp;Tabla3[[#This Row],[Desc. ciudad]],'Estandar de Rutas'!$C$1:$E$553,2,FALSE)</f>
        <v>9.2</v>
      </c>
      <c r="U848" s="130">
        <f>IFERROR(VLOOKUP(Tabla3[[#This Row],[Referencia]]&amp;Tabla3[[#This Row],[Desc detalle ext 1]],Tabla1[[Referencia-Color]:[Disponibilidad]],3,FALSE),0)</f>
        <v>24</v>
      </c>
      <c r="V848" s="13"/>
      <c r="W848" s="17">
        <f>+Tabla3[[#This Row],[Cant. Programada]]*Tabla3[[#This Row],[Precio unit]]</f>
        <v>0</v>
      </c>
      <c r="X848" s="129"/>
      <c r="Y848" s="129"/>
      <c r="Z848" s="8" t="str">
        <f>+Tabla3[[#This Row],[Referencia]]&amp;Tabla3[[#This Row],[Desc detalle ext 1]]</f>
        <v xml:space="preserve">CB 110 DLX                                        GRIS     </v>
      </c>
      <c r="AA848" s="128" t="e">
        <f>+VLOOKUP(Tabla3[[#This Row],[CODIGO2]],ESTANDAR!$B$3:$C$9,2,FALSE)</f>
        <v>#N/A</v>
      </c>
      <c r="AB848" s="128" t="str">
        <f>+MID(Tabla3[[#This Row],['# Viaje]],10,1)</f>
        <v/>
      </c>
    </row>
    <row r="849" spans="1:28" ht="15" hidden="1" customHeight="1">
      <c r="A849" s="173" t="s">
        <v>1633</v>
      </c>
      <c r="B849" s="174">
        <v>42948</v>
      </c>
      <c r="C849" s="173" t="s">
        <v>1477</v>
      </c>
      <c r="D849" s="173" t="s">
        <v>1487</v>
      </c>
      <c r="E849" s="173" t="s">
        <v>1479</v>
      </c>
      <c r="F849" s="173">
        <v>1</v>
      </c>
      <c r="G849" s="173" t="s">
        <v>144</v>
      </c>
      <c r="H849" s="173">
        <v>1</v>
      </c>
      <c r="I849" s="173" t="s">
        <v>144</v>
      </c>
      <c r="J849" s="173" t="s">
        <v>1451</v>
      </c>
      <c r="K849" s="173" t="s">
        <v>1431</v>
      </c>
      <c r="L849" s="173"/>
      <c r="M849" s="173" t="s">
        <v>249</v>
      </c>
      <c r="N849" s="173">
        <v>900345712</v>
      </c>
      <c r="O849" s="175">
        <v>3696639</v>
      </c>
      <c r="P849" s="7"/>
      <c r="Q8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9" s="9">
        <f>+IFERROR(VLOOKUP(Tabla3[[#This Row],[Cliente factura]],Tabla4[[NIT]:[TOTAL CREDITO]],6,FALSE),0)</f>
        <v>0</v>
      </c>
      <c r="S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9" s="10" t="str">
        <f>VLOOKUP(Tabla3[[#This Row],[Razón social cliente factura]]&amp;Tabla3[[#This Row],[Desc. ciudad]],'Estandar de Rutas'!$C$1:$E$553,2,FALSE)</f>
        <v>9.2</v>
      </c>
      <c r="U849" s="130">
        <f>IFERROR(VLOOKUP(Tabla3[[#This Row],[Referencia]]&amp;Tabla3[[#This Row],[Desc detalle ext 1]],Tabla1[[Referencia-Color]:[Disponibilidad]],3,FALSE),0)</f>
        <v>21</v>
      </c>
      <c r="V849" s="13"/>
      <c r="W849" s="17">
        <f>+Tabla3[[#This Row],[Cant. Programada]]*Tabla3[[#This Row],[Precio unit]]</f>
        <v>0</v>
      </c>
      <c r="X849" s="130"/>
      <c r="Y849" s="129"/>
      <c r="Z849" s="8" t="str">
        <f>+Tabla3[[#This Row],[Referencia]]&amp;Tabla3[[#This Row],[Desc detalle ext 1]]</f>
        <v xml:space="preserve">CB 110 DLX                                        ROJO     </v>
      </c>
      <c r="AA849" s="128" t="e">
        <f>+VLOOKUP(Tabla3[[#This Row],[CODIGO2]],ESTANDAR!$B$3:$C$9,2,FALSE)</f>
        <v>#N/A</v>
      </c>
      <c r="AB849" s="128" t="str">
        <f>+MID(Tabla3[[#This Row],['# Viaje]],10,1)</f>
        <v/>
      </c>
    </row>
    <row r="850" spans="1:28" ht="15" hidden="1" customHeight="1">
      <c r="A850" s="173" t="s">
        <v>1633</v>
      </c>
      <c r="B850" s="174">
        <v>42948</v>
      </c>
      <c r="C850" s="173" t="s">
        <v>1477</v>
      </c>
      <c r="D850" s="173" t="s">
        <v>1487</v>
      </c>
      <c r="E850" s="173" t="s">
        <v>1479</v>
      </c>
      <c r="F850" s="173">
        <v>1</v>
      </c>
      <c r="G850" s="173" t="s">
        <v>144</v>
      </c>
      <c r="H850" s="173">
        <v>1</v>
      </c>
      <c r="I850" s="173" t="s">
        <v>144</v>
      </c>
      <c r="J850" s="173" t="s">
        <v>1451</v>
      </c>
      <c r="K850" s="173" t="s">
        <v>16</v>
      </c>
      <c r="L850" s="173"/>
      <c r="M850" s="173" t="s">
        <v>249</v>
      </c>
      <c r="N850" s="173">
        <v>900345712</v>
      </c>
      <c r="O850" s="175">
        <v>3696639</v>
      </c>
      <c r="P850" s="7"/>
      <c r="Q8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50" s="9">
        <f>+IFERROR(VLOOKUP(Tabla3[[#This Row],[Cliente factura]],Tabla4[[NIT]:[TOTAL CREDITO]],6,FALSE),0)</f>
        <v>0</v>
      </c>
      <c r="S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0" s="10" t="str">
        <f>VLOOKUP(Tabla3[[#This Row],[Razón social cliente factura]]&amp;Tabla3[[#This Row],[Desc. ciudad]],'Estandar de Rutas'!$C$1:$E$553,2,FALSE)</f>
        <v>9.2</v>
      </c>
      <c r="U850" s="130">
        <f>IFERROR(VLOOKUP(Tabla3[[#This Row],[Referencia]]&amp;Tabla3[[#This Row],[Desc detalle ext 1]],Tabla1[[Referencia-Color]:[Disponibilidad]],3,FALSE),0)</f>
        <v>3</v>
      </c>
      <c r="V850" s="13"/>
      <c r="W850" s="17">
        <f>+Tabla3[[#This Row],[Cant. Programada]]*Tabla3[[#This Row],[Precio unit]]</f>
        <v>0</v>
      </c>
      <c r="X850" s="8"/>
      <c r="Y850" s="8"/>
      <c r="Z850" s="8" t="str">
        <f>+Tabla3[[#This Row],[Referencia]]&amp;Tabla3[[#This Row],[Desc detalle ext 1]]</f>
        <v xml:space="preserve">CB 110 DLX                                        NEGRO    </v>
      </c>
      <c r="AA850" s="128" t="e">
        <f>+VLOOKUP(Tabla3[[#This Row],[CODIGO2]],ESTANDAR!$B$3:$C$9,2,FALSE)</f>
        <v>#N/A</v>
      </c>
      <c r="AB850" s="128" t="str">
        <f>+MID(Tabla3[[#This Row],['# Viaje]],10,1)</f>
        <v/>
      </c>
    </row>
    <row r="851" spans="1:28" ht="15" hidden="1" customHeight="1">
      <c r="A851" s="173" t="s">
        <v>1634</v>
      </c>
      <c r="B851" s="174">
        <v>42948</v>
      </c>
      <c r="C851" s="173" t="s">
        <v>1477</v>
      </c>
      <c r="D851" s="173" t="s">
        <v>1487</v>
      </c>
      <c r="E851" s="173" t="s">
        <v>1479</v>
      </c>
      <c r="F851" s="173">
        <v>1</v>
      </c>
      <c r="G851" s="173" t="s">
        <v>239</v>
      </c>
      <c r="H851" s="173">
        <v>1</v>
      </c>
      <c r="I851" s="173" t="s">
        <v>1635</v>
      </c>
      <c r="J851" s="173" t="s">
        <v>1451</v>
      </c>
      <c r="K851" s="173" t="s">
        <v>1452</v>
      </c>
      <c r="L851" s="173"/>
      <c r="M851" s="173" t="s">
        <v>328</v>
      </c>
      <c r="N851" s="173">
        <v>900060537</v>
      </c>
      <c r="O851" s="175">
        <v>3696639</v>
      </c>
      <c r="P851" s="7"/>
      <c r="Q851" s="16">
        <f>+IF(IFERROR(VLOOKUP(Tabla3[[#This Row],[Cliente factura]],Tabla4[[NIT]:[TOTAL CREDITO]],3,FALSE),0)="",0,IFERROR(VLOOKUP(Tabla3[[#This Row],[Cliente factura]],Tabla4[[NIT]:[TOTAL CREDITO]],3,FALSE),0))</f>
        <v>0</v>
      </c>
      <c r="R851" s="9">
        <f>+IFERROR(VLOOKUP(Tabla3[[#This Row],[Cliente factura]],Tabla4[[NIT]:[TOTAL CREDITO]],6,FALSE),0)</f>
        <v>69613164</v>
      </c>
      <c r="S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1" s="10" t="str">
        <f>VLOOKUP(Tabla3[[#This Row],[Razón social cliente factura]]&amp;Tabla3[[#This Row],[Desc. ciudad]],'Estandar de Rutas'!$C$1:$E$553,2,FALSE)</f>
        <v>8.3.A</v>
      </c>
      <c r="U851" s="130">
        <f>IFERROR(VLOOKUP(Tabla3[[#This Row],[Referencia]]&amp;Tabla3[[#This Row],[Desc detalle ext 1]],Tabla1[[Referencia-Color]:[Disponibilidad]],3,FALSE),0)</f>
        <v>21</v>
      </c>
      <c r="V851" s="13"/>
      <c r="W851" s="17">
        <f>+Tabla3[[#This Row],[Cant. Programada]]*Tabla3[[#This Row],[Precio unit]]</f>
        <v>0</v>
      </c>
      <c r="X851" s="129"/>
      <c r="Y851" s="129"/>
      <c r="Z851" s="8" t="str">
        <f>+Tabla3[[#This Row],[Referencia]]&amp;Tabla3[[#This Row],[Desc detalle ext 1]]</f>
        <v xml:space="preserve">CB 110 DLX                                        AZUL     </v>
      </c>
      <c r="AA851" s="128" t="e">
        <f>+VLOOKUP(Tabla3[[#This Row],[CODIGO2]],ESTANDAR!$B$3:$C$9,2,FALSE)</f>
        <v>#N/A</v>
      </c>
      <c r="AB851" s="128" t="str">
        <f>+MID(Tabla3[[#This Row],['# Viaje]],10,1)</f>
        <v/>
      </c>
    </row>
    <row r="852" spans="1:28" ht="15" hidden="1" customHeight="1">
      <c r="A852" s="173" t="s">
        <v>1634</v>
      </c>
      <c r="B852" s="174">
        <v>42948</v>
      </c>
      <c r="C852" s="173" t="s">
        <v>1477</v>
      </c>
      <c r="D852" s="173" t="s">
        <v>1487</v>
      </c>
      <c r="E852" s="173" t="s">
        <v>1479</v>
      </c>
      <c r="F852" s="173">
        <v>1</v>
      </c>
      <c r="G852" s="173" t="s">
        <v>239</v>
      </c>
      <c r="H852" s="173">
        <v>1</v>
      </c>
      <c r="I852" s="173" t="s">
        <v>1635</v>
      </c>
      <c r="J852" s="173" t="s">
        <v>1451</v>
      </c>
      <c r="K852" s="173" t="s">
        <v>1431</v>
      </c>
      <c r="L852" s="173"/>
      <c r="M852" s="173" t="s">
        <v>328</v>
      </c>
      <c r="N852" s="173">
        <v>900060537</v>
      </c>
      <c r="O852" s="175">
        <v>3696639</v>
      </c>
      <c r="P852" s="7"/>
      <c r="Q852" s="16">
        <f>+IF(IFERROR(VLOOKUP(Tabla3[[#This Row],[Cliente factura]],Tabla4[[NIT]:[TOTAL CREDITO]],3,FALSE),0)="",0,IFERROR(VLOOKUP(Tabla3[[#This Row],[Cliente factura]],Tabla4[[NIT]:[TOTAL CREDITO]],3,FALSE),0))</f>
        <v>0</v>
      </c>
      <c r="R852" s="9">
        <f>+IFERROR(VLOOKUP(Tabla3[[#This Row],[Cliente factura]],Tabla4[[NIT]:[TOTAL CREDITO]],6,FALSE),0)</f>
        <v>69613164</v>
      </c>
      <c r="S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2" s="10" t="str">
        <f>VLOOKUP(Tabla3[[#This Row],[Razón social cliente factura]]&amp;Tabla3[[#This Row],[Desc. ciudad]],'Estandar de Rutas'!$C$1:$E$553,2,FALSE)</f>
        <v>8.3.A</v>
      </c>
      <c r="U852" s="130">
        <f>IFERROR(VLOOKUP(Tabla3[[#This Row],[Referencia]]&amp;Tabla3[[#This Row],[Desc detalle ext 1]],Tabla1[[Referencia-Color]:[Disponibilidad]],3,FALSE),0)</f>
        <v>21</v>
      </c>
      <c r="V852" s="13"/>
      <c r="W852" s="17">
        <f>+Tabla3[[#This Row],[Cant. Programada]]*Tabla3[[#This Row],[Precio unit]]</f>
        <v>0</v>
      </c>
      <c r="X852" s="129"/>
      <c r="Y852" s="129"/>
      <c r="Z852" s="8" t="str">
        <f>+Tabla3[[#This Row],[Referencia]]&amp;Tabla3[[#This Row],[Desc detalle ext 1]]</f>
        <v xml:space="preserve">CB 110 DLX                                        ROJO     </v>
      </c>
      <c r="AA852" s="128" t="e">
        <f>+VLOOKUP(Tabla3[[#This Row],[CODIGO2]],ESTANDAR!$B$3:$C$9,2,FALSE)</f>
        <v>#N/A</v>
      </c>
      <c r="AB852" s="128" t="str">
        <f>+MID(Tabla3[[#This Row],['# Viaje]],10,1)</f>
        <v/>
      </c>
    </row>
    <row r="853" spans="1:28" ht="15" hidden="1" customHeight="1">
      <c r="A853" s="173" t="s">
        <v>1634</v>
      </c>
      <c r="B853" s="174">
        <v>42948</v>
      </c>
      <c r="C853" s="173" t="s">
        <v>1477</v>
      </c>
      <c r="D853" s="173" t="s">
        <v>1487</v>
      </c>
      <c r="E853" s="173" t="s">
        <v>1479</v>
      </c>
      <c r="F853" s="173">
        <v>2</v>
      </c>
      <c r="G853" s="173" t="s">
        <v>239</v>
      </c>
      <c r="H853" s="173">
        <v>2</v>
      </c>
      <c r="I853" s="173" t="s">
        <v>1635</v>
      </c>
      <c r="J853" s="173" t="s">
        <v>1451</v>
      </c>
      <c r="K853" s="173" t="s">
        <v>16</v>
      </c>
      <c r="L853" s="173"/>
      <c r="M853" s="173" t="s">
        <v>328</v>
      </c>
      <c r="N853" s="173">
        <v>900060537</v>
      </c>
      <c r="O853" s="175">
        <v>3696639</v>
      </c>
      <c r="P853" s="7"/>
      <c r="Q853" s="16">
        <f>+IF(IFERROR(VLOOKUP(Tabla3[[#This Row],[Cliente factura]],Tabla4[[NIT]:[TOTAL CREDITO]],3,FALSE),0)="",0,IFERROR(VLOOKUP(Tabla3[[#This Row],[Cliente factura]],Tabla4[[NIT]:[TOTAL CREDITO]],3,FALSE),0))</f>
        <v>0</v>
      </c>
      <c r="R853" s="9">
        <f>+IFERROR(VLOOKUP(Tabla3[[#This Row],[Cliente factura]],Tabla4[[NIT]:[TOTAL CREDITO]],6,FALSE),0)</f>
        <v>69613164</v>
      </c>
      <c r="S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3" s="10" t="str">
        <f>VLOOKUP(Tabla3[[#This Row],[Razón social cliente factura]]&amp;Tabla3[[#This Row],[Desc. ciudad]],'Estandar de Rutas'!$C$1:$E$553,2,FALSE)</f>
        <v>8.3.A</v>
      </c>
      <c r="U853" s="130">
        <f>IFERROR(VLOOKUP(Tabla3[[#This Row],[Referencia]]&amp;Tabla3[[#This Row],[Desc detalle ext 1]],Tabla1[[Referencia-Color]:[Disponibilidad]],3,FALSE),0)</f>
        <v>3</v>
      </c>
      <c r="V853" s="13"/>
      <c r="W853" s="17">
        <f>+Tabla3[[#This Row],[Cant. Programada]]*Tabla3[[#This Row],[Precio unit]]</f>
        <v>0</v>
      </c>
      <c r="X853" s="129"/>
      <c r="Y853" s="129"/>
      <c r="Z853" s="8" t="str">
        <f>+Tabla3[[#This Row],[Referencia]]&amp;Tabla3[[#This Row],[Desc detalle ext 1]]</f>
        <v xml:space="preserve">CB 110 DLX                                        NEGRO    </v>
      </c>
      <c r="AA853" s="128" t="e">
        <f>+VLOOKUP(Tabla3[[#This Row],[CODIGO2]],ESTANDAR!$B$3:$C$9,2,FALSE)</f>
        <v>#N/A</v>
      </c>
      <c r="AB853" s="128" t="str">
        <f>+MID(Tabla3[[#This Row],['# Viaje]],10,1)</f>
        <v/>
      </c>
    </row>
    <row r="854" spans="1:28" hidden="1">
      <c r="A854" s="173" t="s">
        <v>1636</v>
      </c>
      <c r="B854" s="174">
        <v>42948</v>
      </c>
      <c r="C854" s="173" t="s">
        <v>1231</v>
      </c>
      <c r="D854" s="173" t="s">
        <v>1487</v>
      </c>
      <c r="E854" s="173" t="s">
        <v>1479</v>
      </c>
      <c r="F854" s="173">
        <v>1</v>
      </c>
      <c r="G854" s="173" t="s">
        <v>239</v>
      </c>
      <c r="H854" s="173">
        <v>1</v>
      </c>
      <c r="I854" s="173" t="s">
        <v>1637</v>
      </c>
      <c r="J854" s="173" t="s">
        <v>27</v>
      </c>
      <c r="K854" s="173" t="s">
        <v>32</v>
      </c>
      <c r="L854" s="173"/>
      <c r="M854" s="173" t="s">
        <v>170</v>
      </c>
      <c r="N854" s="173">
        <v>900060537</v>
      </c>
      <c r="O854" s="175">
        <v>5789916</v>
      </c>
      <c r="P854" s="7"/>
      <c r="Q854" s="16">
        <f>+IF(IFERROR(VLOOKUP(Tabla3[[#This Row],[Cliente factura]],Tabla4[[NIT]:[TOTAL CREDITO]],3,FALSE),0)="",0,IFERROR(VLOOKUP(Tabla3[[#This Row],[Cliente factura]],Tabla4[[NIT]:[TOTAL CREDITO]],3,FALSE),0))</f>
        <v>0</v>
      </c>
      <c r="R854" s="9">
        <f>+IFERROR(VLOOKUP(Tabla3[[#This Row],[Cliente factura]],Tabla4[[NIT]:[TOTAL CREDITO]],6,FALSE),0)</f>
        <v>69613164</v>
      </c>
      <c r="S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4" s="10" t="str">
        <f>VLOOKUP(Tabla3[[#This Row],[Razón social cliente factura]]&amp;Tabla3[[#This Row],[Desc. ciudad]],'Estandar de Rutas'!$C$1:$E$553,2,FALSE)</f>
        <v>6.2</v>
      </c>
      <c r="U854" s="130">
        <f>IFERROR(VLOOKUP(Tabla3[[#This Row],[Referencia]]&amp;Tabla3[[#This Row],[Desc detalle ext 1]],Tabla1[[Referencia-Color]:[Disponibilidad]],3,FALSE),0)</f>
        <v>7</v>
      </c>
      <c r="V854" s="13">
        <v>1</v>
      </c>
      <c r="W854" s="17">
        <f>+Tabla3[[#This Row],[Cant. Programada]]*Tabla3[[#This Row],[Precio unit]]</f>
        <v>5789916</v>
      </c>
      <c r="X854" s="130" t="s">
        <v>1903</v>
      </c>
      <c r="Y854" s="129">
        <v>2</v>
      </c>
      <c r="Z854" s="8" t="str">
        <f>+Tabla3[[#This Row],[Referencia]]&amp;Tabla3[[#This Row],[Desc detalle ext 1]]</f>
        <v>*XR 150L                                          NEGRO ROJ</v>
      </c>
      <c r="AA854" s="128" t="str">
        <f>+VLOOKUP(Tabla3[[#This Row],[CODIGO2]],ESTANDAR!$B$3:$C$9,2,FALSE)</f>
        <v>ENTREGAS</v>
      </c>
      <c r="AB854" s="128" t="str">
        <f>+MID(Tabla3[[#This Row],['# Viaje]],10,1)</f>
        <v>E</v>
      </c>
    </row>
    <row r="855" spans="1:28" ht="15" hidden="1" customHeight="1">
      <c r="A855" s="173" t="s">
        <v>1636</v>
      </c>
      <c r="B855" s="174">
        <v>42948</v>
      </c>
      <c r="C855" s="173" t="s">
        <v>1231</v>
      </c>
      <c r="D855" s="173" t="s">
        <v>1487</v>
      </c>
      <c r="E855" s="173" t="s">
        <v>1479</v>
      </c>
      <c r="F855" s="173">
        <v>1</v>
      </c>
      <c r="G855" s="173" t="s">
        <v>239</v>
      </c>
      <c r="H855" s="173">
        <v>1</v>
      </c>
      <c r="I855" s="173" t="s">
        <v>1637</v>
      </c>
      <c r="J855" s="173" t="s">
        <v>354</v>
      </c>
      <c r="K855" s="173" t="s">
        <v>17</v>
      </c>
      <c r="L855" s="173"/>
      <c r="M855" s="173" t="s">
        <v>170</v>
      </c>
      <c r="N855" s="173">
        <v>900060537</v>
      </c>
      <c r="O855" s="175">
        <v>6133613</v>
      </c>
      <c r="P855" s="7"/>
      <c r="Q855" s="16">
        <f>+IF(IFERROR(VLOOKUP(Tabla3[[#This Row],[Cliente factura]],Tabla4[[NIT]:[TOTAL CREDITO]],3,FALSE),0)="",0,IFERROR(VLOOKUP(Tabla3[[#This Row],[Cliente factura]],Tabla4[[NIT]:[TOTAL CREDITO]],3,FALSE),0))</f>
        <v>0</v>
      </c>
      <c r="R855" s="9">
        <f>+IFERROR(VLOOKUP(Tabla3[[#This Row],[Cliente factura]],Tabla4[[NIT]:[TOTAL CREDITO]],6,FALSE),0)</f>
        <v>69613164</v>
      </c>
      <c r="S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5" s="10" t="str">
        <f>VLOOKUP(Tabla3[[#This Row],[Razón social cliente factura]]&amp;Tabla3[[#This Row],[Desc. ciudad]],'Estandar de Rutas'!$C$1:$E$553,2,FALSE)</f>
        <v>6.2</v>
      </c>
      <c r="U855" s="130">
        <f>IFERROR(VLOOKUP(Tabla3[[#This Row],[Referencia]]&amp;Tabla3[[#This Row],[Desc detalle ext 1]],Tabla1[[Referencia-Color]:[Disponibilidad]],3,FALSE),0)</f>
        <v>48</v>
      </c>
      <c r="V855" s="13">
        <v>1</v>
      </c>
      <c r="W855" s="17">
        <f>+Tabla3[[#This Row],[Cant. Programada]]*Tabla3[[#This Row],[Precio unit]]</f>
        <v>6133613</v>
      </c>
      <c r="X855" s="130" t="s">
        <v>1903</v>
      </c>
      <c r="Y855" s="129">
        <v>2</v>
      </c>
      <c r="Z855" s="8" t="str">
        <f>+Tabla3[[#This Row],[Referencia]]&amp;Tabla3[[#This Row],[Desc detalle ext 1]]</f>
        <v>CB 160F DLX                                       ROJO SPOR</v>
      </c>
      <c r="AA855" s="128" t="str">
        <f>+VLOOKUP(Tabla3[[#This Row],[CODIGO2]],ESTANDAR!$B$3:$C$9,2,FALSE)</f>
        <v>ENTREGAS</v>
      </c>
      <c r="AB855" s="128" t="str">
        <f>+MID(Tabla3[[#This Row],['# Viaje]],10,1)</f>
        <v>E</v>
      </c>
    </row>
    <row r="856" spans="1:28" ht="15" hidden="1" customHeight="1">
      <c r="A856" s="173" t="s">
        <v>1636</v>
      </c>
      <c r="B856" s="174">
        <v>42948</v>
      </c>
      <c r="C856" s="173" t="s">
        <v>1231</v>
      </c>
      <c r="D856" s="173" t="s">
        <v>1487</v>
      </c>
      <c r="E856" s="173" t="s">
        <v>1479</v>
      </c>
      <c r="F856" s="173">
        <v>1</v>
      </c>
      <c r="G856" s="173" t="s">
        <v>239</v>
      </c>
      <c r="H856" s="173">
        <v>1</v>
      </c>
      <c r="I856" s="173" t="s">
        <v>1637</v>
      </c>
      <c r="J856" s="173" t="s">
        <v>354</v>
      </c>
      <c r="K856" s="173" t="s">
        <v>355</v>
      </c>
      <c r="L856" s="173"/>
      <c r="M856" s="173" t="s">
        <v>170</v>
      </c>
      <c r="N856" s="173">
        <v>900060537</v>
      </c>
      <c r="O856" s="175">
        <v>6133613</v>
      </c>
      <c r="P856" s="7"/>
      <c r="Q856" s="16">
        <f>+IF(IFERROR(VLOOKUP(Tabla3[[#This Row],[Cliente factura]],Tabla4[[NIT]:[TOTAL CREDITO]],3,FALSE),0)="",0,IFERROR(VLOOKUP(Tabla3[[#This Row],[Cliente factura]],Tabla4[[NIT]:[TOTAL CREDITO]],3,FALSE),0))</f>
        <v>0</v>
      </c>
      <c r="R856" s="9">
        <f>+IFERROR(VLOOKUP(Tabla3[[#This Row],[Cliente factura]],Tabla4[[NIT]:[TOTAL CREDITO]],6,FALSE),0)</f>
        <v>69613164</v>
      </c>
      <c r="S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6" s="10" t="str">
        <f>VLOOKUP(Tabla3[[#This Row],[Razón social cliente factura]]&amp;Tabla3[[#This Row],[Desc. ciudad]],'Estandar de Rutas'!$C$1:$E$553,2,FALSE)</f>
        <v>6.2</v>
      </c>
      <c r="U856" s="130">
        <f>IFERROR(VLOOKUP(Tabla3[[#This Row],[Referencia]]&amp;Tabla3[[#This Row],[Desc detalle ext 1]],Tabla1[[Referencia-Color]:[Disponibilidad]],3,FALSE),0)</f>
        <v>0</v>
      </c>
      <c r="V856" s="13"/>
      <c r="W856" s="17">
        <f>+Tabla3[[#This Row],[Cant. Programada]]*Tabla3[[#This Row],[Precio unit]]</f>
        <v>0</v>
      </c>
      <c r="X856" s="8"/>
      <c r="Y856" s="8"/>
      <c r="Z856" s="8" t="str">
        <f>+Tabla3[[#This Row],[Referencia]]&amp;Tabla3[[#This Row],[Desc detalle ext 1]]</f>
        <v>CB 160F DLX                                       NEGRO PER</v>
      </c>
      <c r="AA856" s="128" t="e">
        <f>+VLOOKUP(Tabla3[[#This Row],[CODIGO2]],ESTANDAR!$B$3:$C$9,2,FALSE)</f>
        <v>#N/A</v>
      </c>
      <c r="AB856" s="128" t="str">
        <f>+MID(Tabla3[[#This Row],['# Viaje]],10,1)</f>
        <v/>
      </c>
    </row>
    <row r="857" spans="1:28" ht="15" hidden="1" customHeight="1">
      <c r="A857" s="173" t="s">
        <v>1636</v>
      </c>
      <c r="B857" s="174">
        <v>42948</v>
      </c>
      <c r="C857" s="173" t="s">
        <v>1231</v>
      </c>
      <c r="D857" s="173" t="s">
        <v>1487</v>
      </c>
      <c r="E857" s="173" t="s">
        <v>1479</v>
      </c>
      <c r="F857" s="173">
        <v>1</v>
      </c>
      <c r="G857" s="173" t="s">
        <v>239</v>
      </c>
      <c r="H857" s="173">
        <v>1</v>
      </c>
      <c r="I857" s="173" t="s">
        <v>1637</v>
      </c>
      <c r="J857" s="173" t="s">
        <v>1433</v>
      </c>
      <c r="K857" s="173" t="s">
        <v>1431</v>
      </c>
      <c r="L857" s="173"/>
      <c r="M857" s="173" t="s">
        <v>170</v>
      </c>
      <c r="N857" s="173">
        <v>900060537</v>
      </c>
      <c r="O857" s="175">
        <v>3521008</v>
      </c>
      <c r="P857" s="7"/>
      <c r="Q857" s="16">
        <f>+IF(IFERROR(VLOOKUP(Tabla3[[#This Row],[Cliente factura]],Tabla4[[NIT]:[TOTAL CREDITO]],3,FALSE),0)="",0,IFERROR(VLOOKUP(Tabla3[[#This Row],[Cliente factura]],Tabla4[[NIT]:[TOTAL CREDITO]],3,FALSE),0))</f>
        <v>0</v>
      </c>
      <c r="R857" s="9">
        <f>+IFERROR(VLOOKUP(Tabla3[[#This Row],[Cliente factura]],Tabla4[[NIT]:[TOTAL CREDITO]],6,FALSE),0)</f>
        <v>69613164</v>
      </c>
      <c r="S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7" s="10" t="str">
        <f>VLOOKUP(Tabla3[[#This Row],[Razón social cliente factura]]&amp;Tabla3[[#This Row],[Desc. ciudad]],'Estandar de Rutas'!$C$1:$E$553,2,FALSE)</f>
        <v>6.2</v>
      </c>
      <c r="U857" s="130">
        <f>IFERROR(VLOOKUP(Tabla3[[#This Row],[Referencia]]&amp;Tabla3[[#This Row],[Desc detalle ext 1]],Tabla1[[Referencia-Color]:[Disponibilidad]],3,FALSE),0)</f>
        <v>0</v>
      </c>
      <c r="V857" s="13"/>
      <c r="W857" s="17">
        <f>+Tabla3[[#This Row],[Cant. Programada]]*Tabla3[[#This Row],[Precio unit]]</f>
        <v>0</v>
      </c>
      <c r="X857" s="8"/>
      <c r="Y857" s="8"/>
      <c r="Z857" s="8" t="str">
        <f>+Tabla3[[#This Row],[Referencia]]&amp;Tabla3[[#This Row],[Desc detalle ext 1]]</f>
        <v xml:space="preserve">DIO  110                                          ROJO     </v>
      </c>
      <c r="AA857" s="128" t="e">
        <f>+VLOOKUP(Tabla3[[#This Row],[CODIGO2]],ESTANDAR!$B$3:$C$9,2,FALSE)</f>
        <v>#N/A</v>
      </c>
      <c r="AB857" s="128" t="str">
        <f>+MID(Tabla3[[#This Row],['# Viaje]],10,1)</f>
        <v/>
      </c>
    </row>
    <row r="858" spans="1:28" ht="15" hidden="1" customHeight="1">
      <c r="A858" s="173" t="s">
        <v>1636</v>
      </c>
      <c r="B858" s="174">
        <v>42948</v>
      </c>
      <c r="C858" s="173" t="s">
        <v>1231</v>
      </c>
      <c r="D858" s="173" t="s">
        <v>1487</v>
      </c>
      <c r="E858" s="173" t="s">
        <v>1479</v>
      </c>
      <c r="F858" s="173">
        <v>1</v>
      </c>
      <c r="G858" s="173" t="s">
        <v>239</v>
      </c>
      <c r="H858" s="173">
        <v>1</v>
      </c>
      <c r="I858" s="173" t="s">
        <v>1637</v>
      </c>
      <c r="J858" s="173" t="s">
        <v>1451</v>
      </c>
      <c r="K858" s="173" t="s">
        <v>1452</v>
      </c>
      <c r="L858" s="173"/>
      <c r="M858" s="173" t="s">
        <v>170</v>
      </c>
      <c r="N858" s="173">
        <v>900060537</v>
      </c>
      <c r="O858" s="175">
        <v>3696639</v>
      </c>
      <c r="P858" s="7"/>
      <c r="Q858" s="16">
        <f>+IF(IFERROR(VLOOKUP(Tabla3[[#This Row],[Cliente factura]],Tabla4[[NIT]:[TOTAL CREDITO]],3,FALSE),0)="",0,IFERROR(VLOOKUP(Tabla3[[#This Row],[Cliente factura]],Tabla4[[NIT]:[TOTAL CREDITO]],3,FALSE),0))</f>
        <v>0</v>
      </c>
      <c r="R858" s="9">
        <f>+IFERROR(VLOOKUP(Tabla3[[#This Row],[Cliente factura]],Tabla4[[NIT]:[TOTAL CREDITO]],6,FALSE),0)</f>
        <v>69613164</v>
      </c>
      <c r="S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8" s="10" t="str">
        <f>VLOOKUP(Tabla3[[#This Row],[Razón social cliente factura]]&amp;Tabla3[[#This Row],[Desc. ciudad]],'Estandar de Rutas'!$C$1:$E$553,2,FALSE)</f>
        <v>6.2</v>
      </c>
      <c r="U858" s="130">
        <f>IFERROR(VLOOKUP(Tabla3[[#This Row],[Referencia]]&amp;Tabla3[[#This Row],[Desc detalle ext 1]],Tabla1[[Referencia-Color]:[Disponibilidad]],3,FALSE),0)</f>
        <v>21</v>
      </c>
      <c r="V858" s="13">
        <v>1</v>
      </c>
      <c r="W858" s="17">
        <f>+Tabla3[[#This Row],[Cant. Programada]]*Tabla3[[#This Row],[Precio unit]]</f>
        <v>3696639</v>
      </c>
      <c r="X858" s="130" t="s">
        <v>1903</v>
      </c>
      <c r="Y858" s="8">
        <v>2</v>
      </c>
      <c r="Z858" s="8" t="str">
        <f>+Tabla3[[#This Row],[Referencia]]&amp;Tabla3[[#This Row],[Desc detalle ext 1]]</f>
        <v xml:space="preserve">CB 110 DLX                                        AZUL     </v>
      </c>
      <c r="AA858" s="128" t="str">
        <f>+VLOOKUP(Tabla3[[#This Row],[CODIGO2]],ESTANDAR!$B$3:$C$9,2,FALSE)</f>
        <v>ENTREGAS</v>
      </c>
      <c r="AB858" s="128" t="str">
        <f>+MID(Tabla3[[#This Row],['# Viaje]],10,1)</f>
        <v>E</v>
      </c>
    </row>
    <row r="859" spans="1:28" ht="15" hidden="1" customHeight="1">
      <c r="A859" s="173" t="s">
        <v>1638</v>
      </c>
      <c r="B859" s="174">
        <v>42948</v>
      </c>
      <c r="C859" s="173" t="s">
        <v>1231</v>
      </c>
      <c r="D859" s="173" t="s">
        <v>1487</v>
      </c>
      <c r="E859" s="173" t="s">
        <v>1479</v>
      </c>
      <c r="F859" s="173">
        <v>4</v>
      </c>
      <c r="G859" s="173" t="s">
        <v>239</v>
      </c>
      <c r="H859" s="173">
        <v>4</v>
      </c>
      <c r="I859" s="173" t="s">
        <v>1639</v>
      </c>
      <c r="J859" s="173" t="s">
        <v>27</v>
      </c>
      <c r="K859" s="173" t="s">
        <v>32</v>
      </c>
      <c r="L859" s="173"/>
      <c r="M859" s="173" t="s">
        <v>240</v>
      </c>
      <c r="N859" s="173">
        <v>900060537</v>
      </c>
      <c r="O859" s="175">
        <v>5789916</v>
      </c>
      <c r="P859" s="7"/>
      <c r="Q859" s="16">
        <f>+IF(IFERROR(VLOOKUP(Tabla3[[#This Row],[Cliente factura]],Tabla4[[NIT]:[TOTAL CREDITO]],3,FALSE),0)="",0,IFERROR(VLOOKUP(Tabla3[[#This Row],[Cliente factura]],Tabla4[[NIT]:[TOTAL CREDITO]],3,FALSE),0))</f>
        <v>0</v>
      </c>
      <c r="R859" s="9">
        <f>+IFERROR(VLOOKUP(Tabla3[[#This Row],[Cliente factura]],Tabla4[[NIT]:[TOTAL CREDITO]],6,FALSE),0)</f>
        <v>69613164</v>
      </c>
      <c r="S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9" s="10" t="str">
        <f>VLOOKUP(Tabla3[[#This Row],[Razón social cliente factura]]&amp;Tabla3[[#This Row],[Desc. ciudad]],'Estandar de Rutas'!$C$1:$E$553,2,FALSE)</f>
        <v>8.3.A</v>
      </c>
      <c r="U859" s="130">
        <f>IFERROR(VLOOKUP(Tabla3[[#This Row],[Referencia]]&amp;Tabla3[[#This Row],[Desc detalle ext 1]],Tabla1[[Referencia-Color]:[Disponibilidad]],3,FALSE),0)</f>
        <v>7</v>
      </c>
      <c r="V859" s="13"/>
      <c r="W859" s="17">
        <f>+Tabla3[[#This Row],[Cant. Programada]]*Tabla3[[#This Row],[Precio unit]]</f>
        <v>0</v>
      </c>
      <c r="X859" s="8"/>
      <c r="Y859" s="8"/>
      <c r="Z859" s="8" t="str">
        <f>+Tabla3[[#This Row],[Referencia]]&amp;Tabla3[[#This Row],[Desc detalle ext 1]]</f>
        <v>*XR 150L                                          NEGRO ROJ</v>
      </c>
      <c r="AA859" s="128" t="e">
        <f>+VLOOKUP(Tabla3[[#This Row],[CODIGO2]],ESTANDAR!$B$3:$C$9,2,FALSE)</f>
        <v>#N/A</v>
      </c>
      <c r="AB859" s="128" t="str">
        <f>+MID(Tabla3[[#This Row],['# Viaje]],10,1)</f>
        <v/>
      </c>
    </row>
    <row r="860" spans="1:28" ht="15" hidden="1" customHeight="1">
      <c r="A860" s="173" t="s">
        <v>1638</v>
      </c>
      <c r="B860" s="174">
        <v>42948</v>
      </c>
      <c r="C860" s="173" t="s">
        <v>1231</v>
      </c>
      <c r="D860" s="173" t="s">
        <v>1487</v>
      </c>
      <c r="E860" s="173" t="s">
        <v>1479</v>
      </c>
      <c r="F860" s="173">
        <v>3</v>
      </c>
      <c r="G860" s="173" t="s">
        <v>239</v>
      </c>
      <c r="H860" s="173">
        <v>3</v>
      </c>
      <c r="I860" s="173" t="s">
        <v>1639</v>
      </c>
      <c r="J860" s="173" t="s">
        <v>27</v>
      </c>
      <c r="K860" s="173" t="s">
        <v>26</v>
      </c>
      <c r="L860" s="173"/>
      <c r="M860" s="173" t="s">
        <v>240</v>
      </c>
      <c r="N860" s="173">
        <v>900060537</v>
      </c>
      <c r="O860" s="175">
        <v>5789916</v>
      </c>
      <c r="P860" s="7"/>
      <c r="Q860" s="16">
        <f>+IF(IFERROR(VLOOKUP(Tabla3[[#This Row],[Cliente factura]],Tabla4[[NIT]:[TOTAL CREDITO]],3,FALSE),0)="",0,IFERROR(VLOOKUP(Tabla3[[#This Row],[Cliente factura]],Tabla4[[NIT]:[TOTAL CREDITO]],3,FALSE),0))</f>
        <v>0</v>
      </c>
      <c r="R860" s="9">
        <f>+IFERROR(VLOOKUP(Tabla3[[#This Row],[Cliente factura]],Tabla4[[NIT]:[TOTAL CREDITO]],6,FALSE),0)</f>
        <v>69613164</v>
      </c>
      <c r="S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0" s="10" t="str">
        <f>VLOOKUP(Tabla3[[#This Row],[Razón social cliente factura]]&amp;Tabla3[[#This Row],[Desc. ciudad]],'Estandar de Rutas'!$C$1:$E$553,2,FALSE)</f>
        <v>8.3.A</v>
      </c>
      <c r="U860" s="130">
        <f>IFERROR(VLOOKUP(Tabla3[[#This Row],[Referencia]]&amp;Tabla3[[#This Row],[Desc detalle ext 1]],Tabla1[[Referencia-Color]:[Disponibilidad]],3,FALSE),0)</f>
        <v>59</v>
      </c>
      <c r="V860" s="13"/>
      <c r="W860" s="17">
        <f>+Tabla3[[#This Row],[Cant. Programada]]*Tabla3[[#This Row],[Precio unit]]</f>
        <v>0</v>
      </c>
      <c r="X860" s="8"/>
      <c r="Y860" s="8"/>
      <c r="Z860" s="8" t="str">
        <f>+Tabla3[[#This Row],[Referencia]]&amp;Tabla3[[#This Row],[Desc detalle ext 1]]</f>
        <v>*XR 150L                                          NEGRO BLA</v>
      </c>
      <c r="AA860" s="128" t="e">
        <f>+VLOOKUP(Tabla3[[#This Row],[CODIGO2]],ESTANDAR!$B$3:$C$9,2,FALSE)</f>
        <v>#N/A</v>
      </c>
      <c r="AB860" s="128" t="str">
        <f>+MID(Tabla3[[#This Row],['# Viaje]],10,1)</f>
        <v/>
      </c>
    </row>
    <row r="861" spans="1:28" ht="15" hidden="1" customHeight="1">
      <c r="A861" s="173" t="s">
        <v>1638</v>
      </c>
      <c r="B861" s="174">
        <v>42948</v>
      </c>
      <c r="C861" s="173" t="s">
        <v>1231</v>
      </c>
      <c r="D861" s="173" t="s">
        <v>1487</v>
      </c>
      <c r="E861" s="173" t="s">
        <v>1479</v>
      </c>
      <c r="F861" s="173">
        <v>4</v>
      </c>
      <c r="G861" s="173" t="s">
        <v>239</v>
      </c>
      <c r="H861" s="173">
        <v>4</v>
      </c>
      <c r="I861" s="173" t="s">
        <v>1639</v>
      </c>
      <c r="J861" s="173" t="s">
        <v>27</v>
      </c>
      <c r="K861" s="173" t="s">
        <v>16</v>
      </c>
      <c r="L861" s="173"/>
      <c r="M861" s="173" t="s">
        <v>240</v>
      </c>
      <c r="N861" s="173">
        <v>900060537</v>
      </c>
      <c r="O861" s="175">
        <v>5789916</v>
      </c>
      <c r="P861" s="7"/>
      <c r="Q861" s="16">
        <f>+IF(IFERROR(VLOOKUP(Tabla3[[#This Row],[Cliente factura]],Tabla4[[NIT]:[TOTAL CREDITO]],3,FALSE),0)="",0,IFERROR(VLOOKUP(Tabla3[[#This Row],[Cliente factura]],Tabla4[[NIT]:[TOTAL CREDITO]],3,FALSE),0))</f>
        <v>0</v>
      </c>
      <c r="R861" s="9">
        <f>+IFERROR(VLOOKUP(Tabla3[[#This Row],[Cliente factura]],Tabla4[[NIT]:[TOTAL CREDITO]],6,FALSE),0)</f>
        <v>69613164</v>
      </c>
      <c r="S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1" s="10" t="str">
        <f>VLOOKUP(Tabla3[[#This Row],[Razón social cliente factura]]&amp;Tabla3[[#This Row],[Desc. ciudad]],'Estandar de Rutas'!$C$1:$E$553,2,FALSE)</f>
        <v>8.3.A</v>
      </c>
      <c r="U861" s="130">
        <f>IFERROR(VLOOKUP(Tabla3[[#This Row],[Referencia]]&amp;Tabla3[[#This Row],[Desc detalle ext 1]],Tabla1[[Referencia-Color]:[Disponibilidad]],3,FALSE),0)</f>
        <v>3</v>
      </c>
      <c r="V861" s="13"/>
      <c r="W861" s="17">
        <f>+Tabla3[[#This Row],[Cant. Programada]]*Tabla3[[#This Row],[Precio unit]]</f>
        <v>0</v>
      </c>
      <c r="X861" s="8"/>
      <c r="Y861" s="8"/>
      <c r="Z861" s="8" t="str">
        <f>+Tabla3[[#This Row],[Referencia]]&amp;Tabla3[[#This Row],[Desc detalle ext 1]]</f>
        <v xml:space="preserve">*XR 150L                                          NEGRO    </v>
      </c>
      <c r="AA861" s="128" t="e">
        <f>+VLOOKUP(Tabla3[[#This Row],[CODIGO2]],ESTANDAR!$B$3:$C$9,2,FALSE)</f>
        <v>#N/A</v>
      </c>
      <c r="AB861" s="128" t="str">
        <f>+MID(Tabla3[[#This Row],['# Viaje]],10,1)</f>
        <v/>
      </c>
    </row>
    <row r="862" spans="1:28" ht="15" hidden="1" customHeight="1">
      <c r="A862" s="173" t="s">
        <v>1638</v>
      </c>
      <c r="B862" s="174">
        <v>42948</v>
      </c>
      <c r="C862" s="173" t="s">
        <v>1231</v>
      </c>
      <c r="D862" s="173" t="s">
        <v>1487</v>
      </c>
      <c r="E862" s="173" t="s">
        <v>1479</v>
      </c>
      <c r="F862" s="173">
        <v>1</v>
      </c>
      <c r="G862" s="173" t="s">
        <v>239</v>
      </c>
      <c r="H862" s="173">
        <v>1</v>
      </c>
      <c r="I862" s="173" t="s">
        <v>1639</v>
      </c>
      <c r="J862" s="173" t="s">
        <v>354</v>
      </c>
      <c r="K862" s="173" t="s">
        <v>355</v>
      </c>
      <c r="L862" s="173"/>
      <c r="M862" s="173" t="s">
        <v>240</v>
      </c>
      <c r="N862" s="173">
        <v>900060537</v>
      </c>
      <c r="O862" s="175">
        <v>6133613</v>
      </c>
      <c r="P862" s="7"/>
      <c r="Q862" s="16">
        <f>+IF(IFERROR(VLOOKUP(Tabla3[[#This Row],[Cliente factura]],Tabla4[[NIT]:[TOTAL CREDITO]],3,FALSE),0)="",0,IFERROR(VLOOKUP(Tabla3[[#This Row],[Cliente factura]],Tabla4[[NIT]:[TOTAL CREDITO]],3,FALSE),0))</f>
        <v>0</v>
      </c>
      <c r="R862" s="9">
        <f>+IFERROR(VLOOKUP(Tabla3[[#This Row],[Cliente factura]],Tabla4[[NIT]:[TOTAL CREDITO]],6,FALSE),0)</f>
        <v>69613164</v>
      </c>
      <c r="S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2" s="10" t="str">
        <f>VLOOKUP(Tabla3[[#This Row],[Razón social cliente factura]]&amp;Tabla3[[#This Row],[Desc. ciudad]],'Estandar de Rutas'!$C$1:$E$553,2,FALSE)</f>
        <v>8.3.A</v>
      </c>
      <c r="U862" s="130">
        <f>IFERROR(VLOOKUP(Tabla3[[#This Row],[Referencia]]&amp;Tabla3[[#This Row],[Desc detalle ext 1]],Tabla1[[Referencia-Color]:[Disponibilidad]],3,FALSE),0)</f>
        <v>0</v>
      </c>
      <c r="V862" s="13"/>
      <c r="W862" s="17">
        <f>+Tabla3[[#This Row],[Cant. Programada]]*Tabla3[[#This Row],[Precio unit]]</f>
        <v>0</v>
      </c>
      <c r="X862" s="8"/>
      <c r="Y862" s="8"/>
      <c r="Z862" s="8" t="str">
        <f>+Tabla3[[#This Row],[Referencia]]&amp;Tabla3[[#This Row],[Desc detalle ext 1]]</f>
        <v>CB 160F DLX                                       NEGRO PER</v>
      </c>
      <c r="AA862" s="128" t="e">
        <f>+VLOOKUP(Tabla3[[#This Row],[CODIGO2]],ESTANDAR!$B$3:$C$9,2,FALSE)</f>
        <v>#N/A</v>
      </c>
      <c r="AB862" s="128" t="str">
        <f>+MID(Tabla3[[#This Row],['# Viaje]],10,1)</f>
        <v/>
      </c>
    </row>
    <row r="863" spans="1:28" ht="15" hidden="1" customHeight="1">
      <c r="A863" s="173" t="s">
        <v>1638</v>
      </c>
      <c r="B863" s="174">
        <v>42948</v>
      </c>
      <c r="C863" s="173" t="s">
        <v>1231</v>
      </c>
      <c r="D863" s="173" t="s">
        <v>1487</v>
      </c>
      <c r="E863" s="173" t="s">
        <v>1479</v>
      </c>
      <c r="F863" s="173">
        <v>2</v>
      </c>
      <c r="G863" s="173" t="s">
        <v>239</v>
      </c>
      <c r="H863" s="173">
        <v>2</v>
      </c>
      <c r="I863" s="173" t="s">
        <v>1639</v>
      </c>
      <c r="J863" s="173" t="s">
        <v>1433</v>
      </c>
      <c r="K863" s="173" t="s">
        <v>1434</v>
      </c>
      <c r="L863" s="173"/>
      <c r="M863" s="173" t="s">
        <v>240</v>
      </c>
      <c r="N863" s="173">
        <v>900060537</v>
      </c>
      <c r="O863" s="175">
        <v>3521008</v>
      </c>
      <c r="P863" s="7"/>
      <c r="Q863" s="16">
        <f>+IF(IFERROR(VLOOKUP(Tabla3[[#This Row],[Cliente factura]],Tabla4[[NIT]:[TOTAL CREDITO]],3,FALSE),0)="",0,IFERROR(VLOOKUP(Tabla3[[#This Row],[Cliente factura]],Tabla4[[NIT]:[TOTAL CREDITO]],3,FALSE),0))</f>
        <v>0</v>
      </c>
      <c r="R863" s="9">
        <f>+IFERROR(VLOOKUP(Tabla3[[#This Row],[Cliente factura]],Tabla4[[NIT]:[TOTAL CREDITO]],6,FALSE),0)</f>
        <v>69613164</v>
      </c>
      <c r="S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3" s="10" t="str">
        <f>VLOOKUP(Tabla3[[#This Row],[Razón social cliente factura]]&amp;Tabla3[[#This Row],[Desc. ciudad]],'Estandar de Rutas'!$C$1:$E$553,2,FALSE)</f>
        <v>8.3.A</v>
      </c>
      <c r="U863" s="130">
        <f>IFERROR(VLOOKUP(Tabla3[[#This Row],[Referencia]]&amp;Tabla3[[#This Row],[Desc detalle ext 1]],Tabla1[[Referencia-Color]:[Disponibilidad]],3,FALSE),0)</f>
        <v>23</v>
      </c>
      <c r="V863" s="13"/>
      <c r="W863" s="17">
        <f>+Tabla3[[#This Row],[Cant. Programada]]*Tabla3[[#This Row],[Precio unit]]</f>
        <v>0</v>
      </c>
      <c r="X863" s="129"/>
      <c r="Y863" s="8"/>
      <c r="Z863" s="8" t="str">
        <f>+Tabla3[[#This Row],[Referencia]]&amp;Tabla3[[#This Row],[Desc detalle ext 1]]</f>
        <v>DIO  110                                          BLANCO NE</v>
      </c>
      <c r="AA863" s="128" t="e">
        <f>+VLOOKUP(Tabla3[[#This Row],[CODIGO2]],ESTANDAR!$B$3:$C$9,2,FALSE)</f>
        <v>#N/A</v>
      </c>
      <c r="AB863" s="128" t="str">
        <f>+MID(Tabla3[[#This Row],['# Viaje]],10,1)</f>
        <v/>
      </c>
    </row>
    <row r="864" spans="1:28" ht="15" hidden="1" customHeight="1">
      <c r="A864" s="173" t="s">
        <v>1638</v>
      </c>
      <c r="B864" s="174">
        <v>42948</v>
      </c>
      <c r="C864" s="173" t="s">
        <v>1231</v>
      </c>
      <c r="D864" s="173" t="s">
        <v>1487</v>
      </c>
      <c r="E864" s="173" t="s">
        <v>1479</v>
      </c>
      <c r="F864" s="173">
        <v>1</v>
      </c>
      <c r="G864" s="173" t="s">
        <v>239</v>
      </c>
      <c r="H864" s="173">
        <v>1</v>
      </c>
      <c r="I864" s="173" t="s">
        <v>1639</v>
      </c>
      <c r="J864" s="173" t="s">
        <v>1433</v>
      </c>
      <c r="K864" s="173" t="s">
        <v>1431</v>
      </c>
      <c r="L864" s="173"/>
      <c r="M864" s="173" t="s">
        <v>240</v>
      </c>
      <c r="N864" s="173">
        <v>900060537</v>
      </c>
      <c r="O864" s="175">
        <v>3521008</v>
      </c>
      <c r="P864" s="7"/>
      <c r="Q864" s="16">
        <f>+IF(IFERROR(VLOOKUP(Tabla3[[#This Row],[Cliente factura]],Tabla4[[NIT]:[TOTAL CREDITO]],3,FALSE),0)="",0,IFERROR(VLOOKUP(Tabla3[[#This Row],[Cliente factura]],Tabla4[[NIT]:[TOTAL CREDITO]],3,FALSE),0))</f>
        <v>0</v>
      </c>
      <c r="R864" s="9">
        <f>+IFERROR(VLOOKUP(Tabla3[[#This Row],[Cliente factura]],Tabla4[[NIT]:[TOTAL CREDITO]],6,FALSE),0)</f>
        <v>69613164</v>
      </c>
      <c r="S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4" s="10" t="str">
        <f>VLOOKUP(Tabla3[[#This Row],[Razón social cliente factura]]&amp;Tabla3[[#This Row],[Desc. ciudad]],'Estandar de Rutas'!$C$1:$E$553,2,FALSE)</f>
        <v>8.3.A</v>
      </c>
      <c r="U864" s="130">
        <f>IFERROR(VLOOKUP(Tabla3[[#This Row],[Referencia]]&amp;Tabla3[[#This Row],[Desc detalle ext 1]],Tabla1[[Referencia-Color]:[Disponibilidad]],3,FALSE),0)</f>
        <v>0</v>
      </c>
      <c r="V864" s="13"/>
      <c r="W864" s="17">
        <f>+Tabla3[[#This Row],[Cant. Programada]]*Tabla3[[#This Row],[Precio unit]]</f>
        <v>0</v>
      </c>
      <c r="X864" s="8"/>
      <c r="Y864" s="8"/>
      <c r="Z864" s="8" t="str">
        <f>+Tabla3[[#This Row],[Referencia]]&amp;Tabla3[[#This Row],[Desc detalle ext 1]]</f>
        <v xml:space="preserve">DIO  110                                          ROJO     </v>
      </c>
      <c r="AA864" s="128" t="e">
        <f>+VLOOKUP(Tabla3[[#This Row],[CODIGO2]],ESTANDAR!$B$3:$C$9,2,FALSE)</f>
        <v>#N/A</v>
      </c>
      <c r="AB864" s="128" t="str">
        <f>+MID(Tabla3[[#This Row],['# Viaje]],10,1)</f>
        <v/>
      </c>
    </row>
    <row r="865" spans="1:28" ht="15" hidden="1" customHeight="1">
      <c r="A865" s="173" t="s">
        <v>1638</v>
      </c>
      <c r="B865" s="174">
        <v>42948</v>
      </c>
      <c r="C865" s="173" t="s">
        <v>1231</v>
      </c>
      <c r="D865" s="173" t="s">
        <v>1487</v>
      </c>
      <c r="E865" s="173" t="s">
        <v>1479</v>
      </c>
      <c r="F865" s="173">
        <v>1</v>
      </c>
      <c r="G865" s="173" t="s">
        <v>239</v>
      </c>
      <c r="H865" s="173">
        <v>1</v>
      </c>
      <c r="I865" s="173" t="s">
        <v>1639</v>
      </c>
      <c r="J865" s="173" t="s">
        <v>1433</v>
      </c>
      <c r="K865" s="173" t="s">
        <v>1452</v>
      </c>
      <c r="L865" s="173"/>
      <c r="M865" s="173" t="s">
        <v>240</v>
      </c>
      <c r="N865" s="173">
        <v>900060537</v>
      </c>
      <c r="O865" s="175">
        <v>3521008</v>
      </c>
      <c r="P865" s="7"/>
      <c r="Q865" s="16">
        <f>+IF(IFERROR(VLOOKUP(Tabla3[[#This Row],[Cliente factura]],Tabla4[[NIT]:[TOTAL CREDITO]],3,FALSE),0)="",0,IFERROR(VLOOKUP(Tabla3[[#This Row],[Cliente factura]],Tabla4[[NIT]:[TOTAL CREDITO]],3,FALSE),0))</f>
        <v>0</v>
      </c>
      <c r="R865" s="9">
        <f>+IFERROR(VLOOKUP(Tabla3[[#This Row],[Cliente factura]],Tabla4[[NIT]:[TOTAL CREDITO]],6,FALSE),0)</f>
        <v>69613164</v>
      </c>
      <c r="S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5" s="10" t="str">
        <f>VLOOKUP(Tabla3[[#This Row],[Razón social cliente factura]]&amp;Tabla3[[#This Row],[Desc. ciudad]],'Estandar de Rutas'!$C$1:$E$553,2,FALSE)</f>
        <v>8.3.A</v>
      </c>
      <c r="U865" s="130">
        <f>IFERROR(VLOOKUP(Tabla3[[#This Row],[Referencia]]&amp;Tabla3[[#This Row],[Desc detalle ext 1]],Tabla1[[Referencia-Color]:[Disponibilidad]],3,FALSE),0)</f>
        <v>0</v>
      </c>
      <c r="V865" s="13"/>
      <c r="W865" s="17">
        <f>+Tabla3[[#This Row],[Cant. Programada]]*Tabla3[[#This Row],[Precio unit]]</f>
        <v>0</v>
      </c>
      <c r="X865" s="8"/>
      <c r="Y865" s="8"/>
      <c r="Z865" s="8" t="str">
        <f>+Tabla3[[#This Row],[Referencia]]&amp;Tabla3[[#This Row],[Desc detalle ext 1]]</f>
        <v xml:space="preserve">DIO  110                                          AZUL     </v>
      </c>
      <c r="AA865" s="128" t="e">
        <f>+VLOOKUP(Tabla3[[#This Row],[CODIGO2]],ESTANDAR!$B$3:$C$9,2,FALSE)</f>
        <v>#N/A</v>
      </c>
      <c r="AB865" s="128" t="str">
        <f>+MID(Tabla3[[#This Row],['# Viaje]],10,1)</f>
        <v/>
      </c>
    </row>
    <row r="866" spans="1:28" ht="15" hidden="1" customHeight="1">
      <c r="A866" s="173" t="s">
        <v>1638</v>
      </c>
      <c r="B866" s="174">
        <v>42948</v>
      </c>
      <c r="C866" s="173" t="s">
        <v>1231</v>
      </c>
      <c r="D866" s="173" t="s">
        <v>1487</v>
      </c>
      <c r="E866" s="173" t="s">
        <v>1479</v>
      </c>
      <c r="F866" s="173">
        <v>5</v>
      </c>
      <c r="G866" s="173" t="s">
        <v>239</v>
      </c>
      <c r="H866" s="173">
        <v>5</v>
      </c>
      <c r="I866" s="173" t="s">
        <v>1639</v>
      </c>
      <c r="J866" s="173" t="s">
        <v>1428</v>
      </c>
      <c r="K866" s="173" t="s">
        <v>32</v>
      </c>
      <c r="L866" s="173"/>
      <c r="M866" s="173" t="s">
        <v>240</v>
      </c>
      <c r="N866" s="173">
        <v>900060537</v>
      </c>
      <c r="O866" s="175">
        <v>3067227</v>
      </c>
      <c r="P866" s="7"/>
      <c r="Q866" s="16">
        <f>+IF(IFERROR(VLOOKUP(Tabla3[[#This Row],[Cliente factura]],Tabla4[[NIT]:[TOTAL CREDITO]],3,FALSE),0)="",0,IFERROR(VLOOKUP(Tabla3[[#This Row],[Cliente factura]],Tabla4[[NIT]:[TOTAL CREDITO]],3,FALSE),0))</f>
        <v>0</v>
      </c>
      <c r="R866" s="9">
        <f>+IFERROR(VLOOKUP(Tabla3[[#This Row],[Cliente factura]],Tabla4[[NIT]:[TOTAL CREDITO]],6,FALSE),0)</f>
        <v>69613164</v>
      </c>
      <c r="S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6" s="10" t="str">
        <f>VLOOKUP(Tabla3[[#This Row],[Razón social cliente factura]]&amp;Tabla3[[#This Row],[Desc. ciudad]],'Estandar de Rutas'!$C$1:$E$553,2,FALSE)</f>
        <v>8.3.A</v>
      </c>
      <c r="U866" s="130">
        <f>IFERROR(VLOOKUP(Tabla3[[#This Row],[Referencia]]&amp;Tabla3[[#This Row],[Desc detalle ext 1]],Tabla1[[Referencia-Color]:[Disponibilidad]],3,FALSE),0)</f>
        <v>0</v>
      </c>
      <c r="V866" s="13"/>
      <c r="W866" s="17">
        <f>+Tabla3[[#This Row],[Cant. Programada]]*Tabla3[[#This Row],[Precio unit]]</f>
        <v>0</v>
      </c>
      <c r="X866" s="8"/>
      <c r="Y866" s="8"/>
      <c r="Z866" s="8" t="str">
        <f>+Tabla3[[#This Row],[Referencia]]&amp;Tabla3[[#This Row],[Desc detalle ext 1]]</f>
        <v>DREAM  NEO                                        NEGRO ROJ</v>
      </c>
      <c r="AA866" s="128" t="e">
        <f>+VLOOKUP(Tabla3[[#This Row],[CODIGO2]],ESTANDAR!$B$3:$C$9,2,FALSE)</f>
        <v>#N/A</v>
      </c>
      <c r="AB866" s="128" t="str">
        <f>+MID(Tabla3[[#This Row],['# Viaje]],10,1)</f>
        <v/>
      </c>
    </row>
    <row r="867" spans="1:28" ht="15" hidden="1" customHeight="1">
      <c r="A867" s="173" t="s">
        <v>1638</v>
      </c>
      <c r="B867" s="174">
        <v>42948</v>
      </c>
      <c r="C867" s="173" t="s">
        <v>1231</v>
      </c>
      <c r="D867" s="173" t="s">
        <v>1487</v>
      </c>
      <c r="E867" s="173" t="s">
        <v>1479</v>
      </c>
      <c r="F867" s="173">
        <v>7</v>
      </c>
      <c r="G867" s="173" t="s">
        <v>239</v>
      </c>
      <c r="H867" s="173">
        <v>7</v>
      </c>
      <c r="I867" s="173" t="s">
        <v>1639</v>
      </c>
      <c r="J867" s="173" t="s">
        <v>1428</v>
      </c>
      <c r="K867" s="173" t="s">
        <v>1429</v>
      </c>
      <c r="L867" s="173"/>
      <c r="M867" s="173" t="s">
        <v>240</v>
      </c>
      <c r="N867" s="173">
        <v>900060537</v>
      </c>
      <c r="O867" s="175">
        <v>3067227</v>
      </c>
      <c r="P867" s="7"/>
      <c r="Q867" s="16">
        <f>+IF(IFERROR(VLOOKUP(Tabla3[[#This Row],[Cliente factura]],Tabla4[[NIT]:[TOTAL CREDITO]],3,FALSE),0)="",0,IFERROR(VLOOKUP(Tabla3[[#This Row],[Cliente factura]],Tabla4[[NIT]:[TOTAL CREDITO]],3,FALSE),0))</f>
        <v>0</v>
      </c>
      <c r="R867" s="9">
        <f>+IFERROR(VLOOKUP(Tabla3[[#This Row],[Cliente factura]],Tabla4[[NIT]:[TOTAL CREDITO]],6,FALSE),0)</f>
        <v>69613164</v>
      </c>
      <c r="S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7" s="10" t="str">
        <f>VLOOKUP(Tabla3[[#This Row],[Razón social cliente factura]]&amp;Tabla3[[#This Row],[Desc. ciudad]],'Estandar de Rutas'!$C$1:$E$553,2,FALSE)</f>
        <v>8.3.A</v>
      </c>
      <c r="U867" s="130">
        <f>IFERROR(VLOOKUP(Tabla3[[#This Row],[Referencia]]&amp;Tabla3[[#This Row],[Desc detalle ext 1]],Tabla1[[Referencia-Color]:[Disponibilidad]],3,FALSE),0)</f>
        <v>0</v>
      </c>
      <c r="V867" s="13"/>
      <c r="W867" s="17">
        <f>+Tabla3[[#This Row],[Cant. Programada]]*Tabla3[[#This Row],[Precio unit]]</f>
        <v>0</v>
      </c>
      <c r="X867" s="8"/>
      <c r="Y867" s="8"/>
      <c r="Z867" s="8" t="str">
        <f>+Tabla3[[#This Row],[Referencia]]&amp;Tabla3[[#This Row],[Desc detalle ext 1]]</f>
        <v>DREAM  NEO                                        NEGRO AZU</v>
      </c>
      <c r="AA867" s="128" t="e">
        <f>+VLOOKUP(Tabla3[[#This Row],[CODIGO2]],ESTANDAR!$B$3:$C$9,2,FALSE)</f>
        <v>#N/A</v>
      </c>
      <c r="AB867" s="128" t="str">
        <f>+MID(Tabla3[[#This Row],['# Viaje]],10,1)</f>
        <v/>
      </c>
    </row>
    <row r="868" spans="1:28" ht="15" hidden="1" customHeight="1">
      <c r="A868" s="173" t="s">
        <v>1638</v>
      </c>
      <c r="B868" s="174">
        <v>42948</v>
      </c>
      <c r="C868" s="173" t="s">
        <v>1231</v>
      </c>
      <c r="D868" s="173" t="s">
        <v>1487</v>
      </c>
      <c r="E868" s="173" t="s">
        <v>1479</v>
      </c>
      <c r="F868" s="173">
        <v>1</v>
      </c>
      <c r="G868" s="173" t="s">
        <v>239</v>
      </c>
      <c r="H868" s="173">
        <v>1</v>
      </c>
      <c r="I868" s="173" t="s">
        <v>1639</v>
      </c>
      <c r="J868" s="173" t="s">
        <v>1430</v>
      </c>
      <c r="K868" s="173" t="s">
        <v>1431</v>
      </c>
      <c r="L868" s="173"/>
      <c r="M868" s="173" t="s">
        <v>240</v>
      </c>
      <c r="N868" s="173">
        <v>900060537</v>
      </c>
      <c r="O868" s="175">
        <v>3941176</v>
      </c>
      <c r="P868" s="7"/>
      <c r="Q868" s="16">
        <f>+IF(IFERROR(VLOOKUP(Tabla3[[#This Row],[Cliente factura]],Tabla4[[NIT]:[TOTAL CREDITO]],3,FALSE),0)="",0,IFERROR(VLOOKUP(Tabla3[[#This Row],[Cliente factura]],Tabla4[[NIT]:[TOTAL CREDITO]],3,FALSE),0))</f>
        <v>0</v>
      </c>
      <c r="R868" s="9">
        <f>+IFERROR(VLOOKUP(Tabla3[[#This Row],[Cliente factura]],Tabla4[[NIT]:[TOTAL CREDITO]],6,FALSE),0)</f>
        <v>69613164</v>
      </c>
      <c r="S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8" s="10" t="str">
        <f>VLOOKUP(Tabla3[[#This Row],[Razón social cliente factura]]&amp;Tabla3[[#This Row],[Desc. ciudad]],'Estandar de Rutas'!$C$1:$E$553,2,FALSE)</f>
        <v>8.3.A</v>
      </c>
      <c r="U868" s="130">
        <f>IFERROR(VLOOKUP(Tabla3[[#This Row],[Referencia]]&amp;Tabla3[[#This Row],[Desc detalle ext 1]],Tabla1[[Referencia-Color]:[Disponibilidad]],3,FALSE),0)</f>
        <v>0</v>
      </c>
      <c r="V868" s="13"/>
      <c r="W868" s="17">
        <f>+Tabla3[[#This Row],[Cant. Programada]]*Tabla3[[#This Row],[Precio unit]]</f>
        <v>0</v>
      </c>
      <c r="X868" s="8"/>
      <c r="Y868" s="8"/>
      <c r="Z868" s="8" t="str">
        <f>+Tabla3[[#This Row],[Referencia]]&amp;Tabla3[[#This Row],[Desc detalle ext 1]]</f>
        <v xml:space="preserve">WAVE 110S                                         ROJO     </v>
      </c>
      <c r="AA868" s="128" t="e">
        <f>+VLOOKUP(Tabla3[[#This Row],[CODIGO2]],ESTANDAR!$B$3:$C$9,2,FALSE)</f>
        <v>#N/A</v>
      </c>
      <c r="AB868" s="128" t="str">
        <f>+MID(Tabla3[[#This Row],['# Viaje]],10,1)</f>
        <v/>
      </c>
    </row>
    <row r="869" spans="1:28" ht="15" hidden="1" customHeight="1">
      <c r="A869" s="173" t="s">
        <v>1638</v>
      </c>
      <c r="B869" s="174">
        <v>42948</v>
      </c>
      <c r="C869" s="173" t="s">
        <v>1231</v>
      </c>
      <c r="D869" s="173" t="s">
        <v>1487</v>
      </c>
      <c r="E869" s="173" t="s">
        <v>1479</v>
      </c>
      <c r="F869" s="173">
        <v>2</v>
      </c>
      <c r="G869" s="173" t="s">
        <v>239</v>
      </c>
      <c r="H869" s="173">
        <v>2</v>
      </c>
      <c r="I869" s="173" t="s">
        <v>1639</v>
      </c>
      <c r="J869" s="173" t="s">
        <v>1430</v>
      </c>
      <c r="K869" s="173" t="s">
        <v>16</v>
      </c>
      <c r="L869" s="173"/>
      <c r="M869" s="173" t="s">
        <v>240</v>
      </c>
      <c r="N869" s="173">
        <v>900060537</v>
      </c>
      <c r="O869" s="175">
        <v>3941176</v>
      </c>
      <c r="P869" s="7"/>
      <c r="Q869" s="16">
        <f>+IF(IFERROR(VLOOKUP(Tabla3[[#This Row],[Cliente factura]],Tabla4[[NIT]:[TOTAL CREDITO]],3,FALSE),0)="",0,IFERROR(VLOOKUP(Tabla3[[#This Row],[Cliente factura]],Tabla4[[NIT]:[TOTAL CREDITO]],3,FALSE),0))</f>
        <v>0</v>
      </c>
      <c r="R869" s="9">
        <f>+IFERROR(VLOOKUP(Tabla3[[#This Row],[Cliente factura]],Tabla4[[NIT]:[TOTAL CREDITO]],6,FALSE),0)</f>
        <v>69613164</v>
      </c>
      <c r="S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9" s="10" t="str">
        <f>VLOOKUP(Tabla3[[#This Row],[Razón social cliente factura]]&amp;Tabla3[[#This Row],[Desc. ciudad]],'Estandar de Rutas'!$C$1:$E$553,2,FALSE)</f>
        <v>8.3.A</v>
      </c>
      <c r="U869" s="130">
        <f>IFERROR(VLOOKUP(Tabla3[[#This Row],[Referencia]]&amp;Tabla3[[#This Row],[Desc detalle ext 1]],Tabla1[[Referencia-Color]:[Disponibilidad]],3,FALSE),0)</f>
        <v>0</v>
      </c>
      <c r="V869" s="13"/>
      <c r="W869" s="17">
        <f>+Tabla3[[#This Row],[Cant. Programada]]*Tabla3[[#This Row],[Precio unit]]</f>
        <v>0</v>
      </c>
      <c r="X869" s="129"/>
      <c r="Y869" s="8"/>
      <c r="Z869" s="8" t="str">
        <f>+Tabla3[[#This Row],[Referencia]]&amp;Tabla3[[#This Row],[Desc detalle ext 1]]</f>
        <v xml:space="preserve">WAVE 110S                                         NEGRO    </v>
      </c>
      <c r="AA869" s="128" t="e">
        <f>+VLOOKUP(Tabla3[[#This Row],[CODIGO2]],ESTANDAR!$B$3:$C$9,2,FALSE)</f>
        <v>#N/A</v>
      </c>
      <c r="AB869" s="128" t="str">
        <f>+MID(Tabla3[[#This Row],['# Viaje]],10,1)</f>
        <v/>
      </c>
    </row>
    <row r="870" spans="1:28" ht="15" hidden="1" customHeight="1">
      <c r="A870" s="173" t="s">
        <v>1638</v>
      </c>
      <c r="B870" s="174">
        <v>42948</v>
      </c>
      <c r="C870" s="173" t="s">
        <v>1231</v>
      </c>
      <c r="D870" s="173" t="s">
        <v>1487</v>
      </c>
      <c r="E870" s="173" t="s">
        <v>1479</v>
      </c>
      <c r="F870" s="173">
        <v>1</v>
      </c>
      <c r="G870" s="173" t="s">
        <v>239</v>
      </c>
      <c r="H870" s="173">
        <v>1</v>
      </c>
      <c r="I870" s="173" t="s">
        <v>1639</v>
      </c>
      <c r="J870" s="173" t="s">
        <v>1451</v>
      </c>
      <c r="K870" s="173" t="s">
        <v>1452</v>
      </c>
      <c r="L870" s="173"/>
      <c r="M870" s="173" t="s">
        <v>240</v>
      </c>
      <c r="N870" s="173">
        <v>900060537</v>
      </c>
      <c r="O870" s="175">
        <v>3696639</v>
      </c>
      <c r="P870" s="7"/>
      <c r="Q870" s="16">
        <f>+IF(IFERROR(VLOOKUP(Tabla3[[#This Row],[Cliente factura]],Tabla4[[NIT]:[TOTAL CREDITO]],3,FALSE),0)="",0,IFERROR(VLOOKUP(Tabla3[[#This Row],[Cliente factura]],Tabla4[[NIT]:[TOTAL CREDITO]],3,FALSE),0))</f>
        <v>0</v>
      </c>
      <c r="R870" s="9">
        <f>+IFERROR(VLOOKUP(Tabla3[[#This Row],[Cliente factura]],Tabla4[[NIT]:[TOTAL CREDITO]],6,FALSE),0)</f>
        <v>69613164</v>
      </c>
      <c r="S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0" s="10" t="str">
        <f>VLOOKUP(Tabla3[[#This Row],[Razón social cliente factura]]&amp;Tabla3[[#This Row],[Desc. ciudad]],'Estandar de Rutas'!$C$1:$E$553,2,FALSE)</f>
        <v>8.3.A</v>
      </c>
      <c r="U870" s="130">
        <f>IFERROR(VLOOKUP(Tabla3[[#This Row],[Referencia]]&amp;Tabla3[[#This Row],[Desc detalle ext 1]],Tabla1[[Referencia-Color]:[Disponibilidad]],3,FALSE),0)</f>
        <v>21</v>
      </c>
      <c r="V870" s="13"/>
      <c r="W870" s="17">
        <f>+Tabla3[[#This Row],[Cant. Programada]]*Tabla3[[#This Row],[Precio unit]]</f>
        <v>0</v>
      </c>
      <c r="X870" s="8"/>
      <c r="Y870" s="8"/>
      <c r="Z870" s="8" t="str">
        <f>+Tabla3[[#This Row],[Referencia]]&amp;Tabla3[[#This Row],[Desc detalle ext 1]]</f>
        <v xml:space="preserve">CB 110 DLX                                        AZUL     </v>
      </c>
      <c r="AA870" s="128" t="e">
        <f>+VLOOKUP(Tabla3[[#This Row],[CODIGO2]],ESTANDAR!$B$3:$C$9,2,FALSE)</f>
        <v>#N/A</v>
      </c>
      <c r="AB870" s="128" t="str">
        <f>+MID(Tabla3[[#This Row],['# Viaje]],10,1)</f>
        <v/>
      </c>
    </row>
    <row r="871" spans="1:28" ht="15" hidden="1" customHeight="1">
      <c r="A871" s="173" t="s">
        <v>1638</v>
      </c>
      <c r="B871" s="174">
        <v>42948</v>
      </c>
      <c r="C871" s="173" t="s">
        <v>1231</v>
      </c>
      <c r="D871" s="173" t="s">
        <v>1487</v>
      </c>
      <c r="E871" s="173" t="s">
        <v>1479</v>
      </c>
      <c r="F871" s="173">
        <v>7</v>
      </c>
      <c r="G871" s="173" t="s">
        <v>239</v>
      </c>
      <c r="H871" s="173">
        <v>7</v>
      </c>
      <c r="I871" s="173" t="s">
        <v>1639</v>
      </c>
      <c r="J871" s="173" t="s">
        <v>1451</v>
      </c>
      <c r="K871" s="173" t="s">
        <v>16</v>
      </c>
      <c r="L871" s="173"/>
      <c r="M871" s="173" t="s">
        <v>240</v>
      </c>
      <c r="N871" s="173">
        <v>900060537</v>
      </c>
      <c r="O871" s="175">
        <v>3696639</v>
      </c>
      <c r="P871" s="7"/>
      <c r="Q871" s="16">
        <f>+IF(IFERROR(VLOOKUP(Tabla3[[#This Row],[Cliente factura]],Tabla4[[NIT]:[TOTAL CREDITO]],3,FALSE),0)="",0,IFERROR(VLOOKUP(Tabla3[[#This Row],[Cliente factura]],Tabla4[[NIT]:[TOTAL CREDITO]],3,FALSE),0))</f>
        <v>0</v>
      </c>
      <c r="R871" s="9">
        <f>+IFERROR(VLOOKUP(Tabla3[[#This Row],[Cliente factura]],Tabla4[[NIT]:[TOTAL CREDITO]],6,FALSE),0)</f>
        <v>69613164</v>
      </c>
      <c r="S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1" s="10" t="str">
        <f>VLOOKUP(Tabla3[[#This Row],[Razón social cliente factura]]&amp;Tabla3[[#This Row],[Desc. ciudad]],'Estandar de Rutas'!$C$1:$E$553,2,FALSE)</f>
        <v>8.3.A</v>
      </c>
      <c r="U871" s="130">
        <f>IFERROR(VLOOKUP(Tabla3[[#This Row],[Referencia]]&amp;Tabla3[[#This Row],[Desc detalle ext 1]],Tabla1[[Referencia-Color]:[Disponibilidad]],3,FALSE),0)</f>
        <v>3</v>
      </c>
      <c r="V871" s="13"/>
      <c r="W871" s="17">
        <f>+Tabla3[[#This Row],[Cant. Programada]]*Tabla3[[#This Row],[Precio unit]]</f>
        <v>0</v>
      </c>
      <c r="X871" s="8"/>
      <c r="Y871" s="8"/>
      <c r="Z871" s="8" t="str">
        <f>+Tabla3[[#This Row],[Referencia]]&amp;Tabla3[[#This Row],[Desc detalle ext 1]]</f>
        <v xml:space="preserve">CB 110 DLX                                        NEGRO    </v>
      </c>
      <c r="AA871" s="128" t="e">
        <f>+VLOOKUP(Tabla3[[#This Row],[CODIGO2]],ESTANDAR!$B$3:$C$9,2,FALSE)</f>
        <v>#N/A</v>
      </c>
      <c r="AB871" s="128" t="str">
        <f>+MID(Tabla3[[#This Row],['# Viaje]],10,1)</f>
        <v/>
      </c>
    </row>
    <row r="872" spans="1:28" ht="15" hidden="1" customHeight="1">
      <c r="A872" s="173" t="s">
        <v>1640</v>
      </c>
      <c r="B872" s="174">
        <v>42948</v>
      </c>
      <c r="C872" s="173" t="s">
        <v>1477</v>
      </c>
      <c r="D872" s="173" t="s">
        <v>1487</v>
      </c>
      <c r="E872" s="173" t="s">
        <v>1479</v>
      </c>
      <c r="F872" s="173">
        <v>1</v>
      </c>
      <c r="G872" s="173" t="s">
        <v>239</v>
      </c>
      <c r="H872" s="173">
        <v>1</v>
      </c>
      <c r="I872" s="173" t="s">
        <v>1641</v>
      </c>
      <c r="J872" s="173" t="s">
        <v>27</v>
      </c>
      <c r="K872" s="173" t="s">
        <v>26</v>
      </c>
      <c r="L872" s="173"/>
      <c r="M872" s="173" t="s">
        <v>327</v>
      </c>
      <c r="N872" s="173">
        <v>900060537</v>
      </c>
      <c r="O872" s="175">
        <v>5789916</v>
      </c>
      <c r="P872" s="7"/>
      <c r="Q872" s="16">
        <f>+IF(IFERROR(VLOOKUP(Tabla3[[#This Row],[Cliente factura]],Tabla4[[NIT]:[TOTAL CREDITO]],3,FALSE),0)="",0,IFERROR(VLOOKUP(Tabla3[[#This Row],[Cliente factura]],Tabla4[[NIT]:[TOTAL CREDITO]],3,FALSE),0))</f>
        <v>0</v>
      </c>
      <c r="R872" s="9">
        <f>+IFERROR(VLOOKUP(Tabla3[[#This Row],[Cliente factura]],Tabla4[[NIT]:[TOTAL CREDITO]],6,FALSE),0)</f>
        <v>69613164</v>
      </c>
      <c r="S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2" s="10" t="str">
        <f>VLOOKUP(Tabla3[[#This Row],[Razón social cliente factura]]&amp;Tabla3[[#This Row],[Desc. ciudad]],'Estandar de Rutas'!$C$1:$E$553,2,FALSE)</f>
        <v>8.3.A</v>
      </c>
      <c r="U872" s="130">
        <f>IFERROR(VLOOKUP(Tabla3[[#This Row],[Referencia]]&amp;Tabla3[[#This Row],[Desc detalle ext 1]],Tabla1[[Referencia-Color]:[Disponibilidad]],3,FALSE),0)</f>
        <v>59</v>
      </c>
      <c r="V872" s="13"/>
      <c r="W872" s="17">
        <f>+Tabla3[[#This Row],[Cant. Programada]]*Tabla3[[#This Row],[Precio unit]]</f>
        <v>0</v>
      </c>
      <c r="X872" s="8"/>
      <c r="Y872" s="8"/>
      <c r="Z872" s="8" t="str">
        <f>+Tabla3[[#This Row],[Referencia]]&amp;Tabla3[[#This Row],[Desc detalle ext 1]]</f>
        <v>*XR 150L                                          NEGRO BLA</v>
      </c>
      <c r="AA872" s="128" t="e">
        <f>+VLOOKUP(Tabla3[[#This Row],[CODIGO2]],ESTANDAR!$B$3:$C$9,2,FALSE)</f>
        <v>#N/A</v>
      </c>
      <c r="AB872" s="128" t="str">
        <f>+MID(Tabla3[[#This Row],['# Viaje]],10,1)</f>
        <v/>
      </c>
    </row>
    <row r="873" spans="1:28" ht="15" hidden="1" customHeight="1">
      <c r="A873" s="173" t="s">
        <v>1640</v>
      </c>
      <c r="B873" s="174">
        <v>42948</v>
      </c>
      <c r="C873" s="173" t="s">
        <v>1477</v>
      </c>
      <c r="D873" s="173" t="s">
        <v>1487</v>
      </c>
      <c r="E873" s="173" t="s">
        <v>1479</v>
      </c>
      <c r="F873" s="173">
        <v>2</v>
      </c>
      <c r="G873" s="173" t="s">
        <v>239</v>
      </c>
      <c r="H873" s="173">
        <v>2</v>
      </c>
      <c r="I873" s="173" t="s">
        <v>1641</v>
      </c>
      <c r="J873" s="173" t="s">
        <v>27</v>
      </c>
      <c r="K873" s="173" t="s">
        <v>16</v>
      </c>
      <c r="L873" s="173"/>
      <c r="M873" s="173" t="s">
        <v>327</v>
      </c>
      <c r="N873" s="173">
        <v>900060537</v>
      </c>
      <c r="O873" s="175">
        <v>5789916</v>
      </c>
      <c r="P873" s="7"/>
      <c r="Q873" s="16">
        <f>+IF(IFERROR(VLOOKUP(Tabla3[[#This Row],[Cliente factura]],Tabla4[[NIT]:[TOTAL CREDITO]],3,FALSE),0)="",0,IFERROR(VLOOKUP(Tabla3[[#This Row],[Cliente factura]],Tabla4[[NIT]:[TOTAL CREDITO]],3,FALSE),0))</f>
        <v>0</v>
      </c>
      <c r="R873" s="9">
        <f>+IFERROR(VLOOKUP(Tabla3[[#This Row],[Cliente factura]],Tabla4[[NIT]:[TOTAL CREDITO]],6,FALSE),0)</f>
        <v>69613164</v>
      </c>
      <c r="S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3" s="10" t="str">
        <f>VLOOKUP(Tabla3[[#This Row],[Razón social cliente factura]]&amp;Tabla3[[#This Row],[Desc. ciudad]],'Estandar de Rutas'!$C$1:$E$553,2,FALSE)</f>
        <v>8.3.A</v>
      </c>
      <c r="U873" s="130">
        <f>IFERROR(VLOOKUP(Tabla3[[#This Row],[Referencia]]&amp;Tabla3[[#This Row],[Desc detalle ext 1]],Tabla1[[Referencia-Color]:[Disponibilidad]],3,FALSE),0)</f>
        <v>3</v>
      </c>
      <c r="V873" s="13"/>
      <c r="W873" s="17">
        <f>+Tabla3[[#This Row],[Cant. Programada]]*Tabla3[[#This Row],[Precio unit]]</f>
        <v>0</v>
      </c>
      <c r="X873" s="8"/>
      <c r="Y873" s="8"/>
      <c r="Z873" s="8" t="str">
        <f>+Tabla3[[#This Row],[Referencia]]&amp;Tabla3[[#This Row],[Desc detalle ext 1]]</f>
        <v xml:space="preserve">*XR 150L                                          NEGRO    </v>
      </c>
      <c r="AA873" s="128" t="e">
        <f>+VLOOKUP(Tabla3[[#This Row],[CODIGO2]],ESTANDAR!$B$3:$C$9,2,FALSE)</f>
        <v>#N/A</v>
      </c>
      <c r="AB873" s="128" t="str">
        <f>+MID(Tabla3[[#This Row],['# Viaje]],10,1)</f>
        <v/>
      </c>
    </row>
    <row r="874" spans="1:28" ht="15" hidden="1" customHeight="1">
      <c r="A874" s="173" t="s">
        <v>1640</v>
      </c>
      <c r="B874" s="174">
        <v>42948</v>
      </c>
      <c r="C874" s="173" t="s">
        <v>1477</v>
      </c>
      <c r="D874" s="173" t="s">
        <v>1487</v>
      </c>
      <c r="E874" s="173" t="s">
        <v>1479</v>
      </c>
      <c r="F874" s="173">
        <v>2</v>
      </c>
      <c r="G874" s="173" t="s">
        <v>239</v>
      </c>
      <c r="H874" s="173">
        <v>2</v>
      </c>
      <c r="I874" s="173" t="s">
        <v>1641</v>
      </c>
      <c r="J874" s="173" t="s">
        <v>27</v>
      </c>
      <c r="K874" s="173" t="s">
        <v>32</v>
      </c>
      <c r="L874" s="173"/>
      <c r="M874" s="173" t="s">
        <v>327</v>
      </c>
      <c r="N874" s="173">
        <v>900060537</v>
      </c>
      <c r="O874" s="175">
        <v>5789916</v>
      </c>
      <c r="P874" s="7"/>
      <c r="Q874" s="16">
        <f>+IF(IFERROR(VLOOKUP(Tabla3[[#This Row],[Cliente factura]],Tabla4[[NIT]:[TOTAL CREDITO]],3,FALSE),0)="",0,IFERROR(VLOOKUP(Tabla3[[#This Row],[Cliente factura]],Tabla4[[NIT]:[TOTAL CREDITO]],3,FALSE),0))</f>
        <v>0</v>
      </c>
      <c r="R874" s="9">
        <f>+IFERROR(VLOOKUP(Tabla3[[#This Row],[Cliente factura]],Tabla4[[NIT]:[TOTAL CREDITO]],6,FALSE),0)</f>
        <v>69613164</v>
      </c>
      <c r="S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4" s="10" t="str">
        <f>VLOOKUP(Tabla3[[#This Row],[Razón social cliente factura]]&amp;Tabla3[[#This Row],[Desc. ciudad]],'Estandar de Rutas'!$C$1:$E$553,2,FALSE)</f>
        <v>8.3.A</v>
      </c>
      <c r="U874" s="130">
        <f>IFERROR(VLOOKUP(Tabla3[[#This Row],[Referencia]]&amp;Tabla3[[#This Row],[Desc detalle ext 1]],Tabla1[[Referencia-Color]:[Disponibilidad]],3,FALSE),0)</f>
        <v>7</v>
      </c>
      <c r="V874" s="13"/>
      <c r="W874" s="17">
        <f>+Tabla3[[#This Row],[Cant. Programada]]*Tabla3[[#This Row],[Precio unit]]</f>
        <v>0</v>
      </c>
      <c r="X874" s="129"/>
      <c r="Y874" s="129"/>
      <c r="Z874" s="8" t="str">
        <f>+Tabla3[[#This Row],[Referencia]]&amp;Tabla3[[#This Row],[Desc detalle ext 1]]</f>
        <v>*XR 150L                                          NEGRO ROJ</v>
      </c>
      <c r="AA874" s="128" t="e">
        <f>+VLOOKUP(Tabla3[[#This Row],[CODIGO2]],ESTANDAR!$B$3:$C$9,2,FALSE)</f>
        <v>#N/A</v>
      </c>
      <c r="AB874" s="128" t="str">
        <f>+MID(Tabla3[[#This Row],['# Viaje]],10,1)</f>
        <v/>
      </c>
    </row>
    <row r="875" spans="1:28" ht="15" hidden="1" customHeight="1">
      <c r="A875" s="173" t="s">
        <v>1640</v>
      </c>
      <c r="B875" s="174">
        <v>42948</v>
      </c>
      <c r="C875" s="173" t="s">
        <v>1477</v>
      </c>
      <c r="D875" s="173" t="s">
        <v>1487</v>
      </c>
      <c r="E875" s="173" t="s">
        <v>1479</v>
      </c>
      <c r="F875" s="173">
        <v>1</v>
      </c>
      <c r="G875" s="173" t="s">
        <v>239</v>
      </c>
      <c r="H875" s="173">
        <v>1</v>
      </c>
      <c r="I875" s="173" t="s">
        <v>1641</v>
      </c>
      <c r="J875" s="173" t="s">
        <v>354</v>
      </c>
      <c r="K875" s="173" t="s">
        <v>355</v>
      </c>
      <c r="L875" s="174"/>
      <c r="M875" s="173" t="s">
        <v>327</v>
      </c>
      <c r="N875" s="173">
        <v>900060537</v>
      </c>
      <c r="O875" s="175">
        <v>6133613</v>
      </c>
      <c r="P875" s="7"/>
      <c r="Q875" s="16">
        <f>+IF(IFERROR(VLOOKUP(Tabla3[[#This Row],[Cliente factura]],Tabla4[[NIT]:[TOTAL CREDITO]],3,FALSE),0)="",0,IFERROR(VLOOKUP(Tabla3[[#This Row],[Cliente factura]],Tabla4[[NIT]:[TOTAL CREDITO]],3,FALSE),0))</f>
        <v>0</v>
      </c>
      <c r="R875" s="9">
        <f>+IFERROR(VLOOKUP(Tabla3[[#This Row],[Cliente factura]],Tabla4[[NIT]:[TOTAL CREDITO]],6,FALSE),0)</f>
        <v>69613164</v>
      </c>
      <c r="S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5" s="10" t="str">
        <f>VLOOKUP(Tabla3[[#This Row],[Razón social cliente factura]]&amp;Tabla3[[#This Row],[Desc. ciudad]],'Estandar de Rutas'!$C$1:$E$553,2,FALSE)</f>
        <v>8.3.A</v>
      </c>
      <c r="U875" s="130">
        <f>IFERROR(VLOOKUP(Tabla3[[#This Row],[Referencia]]&amp;Tabla3[[#This Row],[Desc detalle ext 1]],Tabla1[[Referencia-Color]:[Disponibilidad]],3,FALSE),0)</f>
        <v>0</v>
      </c>
      <c r="V875" s="13"/>
      <c r="W875" s="17">
        <f>+Tabla3[[#This Row],[Cant. Programada]]*Tabla3[[#This Row],[Precio unit]]</f>
        <v>0</v>
      </c>
      <c r="X875" s="8"/>
      <c r="Y875" s="8"/>
      <c r="Z875" s="8" t="str">
        <f>+Tabla3[[#This Row],[Referencia]]&amp;Tabla3[[#This Row],[Desc detalle ext 1]]</f>
        <v>CB 160F DLX                                       NEGRO PER</v>
      </c>
      <c r="AA875" s="128" t="e">
        <f>+VLOOKUP(Tabla3[[#This Row],[CODIGO2]],ESTANDAR!$B$3:$C$9,2,FALSE)</f>
        <v>#N/A</v>
      </c>
      <c r="AB875" s="128" t="str">
        <f>+MID(Tabla3[[#This Row],['# Viaje]],10,1)</f>
        <v/>
      </c>
    </row>
    <row r="876" spans="1:28" ht="15" hidden="1" customHeight="1">
      <c r="A876" s="173" t="s">
        <v>1640</v>
      </c>
      <c r="B876" s="174">
        <v>42948</v>
      </c>
      <c r="C876" s="173" t="s">
        <v>1477</v>
      </c>
      <c r="D876" s="173" t="s">
        <v>1487</v>
      </c>
      <c r="E876" s="173" t="s">
        <v>1479</v>
      </c>
      <c r="F876" s="173">
        <v>1</v>
      </c>
      <c r="G876" s="173" t="s">
        <v>239</v>
      </c>
      <c r="H876" s="173">
        <v>1</v>
      </c>
      <c r="I876" s="173" t="s">
        <v>1641</v>
      </c>
      <c r="J876" s="173" t="s">
        <v>1433</v>
      </c>
      <c r="K876" s="173" t="s">
        <v>1434</v>
      </c>
      <c r="L876" s="173"/>
      <c r="M876" s="173" t="s">
        <v>327</v>
      </c>
      <c r="N876" s="173">
        <v>900060537</v>
      </c>
      <c r="O876" s="175">
        <v>3521008</v>
      </c>
      <c r="P876" s="7"/>
      <c r="Q876" s="16">
        <f>+IF(IFERROR(VLOOKUP(Tabla3[[#This Row],[Cliente factura]],Tabla4[[NIT]:[TOTAL CREDITO]],3,FALSE),0)="",0,IFERROR(VLOOKUP(Tabla3[[#This Row],[Cliente factura]],Tabla4[[NIT]:[TOTAL CREDITO]],3,FALSE),0))</f>
        <v>0</v>
      </c>
      <c r="R876" s="9">
        <f>+IFERROR(VLOOKUP(Tabla3[[#This Row],[Cliente factura]],Tabla4[[NIT]:[TOTAL CREDITO]],6,FALSE),0)</f>
        <v>69613164</v>
      </c>
      <c r="S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6" s="10" t="str">
        <f>VLOOKUP(Tabla3[[#This Row],[Razón social cliente factura]]&amp;Tabla3[[#This Row],[Desc. ciudad]],'Estandar de Rutas'!$C$1:$E$553,2,FALSE)</f>
        <v>8.3.A</v>
      </c>
      <c r="U876" s="130">
        <f>IFERROR(VLOOKUP(Tabla3[[#This Row],[Referencia]]&amp;Tabla3[[#This Row],[Desc detalle ext 1]],Tabla1[[Referencia-Color]:[Disponibilidad]],3,FALSE),0)</f>
        <v>23</v>
      </c>
      <c r="V876" s="13"/>
      <c r="W876" s="17">
        <f>+Tabla3[[#This Row],[Cant. Programada]]*Tabla3[[#This Row],[Precio unit]]</f>
        <v>0</v>
      </c>
      <c r="X876" s="8"/>
      <c r="Y876" s="8"/>
      <c r="Z876" s="8" t="str">
        <f>+Tabla3[[#This Row],[Referencia]]&amp;Tabla3[[#This Row],[Desc detalle ext 1]]</f>
        <v>DIO  110                                          BLANCO NE</v>
      </c>
      <c r="AA876" s="128" t="e">
        <f>+VLOOKUP(Tabla3[[#This Row],[CODIGO2]],ESTANDAR!$B$3:$C$9,2,FALSE)</f>
        <v>#N/A</v>
      </c>
      <c r="AB876" s="128" t="str">
        <f>+MID(Tabla3[[#This Row],['# Viaje]],10,1)</f>
        <v/>
      </c>
    </row>
    <row r="877" spans="1:28" ht="15" hidden="1" customHeight="1">
      <c r="A877" s="173" t="s">
        <v>1640</v>
      </c>
      <c r="B877" s="174">
        <v>42948</v>
      </c>
      <c r="C877" s="173" t="s">
        <v>1477</v>
      </c>
      <c r="D877" s="173" t="s">
        <v>1487</v>
      </c>
      <c r="E877" s="173" t="s">
        <v>1479</v>
      </c>
      <c r="F877" s="173">
        <v>1</v>
      </c>
      <c r="G877" s="173" t="s">
        <v>239</v>
      </c>
      <c r="H877" s="173">
        <v>1</v>
      </c>
      <c r="I877" s="173" t="s">
        <v>1641</v>
      </c>
      <c r="J877" s="173" t="s">
        <v>1433</v>
      </c>
      <c r="K877" s="173" t="s">
        <v>1452</v>
      </c>
      <c r="L877" s="173"/>
      <c r="M877" s="173" t="s">
        <v>327</v>
      </c>
      <c r="N877" s="173">
        <v>900060537</v>
      </c>
      <c r="O877" s="175">
        <v>3521008</v>
      </c>
      <c r="P877" s="7"/>
      <c r="Q877" s="16">
        <f>+IF(IFERROR(VLOOKUP(Tabla3[[#This Row],[Cliente factura]],Tabla4[[NIT]:[TOTAL CREDITO]],3,FALSE),0)="",0,IFERROR(VLOOKUP(Tabla3[[#This Row],[Cliente factura]],Tabla4[[NIT]:[TOTAL CREDITO]],3,FALSE),0))</f>
        <v>0</v>
      </c>
      <c r="R877" s="9">
        <f>+IFERROR(VLOOKUP(Tabla3[[#This Row],[Cliente factura]],Tabla4[[NIT]:[TOTAL CREDITO]],6,FALSE),0)</f>
        <v>69613164</v>
      </c>
      <c r="S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7" s="10" t="str">
        <f>VLOOKUP(Tabla3[[#This Row],[Razón social cliente factura]]&amp;Tabla3[[#This Row],[Desc. ciudad]],'Estandar de Rutas'!$C$1:$E$553,2,FALSE)</f>
        <v>8.3.A</v>
      </c>
      <c r="U877" s="130">
        <f>IFERROR(VLOOKUP(Tabla3[[#This Row],[Referencia]]&amp;Tabla3[[#This Row],[Desc detalle ext 1]],Tabla1[[Referencia-Color]:[Disponibilidad]],3,FALSE),0)</f>
        <v>0</v>
      </c>
      <c r="V877" s="13"/>
      <c r="W877" s="17">
        <f>+Tabla3[[#This Row],[Cant. Programada]]*Tabla3[[#This Row],[Precio unit]]</f>
        <v>0</v>
      </c>
      <c r="X877" s="8"/>
      <c r="Y877" s="8"/>
      <c r="Z877" s="8" t="str">
        <f>+Tabla3[[#This Row],[Referencia]]&amp;Tabla3[[#This Row],[Desc detalle ext 1]]</f>
        <v xml:space="preserve">DIO  110                                          AZUL     </v>
      </c>
      <c r="AA877" s="128" t="e">
        <f>+VLOOKUP(Tabla3[[#This Row],[CODIGO2]],ESTANDAR!$B$3:$C$9,2,FALSE)</f>
        <v>#N/A</v>
      </c>
      <c r="AB877" s="128" t="str">
        <f>+MID(Tabla3[[#This Row],['# Viaje]],10,1)</f>
        <v/>
      </c>
    </row>
    <row r="878" spans="1:28" ht="15" hidden="1" customHeight="1">
      <c r="A878" s="173" t="s">
        <v>1640</v>
      </c>
      <c r="B878" s="174">
        <v>42948</v>
      </c>
      <c r="C878" s="173" t="s">
        <v>1477</v>
      </c>
      <c r="D878" s="173" t="s">
        <v>1487</v>
      </c>
      <c r="E878" s="173" t="s">
        <v>1479</v>
      </c>
      <c r="F878" s="173">
        <v>2</v>
      </c>
      <c r="G878" s="173" t="s">
        <v>239</v>
      </c>
      <c r="H878" s="173">
        <v>2</v>
      </c>
      <c r="I878" s="173" t="s">
        <v>1641</v>
      </c>
      <c r="J878" s="173" t="s">
        <v>1428</v>
      </c>
      <c r="K878" s="173" t="s">
        <v>32</v>
      </c>
      <c r="L878" s="173"/>
      <c r="M878" s="173" t="s">
        <v>327</v>
      </c>
      <c r="N878" s="173">
        <v>900060537</v>
      </c>
      <c r="O878" s="175">
        <v>3067227</v>
      </c>
      <c r="P878" s="7"/>
      <c r="Q878" s="16">
        <f>+IF(IFERROR(VLOOKUP(Tabla3[[#This Row],[Cliente factura]],Tabla4[[NIT]:[TOTAL CREDITO]],3,FALSE),0)="",0,IFERROR(VLOOKUP(Tabla3[[#This Row],[Cliente factura]],Tabla4[[NIT]:[TOTAL CREDITO]],3,FALSE),0))</f>
        <v>0</v>
      </c>
      <c r="R878" s="9">
        <f>+IFERROR(VLOOKUP(Tabla3[[#This Row],[Cliente factura]],Tabla4[[NIT]:[TOTAL CREDITO]],6,FALSE),0)</f>
        <v>69613164</v>
      </c>
      <c r="S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8" s="10" t="str">
        <f>VLOOKUP(Tabla3[[#This Row],[Razón social cliente factura]]&amp;Tabla3[[#This Row],[Desc. ciudad]],'Estandar de Rutas'!$C$1:$E$553,2,FALSE)</f>
        <v>8.3.A</v>
      </c>
      <c r="U878" s="130">
        <f>IFERROR(VLOOKUP(Tabla3[[#This Row],[Referencia]]&amp;Tabla3[[#This Row],[Desc detalle ext 1]],Tabla1[[Referencia-Color]:[Disponibilidad]],3,FALSE),0)</f>
        <v>0</v>
      </c>
      <c r="V878" s="13"/>
      <c r="W878" s="17">
        <f>+Tabla3[[#This Row],[Cant. Programada]]*Tabla3[[#This Row],[Precio unit]]</f>
        <v>0</v>
      </c>
      <c r="X878" s="8"/>
      <c r="Y878" s="8"/>
      <c r="Z878" s="8" t="str">
        <f>+Tabla3[[#This Row],[Referencia]]&amp;Tabla3[[#This Row],[Desc detalle ext 1]]</f>
        <v>DREAM  NEO                                        NEGRO ROJ</v>
      </c>
      <c r="AA878" s="128" t="e">
        <f>+VLOOKUP(Tabla3[[#This Row],[CODIGO2]],ESTANDAR!$B$3:$C$9,2,FALSE)</f>
        <v>#N/A</v>
      </c>
      <c r="AB878" s="128" t="str">
        <f>+MID(Tabla3[[#This Row],['# Viaje]],10,1)</f>
        <v/>
      </c>
    </row>
    <row r="879" spans="1:28" ht="15" hidden="1" customHeight="1">
      <c r="A879" s="173" t="s">
        <v>1640</v>
      </c>
      <c r="B879" s="174">
        <v>42948</v>
      </c>
      <c r="C879" s="173" t="s">
        <v>1477</v>
      </c>
      <c r="D879" s="173" t="s">
        <v>1487</v>
      </c>
      <c r="E879" s="173" t="s">
        <v>1479</v>
      </c>
      <c r="F879" s="173">
        <v>1</v>
      </c>
      <c r="G879" s="173" t="s">
        <v>239</v>
      </c>
      <c r="H879" s="173">
        <v>1</v>
      </c>
      <c r="I879" s="173" t="s">
        <v>1641</v>
      </c>
      <c r="J879" s="173" t="s">
        <v>1428</v>
      </c>
      <c r="K879" s="173" t="s">
        <v>1429</v>
      </c>
      <c r="L879" s="173"/>
      <c r="M879" s="173" t="s">
        <v>327</v>
      </c>
      <c r="N879" s="173">
        <v>900060537</v>
      </c>
      <c r="O879" s="175">
        <v>3067227</v>
      </c>
      <c r="P879" s="7"/>
      <c r="Q879" s="16">
        <f>+IF(IFERROR(VLOOKUP(Tabla3[[#This Row],[Cliente factura]],Tabla4[[NIT]:[TOTAL CREDITO]],3,FALSE),0)="",0,IFERROR(VLOOKUP(Tabla3[[#This Row],[Cliente factura]],Tabla4[[NIT]:[TOTAL CREDITO]],3,FALSE),0))</f>
        <v>0</v>
      </c>
      <c r="R879" s="9">
        <f>+IFERROR(VLOOKUP(Tabla3[[#This Row],[Cliente factura]],Tabla4[[NIT]:[TOTAL CREDITO]],6,FALSE),0)</f>
        <v>69613164</v>
      </c>
      <c r="S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9" s="10" t="str">
        <f>VLOOKUP(Tabla3[[#This Row],[Razón social cliente factura]]&amp;Tabla3[[#This Row],[Desc. ciudad]],'Estandar de Rutas'!$C$1:$E$553,2,FALSE)</f>
        <v>8.3.A</v>
      </c>
      <c r="U879" s="130">
        <f>IFERROR(VLOOKUP(Tabla3[[#This Row],[Referencia]]&amp;Tabla3[[#This Row],[Desc detalle ext 1]],Tabla1[[Referencia-Color]:[Disponibilidad]],3,FALSE),0)</f>
        <v>0</v>
      </c>
      <c r="V879" s="13"/>
      <c r="W879" s="17">
        <f>+Tabla3[[#This Row],[Cant. Programada]]*Tabla3[[#This Row],[Precio unit]]</f>
        <v>0</v>
      </c>
      <c r="X879" s="129"/>
      <c r="Y879" s="129"/>
      <c r="Z879" s="8" t="str">
        <f>+Tabla3[[#This Row],[Referencia]]&amp;Tabla3[[#This Row],[Desc detalle ext 1]]</f>
        <v>DREAM  NEO                                        NEGRO AZU</v>
      </c>
      <c r="AA879" s="128" t="e">
        <f>+VLOOKUP(Tabla3[[#This Row],[CODIGO2]],ESTANDAR!$B$3:$C$9,2,FALSE)</f>
        <v>#N/A</v>
      </c>
      <c r="AB879" s="128" t="str">
        <f>+MID(Tabla3[[#This Row],['# Viaje]],10,1)</f>
        <v/>
      </c>
    </row>
    <row r="880" spans="1:28" ht="15" hidden="1" customHeight="1">
      <c r="A880" s="173" t="s">
        <v>1640</v>
      </c>
      <c r="B880" s="174">
        <v>42948</v>
      </c>
      <c r="C880" s="173" t="s">
        <v>1477</v>
      </c>
      <c r="D880" s="173" t="s">
        <v>1487</v>
      </c>
      <c r="E880" s="173" t="s">
        <v>1479</v>
      </c>
      <c r="F880" s="173">
        <v>1</v>
      </c>
      <c r="G880" s="173" t="s">
        <v>239</v>
      </c>
      <c r="H880" s="173">
        <v>1</v>
      </c>
      <c r="I880" s="173" t="s">
        <v>1641</v>
      </c>
      <c r="J880" s="173" t="s">
        <v>1430</v>
      </c>
      <c r="K880" s="173" t="s">
        <v>16</v>
      </c>
      <c r="L880" s="173"/>
      <c r="M880" s="173" t="s">
        <v>327</v>
      </c>
      <c r="N880" s="173">
        <v>900060537</v>
      </c>
      <c r="O880" s="175">
        <v>3941176</v>
      </c>
      <c r="P880" s="7"/>
      <c r="Q880" s="16">
        <f>+IF(IFERROR(VLOOKUP(Tabla3[[#This Row],[Cliente factura]],Tabla4[[NIT]:[TOTAL CREDITO]],3,FALSE),0)="",0,IFERROR(VLOOKUP(Tabla3[[#This Row],[Cliente factura]],Tabla4[[NIT]:[TOTAL CREDITO]],3,FALSE),0))</f>
        <v>0</v>
      </c>
      <c r="R880" s="9">
        <f>+IFERROR(VLOOKUP(Tabla3[[#This Row],[Cliente factura]],Tabla4[[NIT]:[TOTAL CREDITO]],6,FALSE),0)</f>
        <v>69613164</v>
      </c>
      <c r="S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0" s="10" t="str">
        <f>VLOOKUP(Tabla3[[#This Row],[Razón social cliente factura]]&amp;Tabla3[[#This Row],[Desc. ciudad]],'Estandar de Rutas'!$C$1:$E$553,2,FALSE)</f>
        <v>8.3.A</v>
      </c>
      <c r="U880" s="130">
        <f>IFERROR(VLOOKUP(Tabla3[[#This Row],[Referencia]]&amp;Tabla3[[#This Row],[Desc detalle ext 1]],Tabla1[[Referencia-Color]:[Disponibilidad]],3,FALSE),0)</f>
        <v>0</v>
      </c>
      <c r="V880" s="13"/>
      <c r="W880" s="17">
        <f>+Tabla3[[#This Row],[Cant. Programada]]*Tabla3[[#This Row],[Precio unit]]</f>
        <v>0</v>
      </c>
      <c r="X880" s="8"/>
      <c r="Y880" s="8"/>
      <c r="Z880" s="8" t="str">
        <f>+Tabla3[[#This Row],[Referencia]]&amp;Tabla3[[#This Row],[Desc detalle ext 1]]</f>
        <v xml:space="preserve">WAVE 110S                                         NEGRO    </v>
      </c>
      <c r="AA880" s="128" t="e">
        <f>+VLOOKUP(Tabla3[[#This Row],[CODIGO2]],ESTANDAR!$B$3:$C$9,2,FALSE)</f>
        <v>#N/A</v>
      </c>
      <c r="AB880" s="128" t="str">
        <f>+MID(Tabla3[[#This Row],['# Viaje]],10,1)</f>
        <v/>
      </c>
    </row>
    <row r="881" spans="1:28" ht="15" hidden="1" customHeight="1">
      <c r="A881" s="173" t="s">
        <v>1642</v>
      </c>
      <c r="B881" s="174">
        <v>42948</v>
      </c>
      <c r="C881" s="173" t="s">
        <v>1477</v>
      </c>
      <c r="D881" s="173" t="s">
        <v>1487</v>
      </c>
      <c r="E881" s="173" t="s">
        <v>1479</v>
      </c>
      <c r="F881" s="173">
        <v>3</v>
      </c>
      <c r="G881" s="173" t="s">
        <v>239</v>
      </c>
      <c r="H881" s="173">
        <v>3</v>
      </c>
      <c r="I881" s="173" t="s">
        <v>1643</v>
      </c>
      <c r="J881" s="173" t="s">
        <v>27</v>
      </c>
      <c r="K881" s="173" t="s">
        <v>32</v>
      </c>
      <c r="L881" s="173"/>
      <c r="M881" s="173" t="s">
        <v>329</v>
      </c>
      <c r="N881" s="173">
        <v>900060537</v>
      </c>
      <c r="O881" s="175">
        <v>5789916</v>
      </c>
      <c r="P881" s="7"/>
      <c r="Q881" s="16">
        <f>+IF(IFERROR(VLOOKUP(Tabla3[[#This Row],[Cliente factura]],Tabla4[[NIT]:[TOTAL CREDITO]],3,FALSE),0)="",0,IFERROR(VLOOKUP(Tabla3[[#This Row],[Cliente factura]],Tabla4[[NIT]:[TOTAL CREDITO]],3,FALSE),0))</f>
        <v>0</v>
      </c>
      <c r="R881" s="9">
        <f>+IFERROR(VLOOKUP(Tabla3[[#This Row],[Cliente factura]],Tabla4[[NIT]:[TOTAL CREDITO]],6,FALSE),0)</f>
        <v>69613164</v>
      </c>
      <c r="S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1" s="10" t="str">
        <f>VLOOKUP(Tabla3[[#This Row],[Razón social cliente factura]]&amp;Tabla3[[#This Row],[Desc. ciudad]],'Estandar de Rutas'!$C$1:$E$553,2,FALSE)</f>
        <v>8.3</v>
      </c>
      <c r="U881" s="130">
        <f>IFERROR(VLOOKUP(Tabla3[[#This Row],[Referencia]]&amp;Tabla3[[#This Row],[Desc detalle ext 1]],Tabla1[[Referencia-Color]:[Disponibilidad]],3,FALSE),0)</f>
        <v>7</v>
      </c>
      <c r="V881" s="13"/>
      <c r="W881" s="17">
        <f>+Tabla3[[#This Row],[Cant. Programada]]*Tabla3[[#This Row],[Precio unit]]</f>
        <v>0</v>
      </c>
      <c r="X881" s="8"/>
      <c r="Y881" s="8"/>
      <c r="Z881" s="8" t="str">
        <f>+Tabla3[[#This Row],[Referencia]]&amp;Tabla3[[#This Row],[Desc detalle ext 1]]</f>
        <v>*XR 150L                                          NEGRO ROJ</v>
      </c>
      <c r="AA881" s="128" t="e">
        <f>+VLOOKUP(Tabla3[[#This Row],[CODIGO2]],ESTANDAR!$B$3:$C$9,2,FALSE)</f>
        <v>#N/A</v>
      </c>
      <c r="AB881" s="128" t="str">
        <f>+MID(Tabla3[[#This Row],['# Viaje]],10,1)</f>
        <v/>
      </c>
    </row>
    <row r="882" spans="1:28" ht="15" hidden="1" customHeight="1">
      <c r="A882" s="173" t="s">
        <v>1642</v>
      </c>
      <c r="B882" s="174">
        <v>42948</v>
      </c>
      <c r="C882" s="173" t="s">
        <v>1477</v>
      </c>
      <c r="D882" s="173" t="s">
        <v>1487</v>
      </c>
      <c r="E882" s="173" t="s">
        <v>1479</v>
      </c>
      <c r="F882" s="173">
        <v>2</v>
      </c>
      <c r="G882" s="173" t="s">
        <v>239</v>
      </c>
      <c r="H882" s="173">
        <v>2</v>
      </c>
      <c r="I882" s="173" t="s">
        <v>1643</v>
      </c>
      <c r="J882" s="173" t="s">
        <v>27</v>
      </c>
      <c r="K882" s="173" t="s">
        <v>26</v>
      </c>
      <c r="L882" s="173"/>
      <c r="M882" s="173" t="s">
        <v>329</v>
      </c>
      <c r="N882" s="173">
        <v>900060537</v>
      </c>
      <c r="O882" s="175">
        <v>5789916</v>
      </c>
      <c r="P882" s="7"/>
      <c r="Q882" s="16">
        <f>+IF(IFERROR(VLOOKUP(Tabla3[[#This Row],[Cliente factura]],Tabla4[[NIT]:[TOTAL CREDITO]],3,FALSE),0)="",0,IFERROR(VLOOKUP(Tabla3[[#This Row],[Cliente factura]],Tabla4[[NIT]:[TOTAL CREDITO]],3,FALSE),0))</f>
        <v>0</v>
      </c>
      <c r="R882" s="9">
        <f>+IFERROR(VLOOKUP(Tabla3[[#This Row],[Cliente factura]],Tabla4[[NIT]:[TOTAL CREDITO]],6,FALSE),0)</f>
        <v>69613164</v>
      </c>
      <c r="S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2" s="10" t="str">
        <f>VLOOKUP(Tabla3[[#This Row],[Razón social cliente factura]]&amp;Tabla3[[#This Row],[Desc. ciudad]],'Estandar de Rutas'!$C$1:$E$553,2,FALSE)</f>
        <v>8.3</v>
      </c>
      <c r="U882" s="130">
        <f>IFERROR(VLOOKUP(Tabla3[[#This Row],[Referencia]]&amp;Tabla3[[#This Row],[Desc detalle ext 1]],Tabla1[[Referencia-Color]:[Disponibilidad]],3,FALSE),0)</f>
        <v>59</v>
      </c>
      <c r="V882" s="13"/>
      <c r="W882" s="17">
        <f>+Tabla3[[#This Row],[Cant. Programada]]*Tabla3[[#This Row],[Precio unit]]</f>
        <v>0</v>
      </c>
      <c r="X882" s="8"/>
      <c r="Y882" s="8"/>
      <c r="Z882" s="8" t="str">
        <f>+Tabla3[[#This Row],[Referencia]]&amp;Tabla3[[#This Row],[Desc detalle ext 1]]</f>
        <v>*XR 150L                                          NEGRO BLA</v>
      </c>
      <c r="AA882" s="128" t="e">
        <f>+VLOOKUP(Tabla3[[#This Row],[CODIGO2]],ESTANDAR!$B$3:$C$9,2,FALSE)</f>
        <v>#N/A</v>
      </c>
      <c r="AB882" s="128" t="str">
        <f>+MID(Tabla3[[#This Row],['# Viaje]],10,1)</f>
        <v/>
      </c>
    </row>
    <row r="883" spans="1:28" ht="15" hidden="1" customHeight="1">
      <c r="A883" s="173" t="s">
        <v>1642</v>
      </c>
      <c r="B883" s="174">
        <v>42948</v>
      </c>
      <c r="C883" s="173" t="s">
        <v>1477</v>
      </c>
      <c r="D883" s="173" t="s">
        <v>1487</v>
      </c>
      <c r="E883" s="173" t="s">
        <v>1479</v>
      </c>
      <c r="F883" s="173">
        <v>3</v>
      </c>
      <c r="G883" s="173" t="s">
        <v>239</v>
      </c>
      <c r="H883" s="173">
        <v>3</v>
      </c>
      <c r="I883" s="173" t="s">
        <v>1643</v>
      </c>
      <c r="J883" s="173" t="s">
        <v>27</v>
      </c>
      <c r="K883" s="173" t="s">
        <v>16</v>
      </c>
      <c r="L883" s="173"/>
      <c r="M883" s="173" t="s">
        <v>329</v>
      </c>
      <c r="N883" s="173">
        <v>900060537</v>
      </c>
      <c r="O883" s="175">
        <v>5789916</v>
      </c>
      <c r="P883" s="7"/>
      <c r="Q883" s="16">
        <f>+IF(IFERROR(VLOOKUP(Tabla3[[#This Row],[Cliente factura]],Tabla4[[NIT]:[TOTAL CREDITO]],3,FALSE),0)="",0,IFERROR(VLOOKUP(Tabla3[[#This Row],[Cliente factura]],Tabla4[[NIT]:[TOTAL CREDITO]],3,FALSE),0))</f>
        <v>0</v>
      </c>
      <c r="R883" s="9">
        <f>+IFERROR(VLOOKUP(Tabla3[[#This Row],[Cliente factura]],Tabla4[[NIT]:[TOTAL CREDITO]],6,FALSE),0)</f>
        <v>69613164</v>
      </c>
      <c r="S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3" s="10" t="str">
        <f>VLOOKUP(Tabla3[[#This Row],[Razón social cliente factura]]&amp;Tabla3[[#This Row],[Desc. ciudad]],'Estandar de Rutas'!$C$1:$E$553,2,FALSE)</f>
        <v>8.3</v>
      </c>
      <c r="U883" s="130">
        <f>IFERROR(VLOOKUP(Tabla3[[#This Row],[Referencia]]&amp;Tabla3[[#This Row],[Desc detalle ext 1]],Tabla1[[Referencia-Color]:[Disponibilidad]],3,FALSE),0)</f>
        <v>3</v>
      </c>
      <c r="V883" s="13"/>
      <c r="W883" s="17">
        <f>+Tabla3[[#This Row],[Cant. Programada]]*Tabla3[[#This Row],[Precio unit]]</f>
        <v>0</v>
      </c>
      <c r="X883" s="8"/>
      <c r="Y883" s="8"/>
      <c r="Z883" s="8" t="str">
        <f>+Tabla3[[#This Row],[Referencia]]&amp;Tabla3[[#This Row],[Desc detalle ext 1]]</f>
        <v xml:space="preserve">*XR 150L                                          NEGRO    </v>
      </c>
      <c r="AA883" s="128" t="e">
        <f>+VLOOKUP(Tabla3[[#This Row],[CODIGO2]],ESTANDAR!$B$3:$C$9,2,FALSE)</f>
        <v>#N/A</v>
      </c>
      <c r="AB883" s="128" t="str">
        <f>+MID(Tabla3[[#This Row],['# Viaje]],10,1)</f>
        <v/>
      </c>
    </row>
    <row r="884" spans="1:28" ht="15" hidden="1" customHeight="1">
      <c r="A884" s="173" t="s">
        <v>1642</v>
      </c>
      <c r="B884" s="174">
        <v>42948</v>
      </c>
      <c r="C884" s="173" t="s">
        <v>1477</v>
      </c>
      <c r="D884" s="173" t="s">
        <v>1487</v>
      </c>
      <c r="E884" s="173" t="s">
        <v>1479</v>
      </c>
      <c r="F884" s="173">
        <v>1</v>
      </c>
      <c r="G884" s="173" t="s">
        <v>239</v>
      </c>
      <c r="H884" s="173">
        <v>1</v>
      </c>
      <c r="I884" s="173" t="s">
        <v>1643</v>
      </c>
      <c r="J884" s="173" t="s">
        <v>1428</v>
      </c>
      <c r="K884" s="173" t="s">
        <v>32</v>
      </c>
      <c r="L884" s="173"/>
      <c r="M884" s="173" t="s">
        <v>329</v>
      </c>
      <c r="N884" s="173">
        <v>900060537</v>
      </c>
      <c r="O884" s="175">
        <v>3067227</v>
      </c>
      <c r="P884" s="7"/>
      <c r="Q884" s="16">
        <f>+IF(IFERROR(VLOOKUP(Tabla3[[#This Row],[Cliente factura]],Tabla4[[NIT]:[TOTAL CREDITO]],3,FALSE),0)="",0,IFERROR(VLOOKUP(Tabla3[[#This Row],[Cliente factura]],Tabla4[[NIT]:[TOTAL CREDITO]],3,FALSE),0))</f>
        <v>0</v>
      </c>
      <c r="R884" s="9">
        <f>+IFERROR(VLOOKUP(Tabla3[[#This Row],[Cliente factura]],Tabla4[[NIT]:[TOTAL CREDITO]],6,FALSE),0)</f>
        <v>69613164</v>
      </c>
      <c r="S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4" s="10" t="str">
        <f>VLOOKUP(Tabla3[[#This Row],[Razón social cliente factura]]&amp;Tabla3[[#This Row],[Desc. ciudad]],'Estandar de Rutas'!$C$1:$E$553,2,FALSE)</f>
        <v>8.3</v>
      </c>
      <c r="U884" s="130">
        <f>IFERROR(VLOOKUP(Tabla3[[#This Row],[Referencia]]&amp;Tabla3[[#This Row],[Desc detalle ext 1]],Tabla1[[Referencia-Color]:[Disponibilidad]],3,FALSE),0)</f>
        <v>0</v>
      </c>
      <c r="V884" s="13"/>
      <c r="W884" s="17">
        <f>+Tabla3[[#This Row],[Cant. Programada]]*Tabla3[[#This Row],[Precio unit]]</f>
        <v>0</v>
      </c>
      <c r="X884" s="8"/>
      <c r="Y884" s="8"/>
      <c r="Z884" s="8" t="str">
        <f>+Tabla3[[#This Row],[Referencia]]&amp;Tabla3[[#This Row],[Desc detalle ext 1]]</f>
        <v>DREAM  NEO                                        NEGRO ROJ</v>
      </c>
      <c r="AA884" s="128" t="e">
        <f>+VLOOKUP(Tabla3[[#This Row],[CODIGO2]],ESTANDAR!$B$3:$C$9,2,FALSE)</f>
        <v>#N/A</v>
      </c>
      <c r="AB884" s="128" t="str">
        <f>+MID(Tabla3[[#This Row],['# Viaje]],10,1)</f>
        <v/>
      </c>
    </row>
    <row r="885" spans="1:28" ht="15" hidden="1" customHeight="1">
      <c r="A885" s="173" t="s">
        <v>1642</v>
      </c>
      <c r="B885" s="174">
        <v>42948</v>
      </c>
      <c r="C885" s="173" t="s">
        <v>1477</v>
      </c>
      <c r="D885" s="173" t="s">
        <v>1487</v>
      </c>
      <c r="E885" s="173" t="s">
        <v>1479</v>
      </c>
      <c r="F885" s="173">
        <v>1</v>
      </c>
      <c r="G885" s="173" t="s">
        <v>239</v>
      </c>
      <c r="H885" s="173">
        <v>1</v>
      </c>
      <c r="I885" s="173" t="s">
        <v>1643</v>
      </c>
      <c r="J885" s="173" t="s">
        <v>1428</v>
      </c>
      <c r="K885" s="173" t="s">
        <v>1429</v>
      </c>
      <c r="L885" s="173"/>
      <c r="M885" s="173" t="s">
        <v>329</v>
      </c>
      <c r="N885" s="173">
        <v>900060537</v>
      </c>
      <c r="O885" s="175">
        <v>3067227</v>
      </c>
      <c r="P885" s="7"/>
      <c r="Q885" s="16">
        <f>+IF(IFERROR(VLOOKUP(Tabla3[[#This Row],[Cliente factura]],Tabla4[[NIT]:[TOTAL CREDITO]],3,FALSE),0)="",0,IFERROR(VLOOKUP(Tabla3[[#This Row],[Cliente factura]],Tabla4[[NIT]:[TOTAL CREDITO]],3,FALSE),0))</f>
        <v>0</v>
      </c>
      <c r="R885" s="9">
        <f>+IFERROR(VLOOKUP(Tabla3[[#This Row],[Cliente factura]],Tabla4[[NIT]:[TOTAL CREDITO]],6,FALSE),0)</f>
        <v>69613164</v>
      </c>
      <c r="S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5" s="10" t="str">
        <f>VLOOKUP(Tabla3[[#This Row],[Razón social cliente factura]]&amp;Tabla3[[#This Row],[Desc. ciudad]],'Estandar de Rutas'!$C$1:$E$553,2,FALSE)</f>
        <v>8.3</v>
      </c>
      <c r="U885" s="130">
        <f>IFERROR(VLOOKUP(Tabla3[[#This Row],[Referencia]]&amp;Tabla3[[#This Row],[Desc detalle ext 1]],Tabla1[[Referencia-Color]:[Disponibilidad]],3,FALSE),0)</f>
        <v>0</v>
      </c>
      <c r="V885" s="13"/>
      <c r="W885" s="17">
        <f>+Tabla3[[#This Row],[Cant. Programada]]*Tabla3[[#This Row],[Precio unit]]</f>
        <v>0</v>
      </c>
      <c r="X885" s="130"/>
      <c r="Y885" s="8"/>
      <c r="Z885" s="8" t="str">
        <f>+Tabla3[[#This Row],[Referencia]]&amp;Tabla3[[#This Row],[Desc detalle ext 1]]</f>
        <v>DREAM  NEO                                        NEGRO AZU</v>
      </c>
      <c r="AA885" s="128" t="e">
        <f>+VLOOKUP(Tabla3[[#This Row],[CODIGO2]],ESTANDAR!$B$3:$C$9,2,FALSE)</f>
        <v>#N/A</v>
      </c>
      <c r="AB885" s="128" t="str">
        <f>+MID(Tabla3[[#This Row],['# Viaje]],10,1)</f>
        <v/>
      </c>
    </row>
    <row r="886" spans="1:28" ht="15" hidden="1" customHeight="1">
      <c r="A886" s="173" t="s">
        <v>1642</v>
      </c>
      <c r="B886" s="174">
        <v>42948</v>
      </c>
      <c r="C886" s="173" t="s">
        <v>1477</v>
      </c>
      <c r="D886" s="173" t="s">
        <v>1487</v>
      </c>
      <c r="E886" s="173" t="s">
        <v>1479</v>
      </c>
      <c r="F886" s="173">
        <v>1</v>
      </c>
      <c r="G886" s="173" t="s">
        <v>239</v>
      </c>
      <c r="H886" s="173">
        <v>1</v>
      </c>
      <c r="I886" s="173" t="s">
        <v>1643</v>
      </c>
      <c r="J886" s="173" t="s">
        <v>1430</v>
      </c>
      <c r="K886" s="173" t="s">
        <v>1431</v>
      </c>
      <c r="L886" s="173"/>
      <c r="M886" s="173" t="s">
        <v>329</v>
      </c>
      <c r="N886" s="173">
        <v>900060537</v>
      </c>
      <c r="O886" s="175">
        <v>3941176</v>
      </c>
      <c r="P886" s="7"/>
      <c r="Q886" s="16">
        <f>+IF(IFERROR(VLOOKUP(Tabla3[[#This Row],[Cliente factura]],Tabla4[[NIT]:[TOTAL CREDITO]],3,FALSE),0)="",0,IFERROR(VLOOKUP(Tabla3[[#This Row],[Cliente factura]],Tabla4[[NIT]:[TOTAL CREDITO]],3,FALSE),0))</f>
        <v>0</v>
      </c>
      <c r="R886" s="9">
        <f>+IFERROR(VLOOKUP(Tabla3[[#This Row],[Cliente factura]],Tabla4[[NIT]:[TOTAL CREDITO]],6,FALSE),0)</f>
        <v>69613164</v>
      </c>
      <c r="S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6" s="10" t="str">
        <f>VLOOKUP(Tabla3[[#This Row],[Razón social cliente factura]]&amp;Tabla3[[#This Row],[Desc. ciudad]],'Estandar de Rutas'!$C$1:$E$553,2,FALSE)</f>
        <v>8.3</v>
      </c>
      <c r="U886" s="130">
        <f>IFERROR(VLOOKUP(Tabla3[[#This Row],[Referencia]]&amp;Tabla3[[#This Row],[Desc detalle ext 1]],Tabla1[[Referencia-Color]:[Disponibilidad]],3,FALSE),0)</f>
        <v>0</v>
      </c>
      <c r="V886" s="13"/>
      <c r="W886" s="17">
        <f>+Tabla3[[#This Row],[Cant. Programada]]*Tabla3[[#This Row],[Precio unit]]</f>
        <v>0</v>
      </c>
      <c r="X886" s="8"/>
      <c r="Y886" s="8"/>
      <c r="Z886" s="8" t="str">
        <f>+Tabla3[[#This Row],[Referencia]]&amp;Tabla3[[#This Row],[Desc detalle ext 1]]</f>
        <v xml:space="preserve">WAVE 110S                                         ROJO     </v>
      </c>
      <c r="AA886" s="128" t="e">
        <f>+VLOOKUP(Tabla3[[#This Row],[CODIGO2]],ESTANDAR!$B$3:$C$9,2,FALSE)</f>
        <v>#N/A</v>
      </c>
      <c r="AB886" s="128" t="str">
        <f>+MID(Tabla3[[#This Row],['# Viaje]],10,1)</f>
        <v/>
      </c>
    </row>
    <row r="887" spans="1:28" ht="15" hidden="1" customHeight="1">
      <c r="A887" s="173" t="s">
        <v>1642</v>
      </c>
      <c r="B887" s="174">
        <v>42948</v>
      </c>
      <c r="C887" s="173" t="s">
        <v>1477</v>
      </c>
      <c r="D887" s="173" t="s">
        <v>1487</v>
      </c>
      <c r="E887" s="173" t="s">
        <v>1479</v>
      </c>
      <c r="F887" s="173">
        <v>1</v>
      </c>
      <c r="G887" s="173" t="s">
        <v>239</v>
      </c>
      <c r="H887" s="173">
        <v>1</v>
      </c>
      <c r="I887" s="173" t="s">
        <v>1643</v>
      </c>
      <c r="J887" s="173" t="s">
        <v>1430</v>
      </c>
      <c r="K887" s="173" t="s">
        <v>16</v>
      </c>
      <c r="L887" s="173"/>
      <c r="M887" s="173" t="s">
        <v>329</v>
      </c>
      <c r="N887" s="173">
        <v>900060537</v>
      </c>
      <c r="O887" s="175">
        <v>3941176</v>
      </c>
      <c r="P887" s="7"/>
      <c r="Q887" s="16">
        <f>+IF(IFERROR(VLOOKUP(Tabla3[[#This Row],[Cliente factura]],Tabla4[[NIT]:[TOTAL CREDITO]],3,FALSE),0)="",0,IFERROR(VLOOKUP(Tabla3[[#This Row],[Cliente factura]],Tabla4[[NIT]:[TOTAL CREDITO]],3,FALSE),0))</f>
        <v>0</v>
      </c>
      <c r="R887" s="9">
        <f>+IFERROR(VLOOKUP(Tabla3[[#This Row],[Cliente factura]],Tabla4[[NIT]:[TOTAL CREDITO]],6,FALSE),0)</f>
        <v>69613164</v>
      </c>
      <c r="S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7" s="10" t="str">
        <f>VLOOKUP(Tabla3[[#This Row],[Razón social cliente factura]]&amp;Tabla3[[#This Row],[Desc. ciudad]],'Estandar de Rutas'!$C$1:$E$553,2,FALSE)</f>
        <v>8.3</v>
      </c>
      <c r="U887" s="130">
        <f>IFERROR(VLOOKUP(Tabla3[[#This Row],[Referencia]]&amp;Tabla3[[#This Row],[Desc detalle ext 1]],Tabla1[[Referencia-Color]:[Disponibilidad]],3,FALSE),0)</f>
        <v>0</v>
      </c>
      <c r="V887" s="13"/>
      <c r="W887" s="17">
        <f>+Tabla3[[#This Row],[Cant. Programada]]*Tabla3[[#This Row],[Precio unit]]</f>
        <v>0</v>
      </c>
      <c r="X887" s="8"/>
      <c r="Y887" s="8"/>
      <c r="Z887" s="8" t="str">
        <f>+Tabla3[[#This Row],[Referencia]]&amp;Tabla3[[#This Row],[Desc detalle ext 1]]</f>
        <v xml:space="preserve">WAVE 110S                                         NEGRO    </v>
      </c>
      <c r="AA887" s="128" t="e">
        <f>+VLOOKUP(Tabla3[[#This Row],[CODIGO2]],ESTANDAR!$B$3:$C$9,2,FALSE)</f>
        <v>#N/A</v>
      </c>
      <c r="AB887" s="128" t="str">
        <f>+MID(Tabla3[[#This Row],['# Viaje]],10,1)</f>
        <v/>
      </c>
    </row>
    <row r="888" spans="1:28" ht="15" hidden="1" customHeight="1">
      <c r="A888" s="173" t="s">
        <v>1642</v>
      </c>
      <c r="B888" s="174">
        <v>42948</v>
      </c>
      <c r="C888" s="173" t="s">
        <v>1477</v>
      </c>
      <c r="D888" s="173" t="s">
        <v>1487</v>
      </c>
      <c r="E888" s="173" t="s">
        <v>1479</v>
      </c>
      <c r="F888" s="173">
        <v>2</v>
      </c>
      <c r="G888" s="173" t="s">
        <v>239</v>
      </c>
      <c r="H888" s="173">
        <v>2</v>
      </c>
      <c r="I888" s="173" t="s">
        <v>1643</v>
      </c>
      <c r="J888" s="173" t="s">
        <v>1451</v>
      </c>
      <c r="K888" s="173" t="s">
        <v>1452</v>
      </c>
      <c r="L888" s="173"/>
      <c r="M888" s="173" t="s">
        <v>329</v>
      </c>
      <c r="N888" s="173">
        <v>900060537</v>
      </c>
      <c r="O888" s="175">
        <v>3696639</v>
      </c>
      <c r="P888" s="7"/>
      <c r="Q888" s="16">
        <f>+IF(IFERROR(VLOOKUP(Tabla3[[#This Row],[Cliente factura]],Tabla4[[NIT]:[TOTAL CREDITO]],3,FALSE),0)="",0,IFERROR(VLOOKUP(Tabla3[[#This Row],[Cliente factura]],Tabla4[[NIT]:[TOTAL CREDITO]],3,FALSE),0))</f>
        <v>0</v>
      </c>
      <c r="R888" s="9">
        <f>+IFERROR(VLOOKUP(Tabla3[[#This Row],[Cliente factura]],Tabla4[[NIT]:[TOTAL CREDITO]],6,FALSE),0)</f>
        <v>69613164</v>
      </c>
      <c r="S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8" s="10" t="str">
        <f>VLOOKUP(Tabla3[[#This Row],[Razón social cliente factura]]&amp;Tabla3[[#This Row],[Desc. ciudad]],'Estandar de Rutas'!$C$1:$E$553,2,FALSE)</f>
        <v>8.3</v>
      </c>
      <c r="U888" s="130">
        <f>IFERROR(VLOOKUP(Tabla3[[#This Row],[Referencia]]&amp;Tabla3[[#This Row],[Desc detalle ext 1]],Tabla1[[Referencia-Color]:[Disponibilidad]],3,FALSE),0)</f>
        <v>21</v>
      </c>
      <c r="V888" s="13"/>
      <c r="W888" s="17">
        <f>+Tabla3[[#This Row],[Cant. Programada]]*Tabla3[[#This Row],[Precio unit]]</f>
        <v>0</v>
      </c>
      <c r="X888" s="8"/>
      <c r="Y888" s="8"/>
      <c r="Z888" s="8" t="str">
        <f>+Tabla3[[#This Row],[Referencia]]&amp;Tabla3[[#This Row],[Desc detalle ext 1]]</f>
        <v xml:space="preserve">CB 110 DLX                                        AZUL     </v>
      </c>
      <c r="AA888" s="128" t="e">
        <f>+VLOOKUP(Tabla3[[#This Row],[CODIGO2]],ESTANDAR!$B$3:$C$9,2,FALSE)</f>
        <v>#N/A</v>
      </c>
      <c r="AB888" s="128" t="str">
        <f>+MID(Tabla3[[#This Row],['# Viaje]],10,1)</f>
        <v/>
      </c>
    </row>
    <row r="889" spans="1:28" ht="15" hidden="1" customHeight="1">
      <c r="A889" s="173" t="s">
        <v>1642</v>
      </c>
      <c r="B889" s="174">
        <v>42948</v>
      </c>
      <c r="C889" s="173" t="s">
        <v>1477</v>
      </c>
      <c r="D889" s="173" t="s">
        <v>1487</v>
      </c>
      <c r="E889" s="173" t="s">
        <v>1479</v>
      </c>
      <c r="F889" s="173">
        <v>2</v>
      </c>
      <c r="G889" s="173" t="s">
        <v>239</v>
      </c>
      <c r="H889" s="173">
        <v>2</v>
      </c>
      <c r="I889" s="173" t="s">
        <v>1643</v>
      </c>
      <c r="J889" s="173" t="s">
        <v>1451</v>
      </c>
      <c r="K889" s="173" t="s">
        <v>1431</v>
      </c>
      <c r="L889" s="173"/>
      <c r="M889" s="173" t="s">
        <v>329</v>
      </c>
      <c r="N889" s="173">
        <v>900060537</v>
      </c>
      <c r="O889" s="175">
        <v>3696639</v>
      </c>
      <c r="P889" s="7"/>
      <c r="Q889" s="16">
        <f>+IF(IFERROR(VLOOKUP(Tabla3[[#This Row],[Cliente factura]],Tabla4[[NIT]:[TOTAL CREDITO]],3,FALSE),0)="",0,IFERROR(VLOOKUP(Tabla3[[#This Row],[Cliente factura]],Tabla4[[NIT]:[TOTAL CREDITO]],3,FALSE),0))</f>
        <v>0</v>
      </c>
      <c r="R889" s="9">
        <f>+IFERROR(VLOOKUP(Tabla3[[#This Row],[Cliente factura]],Tabla4[[NIT]:[TOTAL CREDITO]],6,FALSE),0)</f>
        <v>69613164</v>
      </c>
      <c r="S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9" s="10" t="str">
        <f>VLOOKUP(Tabla3[[#This Row],[Razón social cliente factura]]&amp;Tabla3[[#This Row],[Desc. ciudad]],'Estandar de Rutas'!$C$1:$E$553,2,FALSE)</f>
        <v>8.3</v>
      </c>
      <c r="U889" s="130">
        <f>IFERROR(VLOOKUP(Tabla3[[#This Row],[Referencia]]&amp;Tabla3[[#This Row],[Desc detalle ext 1]],Tabla1[[Referencia-Color]:[Disponibilidad]],3,FALSE),0)</f>
        <v>21</v>
      </c>
      <c r="V889" s="13"/>
      <c r="W889" s="17">
        <f>+Tabla3[[#This Row],[Cant. Programada]]*Tabla3[[#This Row],[Precio unit]]</f>
        <v>0</v>
      </c>
      <c r="X889" s="8"/>
      <c r="Y889" s="8"/>
      <c r="Z889" s="8" t="str">
        <f>+Tabla3[[#This Row],[Referencia]]&amp;Tabla3[[#This Row],[Desc detalle ext 1]]</f>
        <v xml:space="preserve">CB 110 DLX                                        ROJO     </v>
      </c>
      <c r="AA889" s="128" t="e">
        <f>+VLOOKUP(Tabla3[[#This Row],[CODIGO2]],ESTANDAR!$B$3:$C$9,2,FALSE)</f>
        <v>#N/A</v>
      </c>
      <c r="AB889" s="128" t="str">
        <f>+MID(Tabla3[[#This Row],['# Viaje]],10,1)</f>
        <v/>
      </c>
    </row>
    <row r="890" spans="1:28" ht="15" hidden="1" customHeight="1">
      <c r="A890" s="173" t="s">
        <v>1642</v>
      </c>
      <c r="B890" s="174">
        <v>42948</v>
      </c>
      <c r="C890" s="173" t="s">
        <v>1477</v>
      </c>
      <c r="D890" s="173" t="s">
        <v>1487</v>
      </c>
      <c r="E890" s="173" t="s">
        <v>1479</v>
      </c>
      <c r="F890" s="173">
        <v>4</v>
      </c>
      <c r="G890" s="173" t="s">
        <v>239</v>
      </c>
      <c r="H890" s="173">
        <v>4</v>
      </c>
      <c r="I890" s="173" t="s">
        <v>1643</v>
      </c>
      <c r="J890" s="173" t="s">
        <v>1451</v>
      </c>
      <c r="K890" s="173" t="s">
        <v>16</v>
      </c>
      <c r="L890" s="173"/>
      <c r="M890" s="173" t="s">
        <v>329</v>
      </c>
      <c r="N890" s="173">
        <v>900060537</v>
      </c>
      <c r="O890" s="175">
        <v>3696639</v>
      </c>
      <c r="P890" s="7"/>
      <c r="Q890" s="16">
        <f>+IF(IFERROR(VLOOKUP(Tabla3[[#This Row],[Cliente factura]],Tabla4[[NIT]:[TOTAL CREDITO]],3,FALSE),0)="",0,IFERROR(VLOOKUP(Tabla3[[#This Row],[Cliente factura]],Tabla4[[NIT]:[TOTAL CREDITO]],3,FALSE),0))</f>
        <v>0</v>
      </c>
      <c r="R890" s="9">
        <f>+IFERROR(VLOOKUP(Tabla3[[#This Row],[Cliente factura]],Tabla4[[NIT]:[TOTAL CREDITO]],6,FALSE),0)</f>
        <v>69613164</v>
      </c>
      <c r="S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0" s="10" t="str">
        <f>VLOOKUP(Tabla3[[#This Row],[Razón social cliente factura]]&amp;Tabla3[[#This Row],[Desc. ciudad]],'Estandar de Rutas'!$C$1:$E$553,2,FALSE)</f>
        <v>8.3</v>
      </c>
      <c r="U890" s="130">
        <f>IFERROR(VLOOKUP(Tabla3[[#This Row],[Referencia]]&amp;Tabla3[[#This Row],[Desc detalle ext 1]],Tabla1[[Referencia-Color]:[Disponibilidad]],3,FALSE),0)</f>
        <v>3</v>
      </c>
      <c r="V890" s="13"/>
      <c r="W890" s="17">
        <f>+Tabla3[[#This Row],[Cant. Programada]]*Tabla3[[#This Row],[Precio unit]]</f>
        <v>0</v>
      </c>
      <c r="X890" s="8"/>
      <c r="Y890" s="8"/>
      <c r="Z890" s="8" t="str">
        <f>+Tabla3[[#This Row],[Referencia]]&amp;Tabla3[[#This Row],[Desc detalle ext 1]]</f>
        <v xml:space="preserve">CB 110 DLX                                        NEGRO    </v>
      </c>
      <c r="AA890" s="128" t="e">
        <f>+VLOOKUP(Tabla3[[#This Row],[CODIGO2]],ESTANDAR!$B$3:$C$9,2,FALSE)</f>
        <v>#N/A</v>
      </c>
      <c r="AB890" s="128" t="str">
        <f>+MID(Tabla3[[#This Row],['# Viaje]],10,1)</f>
        <v/>
      </c>
    </row>
    <row r="891" spans="1:28" ht="15" hidden="1" customHeight="1">
      <c r="A891" s="173" t="s">
        <v>1644</v>
      </c>
      <c r="B891" s="174">
        <v>42948</v>
      </c>
      <c r="C891" s="173" t="s">
        <v>1477</v>
      </c>
      <c r="D891" s="173" t="s">
        <v>1487</v>
      </c>
      <c r="E891" s="173" t="s">
        <v>1479</v>
      </c>
      <c r="F891" s="173">
        <v>4</v>
      </c>
      <c r="G891" s="173" t="s">
        <v>165</v>
      </c>
      <c r="H891" s="173">
        <v>4</v>
      </c>
      <c r="I891" s="173" t="s">
        <v>1645</v>
      </c>
      <c r="J891" s="173" t="s">
        <v>27</v>
      </c>
      <c r="K891" s="173" t="s">
        <v>26</v>
      </c>
      <c r="L891" s="173"/>
      <c r="M891" s="173" t="s">
        <v>166</v>
      </c>
      <c r="N891" s="173">
        <v>900228870</v>
      </c>
      <c r="O891" s="175">
        <v>5789916</v>
      </c>
      <c r="P891" s="7"/>
      <c r="Q8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1" s="9">
        <f>+IFERROR(VLOOKUP(Tabla3[[#This Row],[Cliente factura]],Tabla4[[NIT]:[TOTAL CREDITO]],6,FALSE),0)</f>
        <v>0</v>
      </c>
      <c r="S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1" s="10" t="str">
        <f>VLOOKUP(Tabla3[[#This Row],[Razón social cliente factura]]&amp;Tabla3[[#This Row],[Desc. ciudad]],'Estandar de Rutas'!$C$1:$E$553,2,FALSE)</f>
        <v>8.3</v>
      </c>
      <c r="U891" s="130">
        <f>IFERROR(VLOOKUP(Tabla3[[#This Row],[Referencia]]&amp;Tabla3[[#This Row],[Desc detalle ext 1]],Tabla1[[Referencia-Color]:[Disponibilidad]],3,FALSE),0)</f>
        <v>59</v>
      </c>
      <c r="V891" s="13"/>
      <c r="W891" s="17">
        <f>+Tabla3[[#This Row],[Cant. Programada]]*Tabla3[[#This Row],[Precio unit]]</f>
        <v>0</v>
      </c>
      <c r="X891" s="8"/>
      <c r="Y891" s="8"/>
      <c r="Z891" s="8" t="str">
        <f>+Tabla3[[#This Row],[Referencia]]&amp;Tabla3[[#This Row],[Desc detalle ext 1]]</f>
        <v>*XR 150L                                          NEGRO BLA</v>
      </c>
      <c r="AA891" s="128" t="e">
        <f>+VLOOKUP(Tabla3[[#This Row],[CODIGO2]],ESTANDAR!$B$3:$C$9,2,FALSE)</f>
        <v>#N/A</v>
      </c>
      <c r="AB891" s="128" t="str">
        <f>+MID(Tabla3[[#This Row],['# Viaje]],10,1)</f>
        <v/>
      </c>
    </row>
    <row r="892" spans="1:28" ht="15" hidden="1" customHeight="1">
      <c r="A892" s="173" t="s">
        <v>1644</v>
      </c>
      <c r="B892" s="174">
        <v>42948</v>
      </c>
      <c r="C892" s="173" t="s">
        <v>1477</v>
      </c>
      <c r="D892" s="173" t="s">
        <v>1487</v>
      </c>
      <c r="E892" s="173" t="s">
        <v>1479</v>
      </c>
      <c r="F892" s="173">
        <v>4</v>
      </c>
      <c r="G892" s="173" t="s">
        <v>165</v>
      </c>
      <c r="H892" s="173">
        <v>4</v>
      </c>
      <c r="I892" s="173" t="s">
        <v>1645</v>
      </c>
      <c r="J892" s="173" t="s">
        <v>27</v>
      </c>
      <c r="K892" s="173" t="s">
        <v>32</v>
      </c>
      <c r="L892" s="173"/>
      <c r="M892" s="173" t="s">
        <v>166</v>
      </c>
      <c r="N892" s="173">
        <v>900228870</v>
      </c>
      <c r="O892" s="175">
        <v>5789916</v>
      </c>
      <c r="P892" s="7"/>
      <c r="Q8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2" s="9">
        <f>+IFERROR(VLOOKUP(Tabla3[[#This Row],[Cliente factura]],Tabla4[[NIT]:[TOTAL CREDITO]],6,FALSE),0)</f>
        <v>0</v>
      </c>
      <c r="S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2" s="10" t="str">
        <f>VLOOKUP(Tabla3[[#This Row],[Razón social cliente factura]]&amp;Tabla3[[#This Row],[Desc. ciudad]],'Estandar de Rutas'!$C$1:$E$553,2,FALSE)</f>
        <v>8.3</v>
      </c>
      <c r="U892" s="130">
        <f>IFERROR(VLOOKUP(Tabla3[[#This Row],[Referencia]]&amp;Tabla3[[#This Row],[Desc detalle ext 1]],Tabla1[[Referencia-Color]:[Disponibilidad]],3,FALSE),0)</f>
        <v>7</v>
      </c>
      <c r="V892" s="13"/>
      <c r="W892" s="17">
        <f>+Tabla3[[#This Row],[Cant. Programada]]*Tabla3[[#This Row],[Precio unit]]</f>
        <v>0</v>
      </c>
      <c r="X892" s="8"/>
      <c r="Y892" s="8"/>
      <c r="Z892" s="8" t="str">
        <f>+Tabla3[[#This Row],[Referencia]]&amp;Tabla3[[#This Row],[Desc detalle ext 1]]</f>
        <v>*XR 150L                                          NEGRO ROJ</v>
      </c>
      <c r="AA892" s="128" t="e">
        <f>+VLOOKUP(Tabla3[[#This Row],[CODIGO2]],ESTANDAR!$B$3:$C$9,2,FALSE)</f>
        <v>#N/A</v>
      </c>
      <c r="AB892" s="128" t="str">
        <f>+MID(Tabla3[[#This Row],['# Viaje]],10,1)</f>
        <v/>
      </c>
    </row>
    <row r="893" spans="1:28" ht="15" hidden="1" customHeight="1">
      <c r="A893" s="173" t="s">
        <v>1644</v>
      </c>
      <c r="B893" s="174">
        <v>42948</v>
      </c>
      <c r="C893" s="173" t="s">
        <v>1477</v>
      </c>
      <c r="D893" s="173" t="s">
        <v>1487</v>
      </c>
      <c r="E893" s="173" t="s">
        <v>1479</v>
      </c>
      <c r="F893" s="173">
        <v>4</v>
      </c>
      <c r="G893" s="173" t="s">
        <v>165</v>
      </c>
      <c r="H893" s="173">
        <v>4</v>
      </c>
      <c r="I893" s="173" t="s">
        <v>1645</v>
      </c>
      <c r="J893" s="173" t="s">
        <v>27</v>
      </c>
      <c r="K893" s="173" t="s">
        <v>16</v>
      </c>
      <c r="L893" s="173"/>
      <c r="M893" s="173" t="s">
        <v>166</v>
      </c>
      <c r="N893" s="173">
        <v>900228870</v>
      </c>
      <c r="O893" s="175">
        <v>5789916</v>
      </c>
      <c r="P893" s="7"/>
      <c r="Q8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3" s="9">
        <f>+IFERROR(VLOOKUP(Tabla3[[#This Row],[Cliente factura]],Tabla4[[NIT]:[TOTAL CREDITO]],6,FALSE),0)</f>
        <v>0</v>
      </c>
      <c r="S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3" s="10" t="str">
        <f>VLOOKUP(Tabla3[[#This Row],[Razón social cliente factura]]&amp;Tabla3[[#This Row],[Desc. ciudad]],'Estandar de Rutas'!$C$1:$E$553,2,FALSE)</f>
        <v>8.3</v>
      </c>
      <c r="U893" s="130">
        <f>IFERROR(VLOOKUP(Tabla3[[#This Row],[Referencia]]&amp;Tabla3[[#This Row],[Desc detalle ext 1]],Tabla1[[Referencia-Color]:[Disponibilidad]],3,FALSE),0)</f>
        <v>3</v>
      </c>
      <c r="V893" s="13"/>
      <c r="W893" s="17">
        <f>+Tabla3[[#This Row],[Cant. Programada]]*Tabla3[[#This Row],[Precio unit]]</f>
        <v>0</v>
      </c>
      <c r="X893" s="8"/>
      <c r="Y893" s="8"/>
      <c r="Z893" s="8" t="str">
        <f>+Tabla3[[#This Row],[Referencia]]&amp;Tabla3[[#This Row],[Desc detalle ext 1]]</f>
        <v xml:space="preserve">*XR 150L                                          NEGRO    </v>
      </c>
      <c r="AA893" s="128" t="e">
        <f>+VLOOKUP(Tabla3[[#This Row],[CODIGO2]],ESTANDAR!$B$3:$C$9,2,FALSE)</f>
        <v>#N/A</v>
      </c>
      <c r="AB893" s="128" t="str">
        <f>+MID(Tabla3[[#This Row],['# Viaje]],10,1)</f>
        <v/>
      </c>
    </row>
    <row r="894" spans="1:28" ht="15" hidden="1" customHeight="1">
      <c r="A894" s="173" t="s">
        <v>1644</v>
      </c>
      <c r="B894" s="174">
        <v>42948</v>
      </c>
      <c r="C894" s="173" t="s">
        <v>1477</v>
      </c>
      <c r="D894" s="173" t="s">
        <v>1487</v>
      </c>
      <c r="E894" s="173" t="s">
        <v>1479</v>
      </c>
      <c r="F894" s="173">
        <v>1</v>
      </c>
      <c r="G894" s="173" t="s">
        <v>165</v>
      </c>
      <c r="H894" s="173">
        <v>1</v>
      </c>
      <c r="I894" s="173" t="s">
        <v>1645</v>
      </c>
      <c r="J894" s="173" t="s">
        <v>354</v>
      </c>
      <c r="K894" s="173" t="s">
        <v>355</v>
      </c>
      <c r="L894" s="173"/>
      <c r="M894" s="173" t="s">
        <v>166</v>
      </c>
      <c r="N894" s="173">
        <v>900228870</v>
      </c>
      <c r="O894" s="175">
        <v>6133613</v>
      </c>
      <c r="P894" s="7"/>
      <c r="Q8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4" s="9">
        <f>+IFERROR(VLOOKUP(Tabla3[[#This Row],[Cliente factura]],Tabla4[[NIT]:[TOTAL CREDITO]],6,FALSE),0)</f>
        <v>0</v>
      </c>
      <c r="S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4" s="10" t="str">
        <f>VLOOKUP(Tabla3[[#This Row],[Razón social cliente factura]]&amp;Tabla3[[#This Row],[Desc. ciudad]],'Estandar de Rutas'!$C$1:$E$553,2,FALSE)</f>
        <v>8.3</v>
      </c>
      <c r="U894" s="130">
        <f>IFERROR(VLOOKUP(Tabla3[[#This Row],[Referencia]]&amp;Tabla3[[#This Row],[Desc detalle ext 1]],Tabla1[[Referencia-Color]:[Disponibilidad]],3,FALSE),0)</f>
        <v>0</v>
      </c>
      <c r="V894" s="13"/>
      <c r="W894" s="17">
        <f>+Tabla3[[#This Row],[Cant. Programada]]*Tabla3[[#This Row],[Precio unit]]</f>
        <v>0</v>
      </c>
      <c r="X894" s="8"/>
      <c r="Y894" s="8"/>
      <c r="Z894" s="8" t="str">
        <f>+Tabla3[[#This Row],[Referencia]]&amp;Tabla3[[#This Row],[Desc detalle ext 1]]</f>
        <v>CB 160F DLX                                       NEGRO PER</v>
      </c>
      <c r="AA894" s="128" t="e">
        <f>+VLOOKUP(Tabla3[[#This Row],[CODIGO2]],ESTANDAR!$B$3:$C$9,2,FALSE)</f>
        <v>#N/A</v>
      </c>
      <c r="AB894" s="128" t="str">
        <f>+MID(Tabla3[[#This Row],['# Viaje]],10,1)</f>
        <v/>
      </c>
    </row>
    <row r="895" spans="1:28" ht="15" hidden="1" customHeight="1">
      <c r="A895" s="173" t="s">
        <v>1644</v>
      </c>
      <c r="B895" s="174">
        <v>42948</v>
      </c>
      <c r="C895" s="173" t="s">
        <v>1477</v>
      </c>
      <c r="D895" s="173" t="s">
        <v>1487</v>
      </c>
      <c r="E895" s="173" t="s">
        <v>1479</v>
      </c>
      <c r="F895" s="173">
        <v>3</v>
      </c>
      <c r="G895" s="173" t="s">
        <v>165</v>
      </c>
      <c r="H895" s="173">
        <v>3</v>
      </c>
      <c r="I895" s="173" t="s">
        <v>1645</v>
      </c>
      <c r="J895" s="173" t="s">
        <v>1428</v>
      </c>
      <c r="K895" s="173" t="s">
        <v>32</v>
      </c>
      <c r="L895" s="173"/>
      <c r="M895" s="173" t="s">
        <v>166</v>
      </c>
      <c r="N895" s="173">
        <v>900228870</v>
      </c>
      <c r="O895" s="175">
        <v>3067227</v>
      </c>
      <c r="P895" s="7"/>
      <c r="Q8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5" s="9">
        <f>+IFERROR(VLOOKUP(Tabla3[[#This Row],[Cliente factura]],Tabla4[[NIT]:[TOTAL CREDITO]],6,FALSE),0)</f>
        <v>0</v>
      </c>
      <c r="S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5" s="10" t="str">
        <f>VLOOKUP(Tabla3[[#This Row],[Razón social cliente factura]]&amp;Tabla3[[#This Row],[Desc. ciudad]],'Estandar de Rutas'!$C$1:$E$553,2,FALSE)</f>
        <v>8.3</v>
      </c>
      <c r="U895" s="130">
        <f>IFERROR(VLOOKUP(Tabla3[[#This Row],[Referencia]]&amp;Tabla3[[#This Row],[Desc detalle ext 1]],Tabla1[[Referencia-Color]:[Disponibilidad]],3,FALSE),0)</f>
        <v>0</v>
      </c>
      <c r="V895" s="13"/>
      <c r="W895" s="17">
        <f>+Tabla3[[#This Row],[Cant. Programada]]*Tabla3[[#This Row],[Precio unit]]</f>
        <v>0</v>
      </c>
      <c r="X895" s="8"/>
      <c r="Y895" s="8"/>
      <c r="Z895" s="8" t="str">
        <f>+Tabla3[[#This Row],[Referencia]]&amp;Tabla3[[#This Row],[Desc detalle ext 1]]</f>
        <v>DREAM  NEO                                        NEGRO ROJ</v>
      </c>
      <c r="AA895" s="128" t="e">
        <f>+VLOOKUP(Tabla3[[#This Row],[CODIGO2]],ESTANDAR!$B$3:$C$9,2,FALSE)</f>
        <v>#N/A</v>
      </c>
      <c r="AB895" s="128" t="str">
        <f>+MID(Tabla3[[#This Row],['# Viaje]],10,1)</f>
        <v/>
      </c>
    </row>
    <row r="896" spans="1:28" ht="15" hidden="1" customHeight="1">
      <c r="A896" s="173" t="s">
        <v>1644</v>
      </c>
      <c r="B896" s="174">
        <v>42948</v>
      </c>
      <c r="C896" s="173" t="s">
        <v>1477</v>
      </c>
      <c r="D896" s="173" t="s">
        <v>1487</v>
      </c>
      <c r="E896" s="173" t="s">
        <v>1479</v>
      </c>
      <c r="F896" s="173">
        <v>5</v>
      </c>
      <c r="G896" s="173" t="s">
        <v>165</v>
      </c>
      <c r="H896" s="173">
        <v>5</v>
      </c>
      <c r="I896" s="173" t="s">
        <v>1645</v>
      </c>
      <c r="J896" s="173" t="s">
        <v>1428</v>
      </c>
      <c r="K896" s="173" t="s">
        <v>1429</v>
      </c>
      <c r="L896" s="173"/>
      <c r="M896" s="173" t="s">
        <v>166</v>
      </c>
      <c r="N896" s="173">
        <v>900228870</v>
      </c>
      <c r="O896" s="175">
        <v>3067227</v>
      </c>
      <c r="P896" s="7"/>
      <c r="Q8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6" s="9">
        <f>+IFERROR(VLOOKUP(Tabla3[[#This Row],[Cliente factura]],Tabla4[[NIT]:[TOTAL CREDITO]],6,FALSE),0)</f>
        <v>0</v>
      </c>
      <c r="S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6" s="10" t="str">
        <f>VLOOKUP(Tabla3[[#This Row],[Razón social cliente factura]]&amp;Tabla3[[#This Row],[Desc. ciudad]],'Estandar de Rutas'!$C$1:$E$553,2,FALSE)</f>
        <v>8.3</v>
      </c>
      <c r="U896" s="130">
        <f>IFERROR(VLOOKUP(Tabla3[[#This Row],[Referencia]]&amp;Tabla3[[#This Row],[Desc detalle ext 1]],Tabla1[[Referencia-Color]:[Disponibilidad]],3,FALSE),0)</f>
        <v>0</v>
      </c>
      <c r="V896" s="13"/>
      <c r="W896" s="17">
        <f>+Tabla3[[#This Row],[Cant. Programada]]*Tabla3[[#This Row],[Precio unit]]</f>
        <v>0</v>
      </c>
      <c r="X896" s="8"/>
      <c r="Y896" s="8"/>
      <c r="Z896" s="8" t="str">
        <f>+Tabla3[[#This Row],[Referencia]]&amp;Tabla3[[#This Row],[Desc detalle ext 1]]</f>
        <v>DREAM  NEO                                        NEGRO AZU</v>
      </c>
      <c r="AA896" s="128" t="e">
        <f>+VLOOKUP(Tabla3[[#This Row],[CODIGO2]],ESTANDAR!$B$3:$C$9,2,FALSE)</f>
        <v>#N/A</v>
      </c>
      <c r="AB896" s="128" t="str">
        <f>+MID(Tabla3[[#This Row],['# Viaje]],10,1)</f>
        <v/>
      </c>
    </row>
    <row r="897" spans="1:28" ht="15" hidden="1" customHeight="1">
      <c r="A897" s="173" t="s">
        <v>1644</v>
      </c>
      <c r="B897" s="174">
        <v>42948</v>
      </c>
      <c r="C897" s="173" t="s">
        <v>1477</v>
      </c>
      <c r="D897" s="173" t="s">
        <v>1487</v>
      </c>
      <c r="E897" s="173" t="s">
        <v>1479</v>
      </c>
      <c r="F897" s="173">
        <v>1</v>
      </c>
      <c r="G897" s="173" t="s">
        <v>165</v>
      </c>
      <c r="H897" s="173">
        <v>1</v>
      </c>
      <c r="I897" s="173" t="s">
        <v>1645</v>
      </c>
      <c r="J897" s="173" t="s">
        <v>1430</v>
      </c>
      <c r="K897" s="173" t="s">
        <v>1431</v>
      </c>
      <c r="L897" s="173"/>
      <c r="M897" s="173" t="s">
        <v>166</v>
      </c>
      <c r="N897" s="173">
        <v>900228870</v>
      </c>
      <c r="O897" s="175">
        <v>3941176</v>
      </c>
      <c r="P897" s="7"/>
      <c r="Q8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7" s="9">
        <f>+IFERROR(VLOOKUP(Tabla3[[#This Row],[Cliente factura]],Tabla4[[NIT]:[TOTAL CREDITO]],6,FALSE),0)</f>
        <v>0</v>
      </c>
      <c r="S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7" s="10" t="str">
        <f>VLOOKUP(Tabla3[[#This Row],[Razón social cliente factura]]&amp;Tabla3[[#This Row],[Desc. ciudad]],'Estandar de Rutas'!$C$1:$E$553,2,FALSE)</f>
        <v>8.3</v>
      </c>
      <c r="U897" s="130">
        <f>IFERROR(VLOOKUP(Tabla3[[#This Row],[Referencia]]&amp;Tabla3[[#This Row],[Desc detalle ext 1]],Tabla1[[Referencia-Color]:[Disponibilidad]],3,FALSE),0)</f>
        <v>0</v>
      </c>
      <c r="V897" s="13"/>
      <c r="W897" s="17">
        <f>+Tabla3[[#This Row],[Cant. Programada]]*Tabla3[[#This Row],[Precio unit]]</f>
        <v>0</v>
      </c>
      <c r="X897" s="8"/>
      <c r="Y897" s="8"/>
      <c r="Z897" s="8" t="str">
        <f>+Tabla3[[#This Row],[Referencia]]&amp;Tabla3[[#This Row],[Desc detalle ext 1]]</f>
        <v xml:space="preserve">WAVE 110S                                         ROJO     </v>
      </c>
      <c r="AA897" s="128" t="e">
        <f>+VLOOKUP(Tabla3[[#This Row],[CODIGO2]],ESTANDAR!$B$3:$C$9,2,FALSE)</f>
        <v>#N/A</v>
      </c>
      <c r="AB897" s="128" t="str">
        <f>+MID(Tabla3[[#This Row],['# Viaje]],10,1)</f>
        <v/>
      </c>
    </row>
    <row r="898" spans="1:28" ht="15" hidden="1" customHeight="1">
      <c r="A898" s="173" t="s">
        <v>1644</v>
      </c>
      <c r="B898" s="174">
        <v>42948</v>
      </c>
      <c r="C898" s="173" t="s">
        <v>1477</v>
      </c>
      <c r="D898" s="173" t="s">
        <v>1487</v>
      </c>
      <c r="E898" s="173" t="s">
        <v>1479</v>
      </c>
      <c r="F898" s="173">
        <v>1</v>
      </c>
      <c r="G898" s="173" t="s">
        <v>165</v>
      </c>
      <c r="H898" s="173">
        <v>1</v>
      </c>
      <c r="I898" s="173" t="s">
        <v>1645</v>
      </c>
      <c r="J898" s="173" t="s">
        <v>1430</v>
      </c>
      <c r="K898" s="173" t="s">
        <v>16</v>
      </c>
      <c r="L898" s="174"/>
      <c r="M898" s="173" t="s">
        <v>166</v>
      </c>
      <c r="N898" s="173">
        <v>900228870</v>
      </c>
      <c r="O898" s="175">
        <v>3941176</v>
      </c>
      <c r="P898" s="7"/>
      <c r="Q8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8" s="9">
        <f>+IFERROR(VLOOKUP(Tabla3[[#This Row],[Cliente factura]],Tabla4[[NIT]:[TOTAL CREDITO]],6,FALSE),0)</f>
        <v>0</v>
      </c>
      <c r="S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8" s="10" t="str">
        <f>VLOOKUP(Tabla3[[#This Row],[Razón social cliente factura]]&amp;Tabla3[[#This Row],[Desc. ciudad]],'Estandar de Rutas'!$C$1:$E$553,2,FALSE)</f>
        <v>8.3</v>
      </c>
      <c r="U898" s="130">
        <f>IFERROR(VLOOKUP(Tabla3[[#This Row],[Referencia]]&amp;Tabla3[[#This Row],[Desc detalle ext 1]],Tabla1[[Referencia-Color]:[Disponibilidad]],3,FALSE),0)</f>
        <v>0</v>
      </c>
      <c r="V898" s="13"/>
      <c r="W898" s="17">
        <f>+Tabla3[[#This Row],[Cant. Programada]]*Tabla3[[#This Row],[Precio unit]]</f>
        <v>0</v>
      </c>
      <c r="X898" s="8"/>
      <c r="Y898" s="8"/>
      <c r="Z898" s="8" t="str">
        <f>+Tabla3[[#This Row],[Referencia]]&amp;Tabla3[[#This Row],[Desc detalle ext 1]]</f>
        <v xml:space="preserve">WAVE 110S                                         NEGRO    </v>
      </c>
      <c r="AA898" s="128" t="e">
        <f>+VLOOKUP(Tabla3[[#This Row],[CODIGO2]],ESTANDAR!$B$3:$C$9,2,FALSE)</f>
        <v>#N/A</v>
      </c>
      <c r="AB898" s="128" t="str">
        <f>+MID(Tabla3[[#This Row],['# Viaje]],10,1)</f>
        <v/>
      </c>
    </row>
    <row r="899" spans="1:28" ht="15" hidden="1" customHeight="1">
      <c r="A899" s="173" t="s">
        <v>1644</v>
      </c>
      <c r="B899" s="174">
        <v>42948</v>
      </c>
      <c r="C899" s="173" t="s">
        <v>1477</v>
      </c>
      <c r="D899" s="173" t="s">
        <v>1487</v>
      </c>
      <c r="E899" s="173" t="s">
        <v>1479</v>
      </c>
      <c r="F899" s="173">
        <v>2</v>
      </c>
      <c r="G899" s="173" t="s">
        <v>165</v>
      </c>
      <c r="H899" s="173">
        <v>2</v>
      </c>
      <c r="I899" s="173" t="s">
        <v>1645</v>
      </c>
      <c r="J899" s="173" t="s">
        <v>1451</v>
      </c>
      <c r="K899" s="173" t="s">
        <v>1452</v>
      </c>
      <c r="L899" s="173"/>
      <c r="M899" s="173" t="s">
        <v>166</v>
      </c>
      <c r="N899" s="173">
        <v>900228870</v>
      </c>
      <c r="O899" s="175">
        <v>3696639</v>
      </c>
      <c r="P899" s="7"/>
      <c r="Q8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9" s="9">
        <f>+IFERROR(VLOOKUP(Tabla3[[#This Row],[Cliente factura]],Tabla4[[NIT]:[TOTAL CREDITO]],6,FALSE),0)</f>
        <v>0</v>
      </c>
      <c r="S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9" s="10" t="str">
        <f>VLOOKUP(Tabla3[[#This Row],[Razón social cliente factura]]&amp;Tabla3[[#This Row],[Desc. ciudad]],'Estandar de Rutas'!$C$1:$E$553,2,FALSE)</f>
        <v>8.3</v>
      </c>
      <c r="U899" s="130">
        <f>IFERROR(VLOOKUP(Tabla3[[#This Row],[Referencia]]&amp;Tabla3[[#This Row],[Desc detalle ext 1]],Tabla1[[Referencia-Color]:[Disponibilidad]],3,FALSE),0)</f>
        <v>21</v>
      </c>
      <c r="V899" s="13"/>
      <c r="W899" s="17">
        <f>+Tabla3[[#This Row],[Cant. Programada]]*Tabla3[[#This Row],[Precio unit]]</f>
        <v>0</v>
      </c>
      <c r="X899" s="8"/>
      <c r="Y899" s="8"/>
      <c r="Z899" s="8" t="str">
        <f>+Tabla3[[#This Row],[Referencia]]&amp;Tabla3[[#This Row],[Desc detalle ext 1]]</f>
        <v xml:space="preserve">CB 110 DLX                                        AZUL     </v>
      </c>
      <c r="AA899" s="128" t="e">
        <f>+VLOOKUP(Tabla3[[#This Row],[CODIGO2]],ESTANDAR!$B$3:$C$9,2,FALSE)</f>
        <v>#N/A</v>
      </c>
      <c r="AB899" s="128" t="str">
        <f>+MID(Tabla3[[#This Row],['# Viaje]],10,1)</f>
        <v/>
      </c>
    </row>
    <row r="900" spans="1:28" ht="15" hidden="1" customHeight="1">
      <c r="A900" s="173" t="s">
        <v>1644</v>
      </c>
      <c r="B900" s="174">
        <v>42948</v>
      </c>
      <c r="C900" s="173" t="s">
        <v>1477</v>
      </c>
      <c r="D900" s="173" t="s">
        <v>1487</v>
      </c>
      <c r="E900" s="173" t="s">
        <v>1479</v>
      </c>
      <c r="F900" s="173">
        <v>2</v>
      </c>
      <c r="G900" s="173" t="s">
        <v>165</v>
      </c>
      <c r="H900" s="173">
        <v>2</v>
      </c>
      <c r="I900" s="173" t="s">
        <v>1645</v>
      </c>
      <c r="J900" s="173" t="s">
        <v>1451</v>
      </c>
      <c r="K900" s="173" t="s">
        <v>1431</v>
      </c>
      <c r="L900" s="173"/>
      <c r="M900" s="173" t="s">
        <v>166</v>
      </c>
      <c r="N900" s="173">
        <v>900228870</v>
      </c>
      <c r="O900" s="175">
        <v>3696639</v>
      </c>
      <c r="P900" s="7"/>
      <c r="Q9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0" s="9">
        <f>+IFERROR(VLOOKUP(Tabla3[[#This Row],[Cliente factura]],Tabla4[[NIT]:[TOTAL CREDITO]],6,FALSE),0)</f>
        <v>0</v>
      </c>
      <c r="S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0" s="10" t="str">
        <f>VLOOKUP(Tabla3[[#This Row],[Razón social cliente factura]]&amp;Tabla3[[#This Row],[Desc. ciudad]],'Estandar de Rutas'!$C$1:$E$553,2,FALSE)</f>
        <v>8.3</v>
      </c>
      <c r="U900" s="130">
        <f>IFERROR(VLOOKUP(Tabla3[[#This Row],[Referencia]]&amp;Tabla3[[#This Row],[Desc detalle ext 1]],Tabla1[[Referencia-Color]:[Disponibilidad]],3,FALSE),0)</f>
        <v>21</v>
      </c>
      <c r="V900" s="13"/>
      <c r="W900" s="17">
        <f>+Tabla3[[#This Row],[Cant. Programada]]*Tabla3[[#This Row],[Precio unit]]</f>
        <v>0</v>
      </c>
      <c r="X900" s="8"/>
      <c r="Y900" s="8"/>
      <c r="Z900" s="8" t="str">
        <f>+Tabla3[[#This Row],[Referencia]]&amp;Tabla3[[#This Row],[Desc detalle ext 1]]</f>
        <v xml:space="preserve">CB 110 DLX                                        ROJO     </v>
      </c>
      <c r="AA900" s="128" t="e">
        <f>+VLOOKUP(Tabla3[[#This Row],[CODIGO2]],ESTANDAR!$B$3:$C$9,2,FALSE)</f>
        <v>#N/A</v>
      </c>
      <c r="AB900" s="128" t="str">
        <f>+MID(Tabla3[[#This Row],['# Viaje]],10,1)</f>
        <v/>
      </c>
    </row>
    <row r="901" spans="1:28" ht="15" hidden="1" customHeight="1">
      <c r="A901" s="173" t="s">
        <v>1644</v>
      </c>
      <c r="B901" s="174">
        <v>42948</v>
      </c>
      <c r="C901" s="173" t="s">
        <v>1477</v>
      </c>
      <c r="D901" s="173" t="s">
        <v>1487</v>
      </c>
      <c r="E901" s="173" t="s">
        <v>1479</v>
      </c>
      <c r="F901" s="173">
        <v>2</v>
      </c>
      <c r="G901" s="173" t="s">
        <v>165</v>
      </c>
      <c r="H901" s="173">
        <v>2</v>
      </c>
      <c r="I901" s="173" t="s">
        <v>1645</v>
      </c>
      <c r="J901" s="173" t="s">
        <v>1451</v>
      </c>
      <c r="K901" s="173" t="s">
        <v>16</v>
      </c>
      <c r="L901" s="173"/>
      <c r="M901" s="173" t="s">
        <v>166</v>
      </c>
      <c r="N901" s="173">
        <v>900228870</v>
      </c>
      <c r="O901" s="175">
        <v>3696639</v>
      </c>
      <c r="P901" s="7"/>
      <c r="Q9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1" s="9">
        <f>+IFERROR(VLOOKUP(Tabla3[[#This Row],[Cliente factura]],Tabla4[[NIT]:[TOTAL CREDITO]],6,FALSE),0)</f>
        <v>0</v>
      </c>
      <c r="S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1" s="10" t="str">
        <f>VLOOKUP(Tabla3[[#This Row],[Razón social cliente factura]]&amp;Tabla3[[#This Row],[Desc. ciudad]],'Estandar de Rutas'!$C$1:$E$553,2,FALSE)</f>
        <v>8.3</v>
      </c>
      <c r="U901" s="130">
        <f>IFERROR(VLOOKUP(Tabla3[[#This Row],[Referencia]]&amp;Tabla3[[#This Row],[Desc detalle ext 1]],Tabla1[[Referencia-Color]:[Disponibilidad]],3,FALSE),0)</f>
        <v>3</v>
      </c>
      <c r="V901" s="13"/>
      <c r="W901" s="17">
        <f>+Tabla3[[#This Row],[Cant. Programada]]*Tabla3[[#This Row],[Precio unit]]</f>
        <v>0</v>
      </c>
      <c r="X901" s="8"/>
      <c r="Y901" s="8"/>
      <c r="Z901" s="8" t="str">
        <f>+Tabla3[[#This Row],[Referencia]]&amp;Tabla3[[#This Row],[Desc detalle ext 1]]</f>
        <v xml:space="preserve">CB 110 DLX                                        NEGRO    </v>
      </c>
      <c r="AA901" s="128" t="e">
        <f>+VLOOKUP(Tabla3[[#This Row],[CODIGO2]],ESTANDAR!$B$3:$C$9,2,FALSE)</f>
        <v>#N/A</v>
      </c>
      <c r="AB901" s="128" t="str">
        <f>+MID(Tabla3[[#This Row],['# Viaje]],10,1)</f>
        <v/>
      </c>
    </row>
    <row r="902" spans="1:28" ht="15" hidden="1" customHeight="1">
      <c r="A902" s="173" t="s">
        <v>1646</v>
      </c>
      <c r="B902" s="174">
        <v>42948</v>
      </c>
      <c r="C902" s="173" t="s">
        <v>1231</v>
      </c>
      <c r="D902" s="173" t="s">
        <v>1487</v>
      </c>
      <c r="E902" s="173" t="s">
        <v>1479</v>
      </c>
      <c r="F902" s="173">
        <v>1</v>
      </c>
      <c r="G902" s="173" t="s">
        <v>156</v>
      </c>
      <c r="H902" s="173">
        <v>1</v>
      </c>
      <c r="I902" s="173" t="s">
        <v>1647</v>
      </c>
      <c r="J902" s="173" t="s">
        <v>1421</v>
      </c>
      <c r="K902" s="173" t="s">
        <v>16</v>
      </c>
      <c r="L902" s="173"/>
      <c r="M902" s="173" t="s">
        <v>157</v>
      </c>
      <c r="N902" s="173">
        <v>900593566</v>
      </c>
      <c r="O902" s="175">
        <v>11496063</v>
      </c>
      <c r="P902" s="7"/>
      <c r="Q902" s="16">
        <f>+IF(IFERROR(VLOOKUP(Tabla3[[#This Row],[Cliente factura]],Tabla4[[NIT]:[TOTAL CREDITO]],3,FALSE),0)="",0,IFERROR(VLOOKUP(Tabla3[[#This Row],[Cliente factura]],Tabla4[[NIT]:[TOTAL CREDITO]],3,FALSE),0))</f>
        <v>0</v>
      </c>
      <c r="R902" s="9">
        <f>+IFERROR(VLOOKUP(Tabla3[[#This Row],[Cliente factura]],Tabla4[[NIT]:[TOTAL CREDITO]],6,FALSE),0)</f>
        <v>17808541</v>
      </c>
      <c r="S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2" s="10" t="str">
        <f>VLOOKUP(Tabla3[[#This Row],[Razón social cliente factura]]&amp;Tabla3[[#This Row],[Desc. ciudad]],'Estandar de Rutas'!$C$1:$E$553,2,FALSE)</f>
        <v>9.1</v>
      </c>
      <c r="U902" s="130">
        <f>IFERROR(VLOOKUP(Tabla3[[#This Row],[Referencia]]&amp;Tabla3[[#This Row],[Desc detalle ext 1]],Tabla1[[Referencia-Color]:[Disponibilidad]],3,FALSE),0)</f>
        <v>0</v>
      </c>
      <c r="V902" s="13"/>
      <c r="W902" s="17">
        <f>+Tabla3[[#This Row],[Cant. Programada]]*Tabla3[[#This Row],[Precio unit]]</f>
        <v>0</v>
      </c>
      <c r="X902" s="8"/>
      <c r="Y902" s="8"/>
      <c r="Z902" s="8" t="str">
        <f>+Tabla3[[#This Row],[Referencia]]&amp;Tabla3[[#This Row],[Desc detalle ext 1]]</f>
        <v xml:space="preserve">*XR-250 TORNADO pt MD34                           NEGRO    </v>
      </c>
      <c r="AA902" s="128" t="e">
        <f>+VLOOKUP(Tabla3[[#This Row],[CODIGO2]],ESTANDAR!$B$3:$C$9,2,FALSE)</f>
        <v>#N/A</v>
      </c>
      <c r="AB902" s="128" t="str">
        <f>+MID(Tabla3[[#This Row],['# Viaje]],10,1)</f>
        <v/>
      </c>
    </row>
    <row r="903" spans="1:28" ht="15" hidden="1" customHeight="1">
      <c r="A903" s="173" t="s">
        <v>1646</v>
      </c>
      <c r="B903" s="174">
        <v>42948</v>
      </c>
      <c r="C903" s="173" t="s">
        <v>1231</v>
      </c>
      <c r="D903" s="173" t="s">
        <v>1487</v>
      </c>
      <c r="E903" s="173" t="s">
        <v>1479</v>
      </c>
      <c r="F903" s="173">
        <v>4</v>
      </c>
      <c r="G903" s="173" t="s">
        <v>156</v>
      </c>
      <c r="H903" s="173">
        <v>4</v>
      </c>
      <c r="I903" s="173" t="s">
        <v>1647</v>
      </c>
      <c r="J903" s="173" t="s">
        <v>27</v>
      </c>
      <c r="K903" s="173" t="s">
        <v>32</v>
      </c>
      <c r="L903" s="173"/>
      <c r="M903" s="173" t="s">
        <v>157</v>
      </c>
      <c r="N903" s="173">
        <v>900593566</v>
      </c>
      <c r="O903" s="175">
        <v>5789916</v>
      </c>
      <c r="P903" s="7"/>
      <c r="Q903" s="16">
        <f>+IF(IFERROR(VLOOKUP(Tabla3[[#This Row],[Cliente factura]],Tabla4[[NIT]:[TOTAL CREDITO]],3,FALSE),0)="",0,IFERROR(VLOOKUP(Tabla3[[#This Row],[Cliente factura]],Tabla4[[NIT]:[TOTAL CREDITO]],3,FALSE),0))</f>
        <v>0</v>
      </c>
      <c r="R903" s="9">
        <f>+IFERROR(VLOOKUP(Tabla3[[#This Row],[Cliente factura]],Tabla4[[NIT]:[TOTAL CREDITO]],6,FALSE),0)</f>
        <v>17808541</v>
      </c>
      <c r="S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3" s="10" t="str">
        <f>VLOOKUP(Tabla3[[#This Row],[Razón social cliente factura]]&amp;Tabla3[[#This Row],[Desc. ciudad]],'Estandar de Rutas'!$C$1:$E$553,2,FALSE)</f>
        <v>9.1</v>
      </c>
      <c r="U903" s="130">
        <f>IFERROR(VLOOKUP(Tabla3[[#This Row],[Referencia]]&amp;Tabla3[[#This Row],[Desc detalle ext 1]],Tabla1[[Referencia-Color]:[Disponibilidad]],3,FALSE),0)</f>
        <v>7</v>
      </c>
      <c r="V903" s="13"/>
      <c r="W903" s="17">
        <f>+Tabla3[[#This Row],[Cant. Programada]]*Tabla3[[#This Row],[Precio unit]]</f>
        <v>0</v>
      </c>
      <c r="X903" s="8"/>
      <c r="Y903" s="8"/>
      <c r="Z903" s="8" t="str">
        <f>+Tabla3[[#This Row],[Referencia]]&amp;Tabla3[[#This Row],[Desc detalle ext 1]]</f>
        <v>*XR 150L                                          NEGRO ROJ</v>
      </c>
      <c r="AA903" s="128" t="e">
        <f>+VLOOKUP(Tabla3[[#This Row],[CODIGO2]],ESTANDAR!$B$3:$C$9,2,FALSE)</f>
        <v>#N/A</v>
      </c>
      <c r="AB903" s="128" t="str">
        <f>+MID(Tabla3[[#This Row],['# Viaje]],10,1)</f>
        <v/>
      </c>
    </row>
    <row r="904" spans="1:28" ht="15" hidden="1" customHeight="1">
      <c r="A904" s="173" t="s">
        <v>1646</v>
      </c>
      <c r="B904" s="174">
        <v>42948</v>
      </c>
      <c r="C904" s="173" t="s">
        <v>1231</v>
      </c>
      <c r="D904" s="173" t="s">
        <v>1487</v>
      </c>
      <c r="E904" s="173" t="s">
        <v>1479</v>
      </c>
      <c r="F904" s="173">
        <v>10</v>
      </c>
      <c r="G904" s="173" t="s">
        <v>156</v>
      </c>
      <c r="H904" s="173">
        <v>10</v>
      </c>
      <c r="I904" s="173" t="s">
        <v>1647</v>
      </c>
      <c r="J904" s="173" t="s">
        <v>27</v>
      </c>
      <c r="K904" s="173" t="s">
        <v>26</v>
      </c>
      <c r="L904" s="173"/>
      <c r="M904" s="173" t="s">
        <v>157</v>
      </c>
      <c r="N904" s="173">
        <v>900593566</v>
      </c>
      <c r="O904" s="175">
        <v>5789916</v>
      </c>
      <c r="P904" s="7"/>
      <c r="Q904" s="16">
        <f>+IF(IFERROR(VLOOKUP(Tabla3[[#This Row],[Cliente factura]],Tabla4[[NIT]:[TOTAL CREDITO]],3,FALSE),0)="",0,IFERROR(VLOOKUP(Tabla3[[#This Row],[Cliente factura]],Tabla4[[NIT]:[TOTAL CREDITO]],3,FALSE),0))</f>
        <v>0</v>
      </c>
      <c r="R904" s="9">
        <f>+IFERROR(VLOOKUP(Tabla3[[#This Row],[Cliente factura]],Tabla4[[NIT]:[TOTAL CREDITO]],6,FALSE),0)</f>
        <v>17808541</v>
      </c>
      <c r="S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4" s="10" t="str">
        <f>VLOOKUP(Tabla3[[#This Row],[Razón social cliente factura]]&amp;Tabla3[[#This Row],[Desc. ciudad]],'Estandar de Rutas'!$C$1:$E$553,2,FALSE)</f>
        <v>9.1</v>
      </c>
      <c r="U904" s="130">
        <f>IFERROR(VLOOKUP(Tabla3[[#This Row],[Referencia]]&amp;Tabla3[[#This Row],[Desc detalle ext 1]],Tabla1[[Referencia-Color]:[Disponibilidad]],3,FALSE),0)</f>
        <v>59</v>
      </c>
      <c r="V904" s="13"/>
      <c r="W904" s="17">
        <f>+Tabla3[[#This Row],[Cant. Programada]]*Tabla3[[#This Row],[Precio unit]]</f>
        <v>0</v>
      </c>
      <c r="X904" s="8"/>
      <c r="Y904" s="8"/>
      <c r="Z904" s="8" t="str">
        <f>+Tabla3[[#This Row],[Referencia]]&amp;Tabla3[[#This Row],[Desc detalle ext 1]]</f>
        <v>*XR 150L                                          NEGRO BLA</v>
      </c>
      <c r="AA904" s="128" t="e">
        <f>+VLOOKUP(Tabla3[[#This Row],[CODIGO2]],ESTANDAR!$B$3:$C$9,2,FALSE)</f>
        <v>#N/A</v>
      </c>
      <c r="AB904" s="128" t="str">
        <f>+MID(Tabla3[[#This Row],['# Viaje]],10,1)</f>
        <v/>
      </c>
    </row>
    <row r="905" spans="1:28" ht="15" hidden="1" customHeight="1">
      <c r="A905" s="173" t="s">
        <v>1646</v>
      </c>
      <c r="B905" s="174">
        <v>42948</v>
      </c>
      <c r="C905" s="173" t="s">
        <v>1231</v>
      </c>
      <c r="D905" s="173" t="s">
        <v>1487</v>
      </c>
      <c r="E905" s="173" t="s">
        <v>1479</v>
      </c>
      <c r="F905" s="173">
        <v>5</v>
      </c>
      <c r="G905" s="173" t="s">
        <v>156</v>
      </c>
      <c r="H905" s="173">
        <v>5</v>
      </c>
      <c r="I905" s="173" t="s">
        <v>1647</v>
      </c>
      <c r="J905" s="173" t="s">
        <v>27</v>
      </c>
      <c r="K905" s="173" t="s">
        <v>16</v>
      </c>
      <c r="L905" s="173"/>
      <c r="M905" s="173" t="s">
        <v>157</v>
      </c>
      <c r="N905" s="173">
        <v>900593566</v>
      </c>
      <c r="O905" s="175">
        <v>5789916</v>
      </c>
      <c r="P905" s="7"/>
      <c r="Q905" s="16">
        <f>+IF(IFERROR(VLOOKUP(Tabla3[[#This Row],[Cliente factura]],Tabla4[[NIT]:[TOTAL CREDITO]],3,FALSE),0)="",0,IFERROR(VLOOKUP(Tabla3[[#This Row],[Cliente factura]],Tabla4[[NIT]:[TOTAL CREDITO]],3,FALSE),0))</f>
        <v>0</v>
      </c>
      <c r="R905" s="9">
        <f>+IFERROR(VLOOKUP(Tabla3[[#This Row],[Cliente factura]],Tabla4[[NIT]:[TOTAL CREDITO]],6,FALSE),0)</f>
        <v>17808541</v>
      </c>
      <c r="S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5" s="10" t="str">
        <f>VLOOKUP(Tabla3[[#This Row],[Razón social cliente factura]]&amp;Tabla3[[#This Row],[Desc. ciudad]],'Estandar de Rutas'!$C$1:$E$553,2,FALSE)</f>
        <v>9.1</v>
      </c>
      <c r="U905" s="130">
        <f>IFERROR(VLOOKUP(Tabla3[[#This Row],[Referencia]]&amp;Tabla3[[#This Row],[Desc detalle ext 1]],Tabla1[[Referencia-Color]:[Disponibilidad]],3,FALSE),0)</f>
        <v>3</v>
      </c>
      <c r="V905" s="13"/>
      <c r="W905" s="17">
        <f>+Tabla3[[#This Row],[Cant. Programada]]*Tabla3[[#This Row],[Precio unit]]</f>
        <v>0</v>
      </c>
      <c r="X905" s="8"/>
      <c r="Y905" s="8"/>
      <c r="Z905" s="8" t="str">
        <f>+Tabla3[[#This Row],[Referencia]]&amp;Tabla3[[#This Row],[Desc detalle ext 1]]</f>
        <v xml:space="preserve">*XR 150L                                          NEGRO    </v>
      </c>
      <c r="AA905" s="128" t="e">
        <f>+VLOOKUP(Tabla3[[#This Row],[CODIGO2]],ESTANDAR!$B$3:$C$9,2,FALSE)</f>
        <v>#N/A</v>
      </c>
      <c r="AB905" s="128" t="str">
        <f>+MID(Tabla3[[#This Row],['# Viaje]],10,1)</f>
        <v/>
      </c>
    </row>
    <row r="906" spans="1:28" ht="15" hidden="1" customHeight="1">
      <c r="A906" s="173" t="s">
        <v>1646</v>
      </c>
      <c r="B906" s="174">
        <v>42948</v>
      </c>
      <c r="C906" s="173" t="s">
        <v>1231</v>
      </c>
      <c r="D906" s="173" t="s">
        <v>1487</v>
      </c>
      <c r="E906" s="173" t="s">
        <v>1479</v>
      </c>
      <c r="F906" s="173">
        <v>2</v>
      </c>
      <c r="G906" s="173" t="s">
        <v>156</v>
      </c>
      <c r="H906" s="173">
        <v>2</v>
      </c>
      <c r="I906" s="173" t="s">
        <v>1647</v>
      </c>
      <c r="J906" s="173" t="s">
        <v>1451</v>
      </c>
      <c r="K906" s="173" t="s">
        <v>16</v>
      </c>
      <c r="L906" s="173"/>
      <c r="M906" s="173" t="s">
        <v>157</v>
      </c>
      <c r="N906" s="173">
        <v>900593566</v>
      </c>
      <c r="O906" s="175">
        <v>3696639</v>
      </c>
      <c r="P906" s="7"/>
      <c r="Q906" s="16">
        <f>+IF(IFERROR(VLOOKUP(Tabla3[[#This Row],[Cliente factura]],Tabla4[[NIT]:[TOTAL CREDITO]],3,FALSE),0)="",0,IFERROR(VLOOKUP(Tabla3[[#This Row],[Cliente factura]],Tabla4[[NIT]:[TOTAL CREDITO]],3,FALSE),0))</f>
        <v>0</v>
      </c>
      <c r="R906" s="9">
        <f>+IFERROR(VLOOKUP(Tabla3[[#This Row],[Cliente factura]],Tabla4[[NIT]:[TOTAL CREDITO]],6,FALSE),0)</f>
        <v>17808541</v>
      </c>
      <c r="S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6" s="10" t="str">
        <f>VLOOKUP(Tabla3[[#This Row],[Razón social cliente factura]]&amp;Tabla3[[#This Row],[Desc. ciudad]],'Estandar de Rutas'!$C$1:$E$553,2,FALSE)</f>
        <v>9.1</v>
      </c>
      <c r="U906" s="130">
        <f>IFERROR(VLOOKUP(Tabla3[[#This Row],[Referencia]]&amp;Tabla3[[#This Row],[Desc detalle ext 1]],Tabla1[[Referencia-Color]:[Disponibilidad]],3,FALSE),0)</f>
        <v>3</v>
      </c>
      <c r="V906" s="13"/>
      <c r="W906" s="17">
        <f>+Tabla3[[#This Row],[Cant. Programada]]*Tabla3[[#This Row],[Precio unit]]</f>
        <v>0</v>
      </c>
      <c r="X906" s="8"/>
      <c r="Y906" s="8"/>
      <c r="Z906" s="8" t="str">
        <f>+Tabla3[[#This Row],[Referencia]]&amp;Tabla3[[#This Row],[Desc detalle ext 1]]</f>
        <v xml:space="preserve">CB 110 DLX                                        NEGRO    </v>
      </c>
      <c r="AA906" s="128" t="e">
        <f>+VLOOKUP(Tabla3[[#This Row],[CODIGO2]],ESTANDAR!$B$3:$C$9,2,FALSE)</f>
        <v>#N/A</v>
      </c>
      <c r="AB906" s="128" t="str">
        <f>+MID(Tabla3[[#This Row],['# Viaje]],10,1)</f>
        <v/>
      </c>
    </row>
    <row r="907" spans="1:28" ht="15" hidden="1" customHeight="1">
      <c r="A907" s="173" t="s">
        <v>1646</v>
      </c>
      <c r="B907" s="174">
        <v>42948</v>
      </c>
      <c r="C907" s="173" t="s">
        <v>1231</v>
      </c>
      <c r="D907" s="173" t="s">
        <v>1487</v>
      </c>
      <c r="E907" s="173" t="s">
        <v>1479</v>
      </c>
      <c r="F907" s="173">
        <v>2</v>
      </c>
      <c r="G907" s="173" t="s">
        <v>156</v>
      </c>
      <c r="H907" s="173">
        <v>2</v>
      </c>
      <c r="I907" s="173" t="s">
        <v>1647</v>
      </c>
      <c r="J907" s="173" t="s">
        <v>1451</v>
      </c>
      <c r="K907" s="173" t="s">
        <v>1449</v>
      </c>
      <c r="L907" s="173"/>
      <c r="M907" s="173" t="s">
        <v>157</v>
      </c>
      <c r="N907" s="173">
        <v>900593566</v>
      </c>
      <c r="O907" s="175">
        <v>3696639</v>
      </c>
      <c r="P907" s="7"/>
      <c r="Q907" s="16">
        <f>+IF(IFERROR(VLOOKUP(Tabla3[[#This Row],[Cliente factura]],Tabla4[[NIT]:[TOTAL CREDITO]],3,FALSE),0)="",0,IFERROR(VLOOKUP(Tabla3[[#This Row],[Cliente factura]],Tabla4[[NIT]:[TOTAL CREDITO]],3,FALSE),0))</f>
        <v>0</v>
      </c>
      <c r="R907" s="9">
        <f>+IFERROR(VLOOKUP(Tabla3[[#This Row],[Cliente factura]],Tabla4[[NIT]:[TOTAL CREDITO]],6,FALSE),0)</f>
        <v>17808541</v>
      </c>
      <c r="S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7" s="10" t="str">
        <f>VLOOKUP(Tabla3[[#This Row],[Razón social cliente factura]]&amp;Tabla3[[#This Row],[Desc. ciudad]],'Estandar de Rutas'!$C$1:$E$553,2,FALSE)</f>
        <v>9.1</v>
      </c>
      <c r="U907" s="130">
        <f>IFERROR(VLOOKUP(Tabla3[[#This Row],[Referencia]]&amp;Tabla3[[#This Row],[Desc detalle ext 1]],Tabla1[[Referencia-Color]:[Disponibilidad]],3,FALSE),0)</f>
        <v>24</v>
      </c>
      <c r="V907" s="13"/>
      <c r="W907" s="17">
        <f>+Tabla3[[#This Row],[Cant. Programada]]*Tabla3[[#This Row],[Precio unit]]</f>
        <v>0</v>
      </c>
      <c r="X907" s="129"/>
      <c r="Y907" s="129"/>
      <c r="Z907" s="8" t="str">
        <f>+Tabla3[[#This Row],[Referencia]]&amp;Tabla3[[#This Row],[Desc detalle ext 1]]</f>
        <v xml:space="preserve">CB 110 DLX                                        GRIS     </v>
      </c>
      <c r="AA907" s="128" t="e">
        <f>+VLOOKUP(Tabla3[[#This Row],[CODIGO2]],ESTANDAR!$B$3:$C$9,2,FALSE)</f>
        <v>#N/A</v>
      </c>
      <c r="AB907" s="128" t="str">
        <f>+MID(Tabla3[[#This Row],['# Viaje]],10,1)</f>
        <v/>
      </c>
    </row>
    <row r="908" spans="1:28" ht="15" hidden="1" customHeight="1">
      <c r="A908" s="173" t="s">
        <v>1648</v>
      </c>
      <c r="B908" s="174">
        <v>42948</v>
      </c>
      <c r="C908" s="173" t="s">
        <v>1477</v>
      </c>
      <c r="D908" s="173" t="s">
        <v>1487</v>
      </c>
      <c r="E908" s="173" t="s">
        <v>1479</v>
      </c>
      <c r="F908" s="173">
        <v>1</v>
      </c>
      <c r="G908" s="173" t="s">
        <v>244</v>
      </c>
      <c r="H908" s="173">
        <v>1</v>
      </c>
      <c r="I908" s="173" t="s">
        <v>1649</v>
      </c>
      <c r="J908" s="173" t="s">
        <v>27</v>
      </c>
      <c r="K908" s="173" t="s">
        <v>16</v>
      </c>
      <c r="L908" s="173"/>
      <c r="M908" s="173" t="s">
        <v>248</v>
      </c>
      <c r="N908" s="173">
        <v>900502698</v>
      </c>
      <c r="O908" s="175">
        <v>5789916</v>
      </c>
      <c r="P908" s="7"/>
      <c r="Q908" s="16">
        <f>+IF(IFERROR(VLOOKUP(Tabla3[[#This Row],[Cliente factura]],Tabla4[[NIT]:[TOTAL CREDITO]],3,FALSE),0)="",0,IFERROR(VLOOKUP(Tabla3[[#This Row],[Cliente factura]],Tabla4[[NIT]:[TOTAL CREDITO]],3,FALSE),0))</f>
        <v>260065</v>
      </c>
      <c r="R908" s="9">
        <f>+IFERROR(VLOOKUP(Tabla3[[#This Row],[Cliente factura]],Tabla4[[NIT]:[TOTAL CREDITO]],6,FALSE),0)</f>
        <v>0</v>
      </c>
      <c r="S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8" s="10" t="str">
        <f>VLOOKUP(Tabla3[[#This Row],[Razón social cliente factura]]&amp;Tabla3[[#This Row],[Desc. ciudad]],'Estandar de Rutas'!$C$1:$E$553,2,FALSE)</f>
        <v>9.2.A</v>
      </c>
      <c r="U908" s="130">
        <f>IFERROR(VLOOKUP(Tabla3[[#This Row],[Referencia]]&amp;Tabla3[[#This Row],[Desc detalle ext 1]],Tabla1[[Referencia-Color]:[Disponibilidad]],3,FALSE),0)</f>
        <v>3</v>
      </c>
      <c r="V908" s="13"/>
      <c r="W908" s="17">
        <f>+Tabla3[[#This Row],[Cant. Programada]]*Tabla3[[#This Row],[Precio unit]]</f>
        <v>0</v>
      </c>
      <c r="X908" s="8"/>
      <c r="Y908" s="8"/>
      <c r="Z908" s="8" t="str">
        <f>+Tabla3[[#This Row],[Referencia]]&amp;Tabla3[[#This Row],[Desc detalle ext 1]]</f>
        <v xml:space="preserve">*XR 150L                                          NEGRO    </v>
      </c>
      <c r="AA908" s="128" t="e">
        <f>+VLOOKUP(Tabla3[[#This Row],[CODIGO2]],ESTANDAR!$B$3:$C$9,2,FALSE)</f>
        <v>#N/A</v>
      </c>
      <c r="AB908" s="128" t="str">
        <f>+MID(Tabla3[[#This Row],['# Viaje]],10,1)</f>
        <v/>
      </c>
    </row>
    <row r="909" spans="1:28" ht="15" hidden="1" customHeight="1">
      <c r="A909" s="173" t="s">
        <v>1648</v>
      </c>
      <c r="B909" s="174">
        <v>42948</v>
      </c>
      <c r="C909" s="173" t="s">
        <v>1477</v>
      </c>
      <c r="D909" s="173" t="s">
        <v>1487</v>
      </c>
      <c r="E909" s="173" t="s">
        <v>1479</v>
      </c>
      <c r="F909" s="173">
        <v>1</v>
      </c>
      <c r="G909" s="173" t="s">
        <v>244</v>
      </c>
      <c r="H909" s="173">
        <v>1</v>
      </c>
      <c r="I909" s="173" t="s">
        <v>1649</v>
      </c>
      <c r="J909" s="173" t="s">
        <v>1433</v>
      </c>
      <c r="K909" s="173" t="s">
        <v>1431</v>
      </c>
      <c r="L909" s="173"/>
      <c r="M909" s="173" t="s">
        <v>248</v>
      </c>
      <c r="N909" s="173">
        <v>900502698</v>
      </c>
      <c r="O909" s="175">
        <v>3521008</v>
      </c>
      <c r="P909" s="7"/>
      <c r="Q909" s="16">
        <f>+IF(IFERROR(VLOOKUP(Tabla3[[#This Row],[Cliente factura]],Tabla4[[NIT]:[TOTAL CREDITO]],3,FALSE),0)="",0,IFERROR(VLOOKUP(Tabla3[[#This Row],[Cliente factura]],Tabla4[[NIT]:[TOTAL CREDITO]],3,FALSE),0))</f>
        <v>260065</v>
      </c>
      <c r="R909" s="9">
        <f>+IFERROR(VLOOKUP(Tabla3[[#This Row],[Cliente factura]],Tabla4[[NIT]:[TOTAL CREDITO]],6,FALSE),0)</f>
        <v>0</v>
      </c>
      <c r="S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9" s="10" t="str">
        <f>VLOOKUP(Tabla3[[#This Row],[Razón social cliente factura]]&amp;Tabla3[[#This Row],[Desc. ciudad]],'Estandar de Rutas'!$C$1:$E$553,2,FALSE)</f>
        <v>9.2.A</v>
      </c>
      <c r="U909" s="130">
        <f>IFERROR(VLOOKUP(Tabla3[[#This Row],[Referencia]]&amp;Tabla3[[#This Row],[Desc detalle ext 1]],Tabla1[[Referencia-Color]:[Disponibilidad]],3,FALSE),0)</f>
        <v>0</v>
      </c>
      <c r="V909" s="13"/>
      <c r="W909" s="17">
        <f>+Tabla3[[#This Row],[Cant. Programada]]*Tabla3[[#This Row],[Precio unit]]</f>
        <v>0</v>
      </c>
      <c r="X909" s="8"/>
      <c r="Y909" s="8"/>
      <c r="Z909" s="8" t="str">
        <f>+Tabla3[[#This Row],[Referencia]]&amp;Tabla3[[#This Row],[Desc detalle ext 1]]</f>
        <v xml:space="preserve">DIO  110                                          ROJO     </v>
      </c>
      <c r="AA909" s="128" t="e">
        <f>+VLOOKUP(Tabla3[[#This Row],[CODIGO2]],ESTANDAR!$B$3:$C$9,2,FALSE)</f>
        <v>#N/A</v>
      </c>
      <c r="AB909" s="128" t="str">
        <f>+MID(Tabla3[[#This Row],['# Viaje]],10,1)</f>
        <v/>
      </c>
    </row>
    <row r="910" spans="1:28" ht="15" hidden="1" customHeight="1">
      <c r="A910" s="173" t="s">
        <v>1648</v>
      </c>
      <c r="B910" s="174">
        <v>42948</v>
      </c>
      <c r="C910" s="173" t="s">
        <v>1477</v>
      </c>
      <c r="D910" s="173" t="s">
        <v>1487</v>
      </c>
      <c r="E910" s="173" t="s">
        <v>1479</v>
      </c>
      <c r="F910" s="173">
        <v>1</v>
      </c>
      <c r="G910" s="173" t="s">
        <v>244</v>
      </c>
      <c r="H910" s="173">
        <v>1</v>
      </c>
      <c r="I910" s="173" t="s">
        <v>1649</v>
      </c>
      <c r="J910" s="173" t="s">
        <v>1430</v>
      </c>
      <c r="K910" s="173" t="s">
        <v>1431</v>
      </c>
      <c r="L910" s="173"/>
      <c r="M910" s="173" t="s">
        <v>248</v>
      </c>
      <c r="N910" s="173">
        <v>900502698</v>
      </c>
      <c r="O910" s="175">
        <v>3941176</v>
      </c>
      <c r="P910" s="7"/>
      <c r="Q910" s="16">
        <f>+IF(IFERROR(VLOOKUP(Tabla3[[#This Row],[Cliente factura]],Tabla4[[NIT]:[TOTAL CREDITO]],3,FALSE),0)="",0,IFERROR(VLOOKUP(Tabla3[[#This Row],[Cliente factura]],Tabla4[[NIT]:[TOTAL CREDITO]],3,FALSE),0))</f>
        <v>260065</v>
      </c>
      <c r="R910" s="9">
        <f>+IFERROR(VLOOKUP(Tabla3[[#This Row],[Cliente factura]],Tabla4[[NIT]:[TOTAL CREDITO]],6,FALSE),0)</f>
        <v>0</v>
      </c>
      <c r="S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0" s="10" t="str">
        <f>VLOOKUP(Tabla3[[#This Row],[Razón social cliente factura]]&amp;Tabla3[[#This Row],[Desc. ciudad]],'Estandar de Rutas'!$C$1:$E$553,2,FALSE)</f>
        <v>9.2.A</v>
      </c>
      <c r="U910" s="130">
        <f>IFERROR(VLOOKUP(Tabla3[[#This Row],[Referencia]]&amp;Tabla3[[#This Row],[Desc detalle ext 1]],Tabla1[[Referencia-Color]:[Disponibilidad]],3,FALSE),0)</f>
        <v>0</v>
      </c>
      <c r="V910" s="13"/>
      <c r="W910" s="17">
        <f>+Tabla3[[#This Row],[Cant. Programada]]*Tabla3[[#This Row],[Precio unit]]</f>
        <v>0</v>
      </c>
      <c r="X910" s="129"/>
      <c r="Y910" s="129"/>
      <c r="Z910" s="8" t="str">
        <f>+Tabla3[[#This Row],[Referencia]]&amp;Tabla3[[#This Row],[Desc detalle ext 1]]</f>
        <v xml:space="preserve">WAVE 110S                                         ROJO     </v>
      </c>
      <c r="AA910" s="128" t="e">
        <f>+VLOOKUP(Tabla3[[#This Row],[CODIGO2]],ESTANDAR!$B$3:$C$9,2,FALSE)</f>
        <v>#N/A</v>
      </c>
      <c r="AB910" s="128" t="str">
        <f>+MID(Tabla3[[#This Row],['# Viaje]],10,1)</f>
        <v/>
      </c>
    </row>
    <row r="911" spans="1:28" ht="15" hidden="1" customHeight="1">
      <c r="A911" s="173" t="s">
        <v>1648</v>
      </c>
      <c r="B911" s="174">
        <v>42948</v>
      </c>
      <c r="C911" s="173" t="s">
        <v>1477</v>
      </c>
      <c r="D911" s="173" t="s">
        <v>1487</v>
      </c>
      <c r="E911" s="173" t="s">
        <v>1479</v>
      </c>
      <c r="F911" s="173">
        <v>1</v>
      </c>
      <c r="G911" s="173" t="s">
        <v>244</v>
      </c>
      <c r="H911" s="173">
        <v>1</v>
      </c>
      <c r="I911" s="173" t="s">
        <v>1649</v>
      </c>
      <c r="J911" s="173" t="s">
        <v>1451</v>
      </c>
      <c r="K911" s="173" t="s">
        <v>1431</v>
      </c>
      <c r="L911" s="173"/>
      <c r="M911" s="173" t="s">
        <v>248</v>
      </c>
      <c r="N911" s="173">
        <v>900502698</v>
      </c>
      <c r="O911" s="175">
        <v>3696639</v>
      </c>
      <c r="P911" s="7"/>
      <c r="Q911" s="16">
        <f>+IF(IFERROR(VLOOKUP(Tabla3[[#This Row],[Cliente factura]],Tabla4[[NIT]:[TOTAL CREDITO]],3,FALSE),0)="",0,IFERROR(VLOOKUP(Tabla3[[#This Row],[Cliente factura]],Tabla4[[NIT]:[TOTAL CREDITO]],3,FALSE),0))</f>
        <v>260065</v>
      </c>
      <c r="R911" s="9">
        <f>+IFERROR(VLOOKUP(Tabla3[[#This Row],[Cliente factura]],Tabla4[[NIT]:[TOTAL CREDITO]],6,FALSE),0)</f>
        <v>0</v>
      </c>
      <c r="S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1" s="10" t="str">
        <f>VLOOKUP(Tabla3[[#This Row],[Razón social cliente factura]]&amp;Tabla3[[#This Row],[Desc. ciudad]],'Estandar de Rutas'!$C$1:$E$553,2,FALSE)</f>
        <v>9.2.A</v>
      </c>
      <c r="U911" s="130">
        <f>IFERROR(VLOOKUP(Tabla3[[#This Row],[Referencia]]&amp;Tabla3[[#This Row],[Desc detalle ext 1]],Tabla1[[Referencia-Color]:[Disponibilidad]],3,FALSE),0)</f>
        <v>21</v>
      </c>
      <c r="V911" s="13"/>
      <c r="W911" s="17">
        <f>+Tabla3[[#This Row],[Cant. Programada]]*Tabla3[[#This Row],[Precio unit]]</f>
        <v>0</v>
      </c>
      <c r="X911" s="129"/>
      <c r="Y911" s="129"/>
      <c r="Z911" s="8" t="str">
        <f>+Tabla3[[#This Row],[Referencia]]&amp;Tabla3[[#This Row],[Desc detalle ext 1]]</f>
        <v xml:space="preserve">CB 110 DLX                                        ROJO     </v>
      </c>
      <c r="AA911" s="128" t="e">
        <f>+VLOOKUP(Tabla3[[#This Row],[CODIGO2]],ESTANDAR!$B$3:$C$9,2,FALSE)</f>
        <v>#N/A</v>
      </c>
      <c r="AB911" s="128" t="str">
        <f>+MID(Tabla3[[#This Row],['# Viaje]],10,1)</f>
        <v/>
      </c>
    </row>
    <row r="912" spans="1:28" ht="15" hidden="1" customHeight="1">
      <c r="A912" s="173" t="s">
        <v>1648</v>
      </c>
      <c r="B912" s="174">
        <v>42948</v>
      </c>
      <c r="C912" s="173" t="s">
        <v>1477</v>
      </c>
      <c r="D912" s="173" t="s">
        <v>1487</v>
      </c>
      <c r="E912" s="173" t="s">
        <v>1479</v>
      </c>
      <c r="F912" s="173">
        <v>1</v>
      </c>
      <c r="G912" s="173" t="s">
        <v>244</v>
      </c>
      <c r="H912" s="173">
        <v>1</v>
      </c>
      <c r="I912" s="173" t="s">
        <v>1649</v>
      </c>
      <c r="J912" s="173" t="s">
        <v>1451</v>
      </c>
      <c r="K912" s="173" t="s">
        <v>16</v>
      </c>
      <c r="L912" s="173"/>
      <c r="M912" s="173" t="s">
        <v>248</v>
      </c>
      <c r="N912" s="173">
        <v>900502698</v>
      </c>
      <c r="O912" s="175">
        <v>3696639</v>
      </c>
      <c r="P912" s="7"/>
      <c r="Q912" s="16">
        <f>+IF(IFERROR(VLOOKUP(Tabla3[[#This Row],[Cliente factura]],Tabla4[[NIT]:[TOTAL CREDITO]],3,FALSE),0)="",0,IFERROR(VLOOKUP(Tabla3[[#This Row],[Cliente factura]],Tabla4[[NIT]:[TOTAL CREDITO]],3,FALSE),0))</f>
        <v>260065</v>
      </c>
      <c r="R912" s="9">
        <f>+IFERROR(VLOOKUP(Tabla3[[#This Row],[Cliente factura]],Tabla4[[NIT]:[TOTAL CREDITO]],6,FALSE),0)</f>
        <v>0</v>
      </c>
      <c r="S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2" s="10" t="str">
        <f>VLOOKUP(Tabla3[[#This Row],[Razón social cliente factura]]&amp;Tabla3[[#This Row],[Desc. ciudad]],'Estandar de Rutas'!$C$1:$E$553,2,FALSE)</f>
        <v>9.2.A</v>
      </c>
      <c r="U912" s="130">
        <f>IFERROR(VLOOKUP(Tabla3[[#This Row],[Referencia]]&amp;Tabla3[[#This Row],[Desc detalle ext 1]],Tabla1[[Referencia-Color]:[Disponibilidad]],3,FALSE),0)</f>
        <v>3</v>
      </c>
      <c r="V912" s="13"/>
      <c r="W912" s="17">
        <f>+Tabla3[[#This Row],[Cant. Programada]]*Tabla3[[#This Row],[Precio unit]]</f>
        <v>0</v>
      </c>
      <c r="X912" s="8"/>
      <c r="Y912" s="8"/>
      <c r="Z912" s="8" t="str">
        <f>+Tabla3[[#This Row],[Referencia]]&amp;Tabla3[[#This Row],[Desc detalle ext 1]]</f>
        <v xml:space="preserve">CB 110 DLX                                        NEGRO    </v>
      </c>
      <c r="AA912" s="128" t="e">
        <f>+VLOOKUP(Tabla3[[#This Row],[CODIGO2]],ESTANDAR!$B$3:$C$9,2,FALSE)</f>
        <v>#N/A</v>
      </c>
      <c r="AB912" s="128" t="str">
        <f>+MID(Tabla3[[#This Row],['# Viaje]],10,1)</f>
        <v/>
      </c>
    </row>
    <row r="913" spans="1:28" ht="15" hidden="1" customHeight="1">
      <c r="A913" s="173" t="s">
        <v>1650</v>
      </c>
      <c r="B913" s="174">
        <v>42948</v>
      </c>
      <c r="C913" s="173" t="s">
        <v>1231</v>
      </c>
      <c r="D913" s="173" t="s">
        <v>1487</v>
      </c>
      <c r="E913" s="173" t="s">
        <v>1479</v>
      </c>
      <c r="F913" s="173">
        <v>1</v>
      </c>
      <c r="G913" s="173" t="s">
        <v>244</v>
      </c>
      <c r="H913" s="173">
        <v>1</v>
      </c>
      <c r="I913" s="173" t="s">
        <v>1651</v>
      </c>
      <c r="J913" s="173" t="s">
        <v>27</v>
      </c>
      <c r="K913" s="173" t="s">
        <v>26</v>
      </c>
      <c r="L913" s="173"/>
      <c r="M913" s="173" t="s">
        <v>245</v>
      </c>
      <c r="N913" s="173">
        <v>900502698</v>
      </c>
      <c r="O913" s="175">
        <v>5789916</v>
      </c>
      <c r="P913" s="7"/>
      <c r="Q913" s="16">
        <f>+IF(IFERROR(VLOOKUP(Tabla3[[#This Row],[Cliente factura]],Tabla4[[NIT]:[TOTAL CREDITO]],3,FALSE),0)="",0,IFERROR(VLOOKUP(Tabla3[[#This Row],[Cliente factura]],Tabla4[[NIT]:[TOTAL CREDITO]],3,FALSE),0))</f>
        <v>260065</v>
      </c>
      <c r="R913" s="9">
        <f>+IFERROR(VLOOKUP(Tabla3[[#This Row],[Cliente factura]],Tabla4[[NIT]:[TOTAL CREDITO]],6,FALSE),0)</f>
        <v>0</v>
      </c>
      <c r="S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3" s="10" t="str">
        <f>VLOOKUP(Tabla3[[#This Row],[Razón social cliente factura]]&amp;Tabla3[[#This Row],[Desc. ciudad]],'Estandar de Rutas'!$C$1:$E$553,2,FALSE)</f>
        <v>9.2</v>
      </c>
      <c r="U913" s="130">
        <f>IFERROR(VLOOKUP(Tabla3[[#This Row],[Referencia]]&amp;Tabla3[[#This Row],[Desc detalle ext 1]],Tabla1[[Referencia-Color]:[Disponibilidad]],3,FALSE),0)</f>
        <v>59</v>
      </c>
      <c r="V913" s="13"/>
      <c r="W913" s="17">
        <f>+Tabla3[[#This Row],[Cant. Programada]]*Tabla3[[#This Row],[Precio unit]]</f>
        <v>0</v>
      </c>
      <c r="X913" s="8"/>
      <c r="Y913" s="8"/>
      <c r="Z913" s="8" t="str">
        <f>+Tabla3[[#This Row],[Referencia]]&amp;Tabla3[[#This Row],[Desc detalle ext 1]]</f>
        <v>*XR 150L                                          NEGRO BLA</v>
      </c>
      <c r="AA913" s="128" t="e">
        <f>+VLOOKUP(Tabla3[[#This Row],[CODIGO2]],ESTANDAR!$B$3:$C$9,2,FALSE)</f>
        <v>#N/A</v>
      </c>
      <c r="AB913" s="128" t="str">
        <f>+MID(Tabla3[[#This Row],['# Viaje]],10,1)</f>
        <v/>
      </c>
    </row>
    <row r="914" spans="1:28" ht="15" hidden="1" customHeight="1">
      <c r="A914" s="173" t="s">
        <v>1650</v>
      </c>
      <c r="B914" s="174">
        <v>42948</v>
      </c>
      <c r="C914" s="173" t="s">
        <v>1231</v>
      </c>
      <c r="D914" s="173" t="s">
        <v>1487</v>
      </c>
      <c r="E914" s="173" t="s">
        <v>1479</v>
      </c>
      <c r="F914" s="173">
        <v>1</v>
      </c>
      <c r="G914" s="173" t="s">
        <v>244</v>
      </c>
      <c r="H914" s="173">
        <v>1</v>
      </c>
      <c r="I914" s="173" t="s">
        <v>1651</v>
      </c>
      <c r="J914" s="173" t="s">
        <v>1428</v>
      </c>
      <c r="K914" s="173" t="s">
        <v>1461</v>
      </c>
      <c r="L914" s="173"/>
      <c r="M914" s="173" t="s">
        <v>245</v>
      </c>
      <c r="N914" s="173">
        <v>900502698</v>
      </c>
      <c r="O914" s="175">
        <v>3067227</v>
      </c>
      <c r="P914" s="7"/>
      <c r="Q914" s="16">
        <f>+IF(IFERROR(VLOOKUP(Tabla3[[#This Row],[Cliente factura]],Tabla4[[NIT]:[TOTAL CREDITO]],3,FALSE),0)="",0,IFERROR(VLOOKUP(Tabla3[[#This Row],[Cliente factura]],Tabla4[[NIT]:[TOTAL CREDITO]],3,FALSE),0))</f>
        <v>260065</v>
      </c>
      <c r="R914" s="9">
        <f>+IFERROR(VLOOKUP(Tabla3[[#This Row],[Cliente factura]],Tabla4[[NIT]:[TOTAL CREDITO]],6,FALSE),0)</f>
        <v>0</v>
      </c>
      <c r="S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4" s="10" t="str">
        <f>VLOOKUP(Tabla3[[#This Row],[Razón social cliente factura]]&amp;Tabla3[[#This Row],[Desc. ciudad]],'Estandar de Rutas'!$C$1:$E$553,2,FALSE)</f>
        <v>9.2</v>
      </c>
      <c r="U914" s="130">
        <f>IFERROR(VLOOKUP(Tabla3[[#This Row],[Referencia]]&amp;Tabla3[[#This Row],[Desc detalle ext 1]],Tabla1[[Referencia-Color]:[Disponibilidad]],3,FALSE),0)</f>
        <v>0</v>
      </c>
      <c r="V914" s="13"/>
      <c r="W914" s="17">
        <f>+Tabla3[[#This Row],[Cant. Programada]]*Tabla3[[#This Row],[Precio unit]]</f>
        <v>0</v>
      </c>
      <c r="X914" s="8"/>
      <c r="Y914" s="8"/>
      <c r="Z914" s="8" t="str">
        <f>+Tabla3[[#This Row],[Referencia]]&amp;Tabla3[[#This Row],[Desc detalle ext 1]]</f>
        <v>DREAM  NEO                                        ROJO ALFA</v>
      </c>
      <c r="AA914" s="128" t="e">
        <f>+VLOOKUP(Tabla3[[#This Row],[CODIGO2]],ESTANDAR!$B$3:$C$9,2,FALSE)</f>
        <v>#N/A</v>
      </c>
      <c r="AB914" s="128" t="str">
        <f>+MID(Tabla3[[#This Row],['# Viaje]],10,1)</f>
        <v/>
      </c>
    </row>
    <row r="915" spans="1:28" ht="15" hidden="1" customHeight="1">
      <c r="A915" s="173" t="s">
        <v>1650</v>
      </c>
      <c r="B915" s="174">
        <v>42948</v>
      </c>
      <c r="C915" s="173" t="s">
        <v>1231</v>
      </c>
      <c r="D915" s="173" t="s">
        <v>1487</v>
      </c>
      <c r="E915" s="173" t="s">
        <v>1479</v>
      </c>
      <c r="F915" s="173">
        <v>1</v>
      </c>
      <c r="G915" s="173" t="s">
        <v>244</v>
      </c>
      <c r="H915" s="173">
        <v>1</v>
      </c>
      <c r="I915" s="173" t="s">
        <v>1651</v>
      </c>
      <c r="J915" s="173" t="s">
        <v>1451</v>
      </c>
      <c r="K915" s="173" t="s">
        <v>1452</v>
      </c>
      <c r="L915" s="173"/>
      <c r="M915" s="173" t="s">
        <v>245</v>
      </c>
      <c r="N915" s="173">
        <v>900502698</v>
      </c>
      <c r="O915" s="175">
        <v>3696639</v>
      </c>
      <c r="P915" s="7"/>
      <c r="Q915" s="16">
        <f>+IF(IFERROR(VLOOKUP(Tabla3[[#This Row],[Cliente factura]],Tabla4[[NIT]:[TOTAL CREDITO]],3,FALSE),0)="",0,IFERROR(VLOOKUP(Tabla3[[#This Row],[Cliente factura]],Tabla4[[NIT]:[TOTAL CREDITO]],3,FALSE),0))</f>
        <v>260065</v>
      </c>
      <c r="R915" s="9">
        <f>+IFERROR(VLOOKUP(Tabla3[[#This Row],[Cliente factura]],Tabla4[[NIT]:[TOTAL CREDITO]],6,FALSE),0)</f>
        <v>0</v>
      </c>
      <c r="S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5" s="10" t="str">
        <f>VLOOKUP(Tabla3[[#This Row],[Razón social cliente factura]]&amp;Tabla3[[#This Row],[Desc. ciudad]],'Estandar de Rutas'!$C$1:$E$553,2,FALSE)</f>
        <v>9.2</v>
      </c>
      <c r="U915" s="130">
        <f>IFERROR(VLOOKUP(Tabla3[[#This Row],[Referencia]]&amp;Tabla3[[#This Row],[Desc detalle ext 1]],Tabla1[[Referencia-Color]:[Disponibilidad]],3,FALSE),0)</f>
        <v>21</v>
      </c>
      <c r="V915" s="13"/>
      <c r="W915" s="17">
        <f>+Tabla3[[#This Row],[Cant. Programada]]*Tabla3[[#This Row],[Precio unit]]</f>
        <v>0</v>
      </c>
      <c r="X915" s="8"/>
      <c r="Y915" s="8"/>
      <c r="Z915" s="8" t="str">
        <f>+Tabla3[[#This Row],[Referencia]]&amp;Tabla3[[#This Row],[Desc detalle ext 1]]</f>
        <v xml:space="preserve">CB 110 DLX                                        AZUL     </v>
      </c>
      <c r="AA915" s="128" t="e">
        <f>+VLOOKUP(Tabla3[[#This Row],[CODIGO2]],ESTANDAR!$B$3:$C$9,2,FALSE)</f>
        <v>#N/A</v>
      </c>
      <c r="AB915" s="128" t="str">
        <f>+MID(Tabla3[[#This Row],['# Viaje]],10,1)</f>
        <v/>
      </c>
    </row>
    <row r="916" spans="1:28" ht="15" hidden="1" customHeight="1">
      <c r="A916" s="173" t="s">
        <v>1650</v>
      </c>
      <c r="B916" s="174">
        <v>42948</v>
      </c>
      <c r="C916" s="173" t="s">
        <v>1231</v>
      </c>
      <c r="D916" s="173" t="s">
        <v>1487</v>
      </c>
      <c r="E916" s="173" t="s">
        <v>1479</v>
      </c>
      <c r="F916" s="173">
        <v>1</v>
      </c>
      <c r="G916" s="173" t="s">
        <v>244</v>
      </c>
      <c r="H916" s="173">
        <v>1</v>
      </c>
      <c r="I916" s="173" t="s">
        <v>1651</v>
      </c>
      <c r="J916" s="173" t="s">
        <v>1451</v>
      </c>
      <c r="K916" s="173" t="s">
        <v>16</v>
      </c>
      <c r="L916" s="173"/>
      <c r="M916" s="173" t="s">
        <v>245</v>
      </c>
      <c r="N916" s="173">
        <v>900502698</v>
      </c>
      <c r="O916" s="175">
        <v>3696639</v>
      </c>
      <c r="P916" s="7"/>
      <c r="Q916" s="16">
        <f>+IF(IFERROR(VLOOKUP(Tabla3[[#This Row],[Cliente factura]],Tabla4[[NIT]:[TOTAL CREDITO]],3,FALSE),0)="",0,IFERROR(VLOOKUP(Tabla3[[#This Row],[Cliente factura]],Tabla4[[NIT]:[TOTAL CREDITO]],3,FALSE),0))</f>
        <v>260065</v>
      </c>
      <c r="R916" s="9">
        <f>+IFERROR(VLOOKUP(Tabla3[[#This Row],[Cliente factura]],Tabla4[[NIT]:[TOTAL CREDITO]],6,FALSE),0)</f>
        <v>0</v>
      </c>
      <c r="S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6" s="10" t="str">
        <f>VLOOKUP(Tabla3[[#This Row],[Razón social cliente factura]]&amp;Tabla3[[#This Row],[Desc. ciudad]],'Estandar de Rutas'!$C$1:$E$553,2,FALSE)</f>
        <v>9.2</v>
      </c>
      <c r="U916" s="130">
        <f>IFERROR(VLOOKUP(Tabla3[[#This Row],[Referencia]]&amp;Tabla3[[#This Row],[Desc detalle ext 1]],Tabla1[[Referencia-Color]:[Disponibilidad]],3,FALSE),0)</f>
        <v>3</v>
      </c>
      <c r="V916" s="13"/>
      <c r="W916" s="17">
        <f>+Tabla3[[#This Row],[Cant. Programada]]*Tabla3[[#This Row],[Precio unit]]</f>
        <v>0</v>
      </c>
      <c r="X916" s="8"/>
      <c r="Y916" s="8"/>
      <c r="Z916" s="8" t="str">
        <f>+Tabla3[[#This Row],[Referencia]]&amp;Tabla3[[#This Row],[Desc detalle ext 1]]</f>
        <v xml:space="preserve">CB 110 DLX                                        NEGRO    </v>
      </c>
      <c r="AA916" s="128" t="e">
        <f>+VLOOKUP(Tabla3[[#This Row],[CODIGO2]],ESTANDAR!$B$3:$C$9,2,FALSE)</f>
        <v>#N/A</v>
      </c>
      <c r="AB916" s="128" t="str">
        <f>+MID(Tabla3[[#This Row],['# Viaje]],10,1)</f>
        <v/>
      </c>
    </row>
    <row r="917" spans="1:28" ht="15" hidden="1" customHeight="1">
      <c r="A917" s="173" t="s">
        <v>1652</v>
      </c>
      <c r="B917" s="174">
        <v>42948</v>
      </c>
      <c r="C917" s="173" t="s">
        <v>1231</v>
      </c>
      <c r="D917" s="173" t="s">
        <v>1487</v>
      </c>
      <c r="E917" s="173" t="s">
        <v>1479</v>
      </c>
      <c r="F917" s="173">
        <v>1</v>
      </c>
      <c r="G917" s="173" t="s">
        <v>234</v>
      </c>
      <c r="H917" s="173">
        <v>1</v>
      </c>
      <c r="I917" s="173" t="s">
        <v>234</v>
      </c>
      <c r="J917" s="173" t="s">
        <v>27</v>
      </c>
      <c r="K917" s="173" t="s">
        <v>32</v>
      </c>
      <c r="L917" s="173"/>
      <c r="M917" s="173" t="s">
        <v>235</v>
      </c>
      <c r="N917" s="173">
        <v>900086472</v>
      </c>
      <c r="O917" s="175">
        <v>5789916</v>
      </c>
      <c r="P917" s="7"/>
      <c r="Q917" s="16">
        <f>+IF(IFERROR(VLOOKUP(Tabla3[[#This Row],[Cliente factura]],Tabla4[[NIT]:[TOTAL CREDITO]],3,FALSE),0)="",0,IFERROR(VLOOKUP(Tabla3[[#This Row],[Cliente factura]],Tabla4[[NIT]:[TOTAL CREDITO]],3,FALSE),0))</f>
        <v>0</v>
      </c>
      <c r="R917" s="9">
        <f>+IFERROR(VLOOKUP(Tabla3[[#This Row],[Cliente factura]],Tabla4[[NIT]:[TOTAL CREDITO]],6,FALSE),0)</f>
        <v>292067392</v>
      </c>
      <c r="S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7" s="10" t="str">
        <f>VLOOKUP(Tabla3[[#This Row],[Razón social cliente factura]]&amp;Tabla3[[#This Row],[Desc. ciudad]],'Estandar de Rutas'!$C$1:$E$553,2,FALSE)</f>
        <v>9.2</v>
      </c>
      <c r="U917" s="130">
        <f>IFERROR(VLOOKUP(Tabla3[[#This Row],[Referencia]]&amp;Tabla3[[#This Row],[Desc detalle ext 1]],Tabla1[[Referencia-Color]:[Disponibilidad]],3,FALSE),0)</f>
        <v>7</v>
      </c>
      <c r="V917" s="13"/>
      <c r="W917" s="17">
        <f>+Tabla3[[#This Row],[Cant. Programada]]*Tabla3[[#This Row],[Precio unit]]</f>
        <v>0</v>
      </c>
      <c r="X917" s="8"/>
      <c r="Y917" s="8"/>
      <c r="Z917" s="8" t="str">
        <f>+Tabla3[[#This Row],[Referencia]]&amp;Tabla3[[#This Row],[Desc detalle ext 1]]</f>
        <v>*XR 150L                                          NEGRO ROJ</v>
      </c>
      <c r="AA917" s="128" t="e">
        <f>+VLOOKUP(Tabla3[[#This Row],[CODIGO2]],ESTANDAR!$B$3:$C$9,2,FALSE)</f>
        <v>#N/A</v>
      </c>
      <c r="AB917" s="128" t="str">
        <f>+MID(Tabla3[[#This Row],['# Viaje]],10,1)</f>
        <v/>
      </c>
    </row>
    <row r="918" spans="1:28" ht="15" hidden="1" customHeight="1">
      <c r="A918" s="173" t="s">
        <v>1652</v>
      </c>
      <c r="B918" s="174">
        <v>42948</v>
      </c>
      <c r="C918" s="173" t="s">
        <v>1231</v>
      </c>
      <c r="D918" s="173" t="s">
        <v>1487</v>
      </c>
      <c r="E918" s="173" t="s">
        <v>1479</v>
      </c>
      <c r="F918" s="173">
        <v>1</v>
      </c>
      <c r="G918" s="173" t="s">
        <v>234</v>
      </c>
      <c r="H918" s="173">
        <v>1</v>
      </c>
      <c r="I918" s="173" t="s">
        <v>234</v>
      </c>
      <c r="J918" s="173" t="s">
        <v>27</v>
      </c>
      <c r="K918" s="173" t="s">
        <v>16</v>
      </c>
      <c r="L918" s="173"/>
      <c r="M918" s="173" t="s">
        <v>235</v>
      </c>
      <c r="N918" s="173">
        <v>900086472</v>
      </c>
      <c r="O918" s="175">
        <v>5789916</v>
      </c>
      <c r="P918" s="7"/>
      <c r="Q918" s="16">
        <f>+IF(IFERROR(VLOOKUP(Tabla3[[#This Row],[Cliente factura]],Tabla4[[NIT]:[TOTAL CREDITO]],3,FALSE),0)="",0,IFERROR(VLOOKUP(Tabla3[[#This Row],[Cliente factura]],Tabla4[[NIT]:[TOTAL CREDITO]],3,FALSE),0))</f>
        <v>0</v>
      </c>
      <c r="R918" s="9">
        <f>+IFERROR(VLOOKUP(Tabla3[[#This Row],[Cliente factura]],Tabla4[[NIT]:[TOTAL CREDITO]],6,FALSE),0)</f>
        <v>292067392</v>
      </c>
      <c r="S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8" s="10" t="str">
        <f>VLOOKUP(Tabla3[[#This Row],[Razón social cliente factura]]&amp;Tabla3[[#This Row],[Desc. ciudad]],'Estandar de Rutas'!$C$1:$E$553,2,FALSE)</f>
        <v>9.2</v>
      </c>
      <c r="U918" s="130">
        <f>IFERROR(VLOOKUP(Tabla3[[#This Row],[Referencia]]&amp;Tabla3[[#This Row],[Desc detalle ext 1]],Tabla1[[Referencia-Color]:[Disponibilidad]],3,FALSE),0)</f>
        <v>3</v>
      </c>
      <c r="V918" s="13"/>
      <c r="W918" s="17">
        <f>+Tabla3[[#This Row],[Cant. Programada]]*Tabla3[[#This Row],[Precio unit]]</f>
        <v>0</v>
      </c>
      <c r="X918" s="8"/>
      <c r="Y918" s="8"/>
      <c r="Z918" s="8" t="str">
        <f>+Tabla3[[#This Row],[Referencia]]&amp;Tabla3[[#This Row],[Desc detalle ext 1]]</f>
        <v xml:space="preserve">*XR 150L                                          NEGRO    </v>
      </c>
      <c r="AA918" s="128" t="e">
        <f>+VLOOKUP(Tabla3[[#This Row],[CODIGO2]],ESTANDAR!$B$3:$C$9,2,FALSE)</f>
        <v>#N/A</v>
      </c>
      <c r="AB918" s="128" t="str">
        <f>+MID(Tabla3[[#This Row],['# Viaje]],10,1)</f>
        <v/>
      </c>
    </row>
    <row r="919" spans="1:28" ht="15" hidden="1" customHeight="1">
      <c r="A919" s="173" t="s">
        <v>1652</v>
      </c>
      <c r="B919" s="174">
        <v>42948</v>
      </c>
      <c r="C919" s="173" t="s">
        <v>1231</v>
      </c>
      <c r="D919" s="173" t="s">
        <v>1487</v>
      </c>
      <c r="E919" s="173" t="s">
        <v>1479</v>
      </c>
      <c r="F919" s="173">
        <v>1</v>
      </c>
      <c r="G919" s="173" t="s">
        <v>234</v>
      </c>
      <c r="H919" s="173">
        <v>1</v>
      </c>
      <c r="I919" s="173" t="s">
        <v>234</v>
      </c>
      <c r="J919" s="173" t="s">
        <v>25</v>
      </c>
      <c r="K919" s="173" t="s">
        <v>26</v>
      </c>
      <c r="L919" s="173"/>
      <c r="M919" s="173" t="s">
        <v>235</v>
      </c>
      <c r="N919" s="173">
        <v>900086472</v>
      </c>
      <c r="O919" s="175">
        <v>3521008</v>
      </c>
      <c r="P919" s="7"/>
      <c r="Q919" s="16">
        <f>+IF(IFERROR(VLOOKUP(Tabla3[[#This Row],[Cliente factura]],Tabla4[[NIT]:[TOTAL CREDITO]],3,FALSE),0)="",0,IFERROR(VLOOKUP(Tabla3[[#This Row],[Cliente factura]],Tabla4[[NIT]:[TOTAL CREDITO]],3,FALSE),0))</f>
        <v>0</v>
      </c>
      <c r="R919" s="9">
        <f>+IFERROR(VLOOKUP(Tabla3[[#This Row],[Cliente factura]],Tabla4[[NIT]:[TOTAL CREDITO]],6,FALSE),0)</f>
        <v>292067392</v>
      </c>
      <c r="S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9" s="10" t="str">
        <f>VLOOKUP(Tabla3[[#This Row],[Razón social cliente factura]]&amp;Tabla3[[#This Row],[Desc. ciudad]],'Estandar de Rutas'!$C$1:$E$553,2,FALSE)</f>
        <v>9.2</v>
      </c>
      <c r="U919" s="130">
        <f>IFERROR(VLOOKUP(Tabla3[[#This Row],[Referencia]]&amp;Tabla3[[#This Row],[Desc detalle ext 1]],Tabla1[[Referencia-Color]:[Disponibilidad]],3,FALSE),0)</f>
        <v>15</v>
      </c>
      <c r="V919" s="13"/>
      <c r="W919" s="17">
        <f>+Tabla3[[#This Row],[Cant. Programada]]*Tabla3[[#This Row],[Precio unit]]</f>
        <v>0</v>
      </c>
      <c r="X919" s="8"/>
      <c r="Y919" s="8"/>
      <c r="Z919" s="8" t="str">
        <f>+Tabla3[[#This Row],[Referencia]]&amp;Tabla3[[#This Row],[Desc detalle ext 1]]</f>
        <v>DIO 110                                           NEGRO BLA</v>
      </c>
      <c r="AA919" s="128" t="e">
        <f>+VLOOKUP(Tabla3[[#This Row],[CODIGO2]],ESTANDAR!$B$3:$C$9,2,FALSE)</f>
        <v>#N/A</v>
      </c>
      <c r="AB919" s="128" t="str">
        <f>+MID(Tabla3[[#This Row],['# Viaje]],10,1)</f>
        <v/>
      </c>
    </row>
    <row r="920" spans="1:28" ht="15" hidden="1" customHeight="1">
      <c r="A920" s="173" t="s">
        <v>1652</v>
      </c>
      <c r="B920" s="174">
        <v>42948</v>
      </c>
      <c r="C920" s="173" t="s">
        <v>1231</v>
      </c>
      <c r="D920" s="173" t="s">
        <v>1487</v>
      </c>
      <c r="E920" s="173" t="s">
        <v>1479</v>
      </c>
      <c r="F920" s="173">
        <v>1</v>
      </c>
      <c r="G920" s="173" t="s">
        <v>234</v>
      </c>
      <c r="H920" s="173">
        <v>1</v>
      </c>
      <c r="I920" s="173" t="s">
        <v>234</v>
      </c>
      <c r="J920" s="173" t="s">
        <v>354</v>
      </c>
      <c r="K920" s="173" t="s">
        <v>355</v>
      </c>
      <c r="L920" s="173"/>
      <c r="M920" s="173" t="s">
        <v>235</v>
      </c>
      <c r="N920" s="173">
        <v>900086472</v>
      </c>
      <c r="O920" s="175">
        <v>6133613</v>
      </c>
      <c r="P920" s="7"/>
      <c r="Q920" s="16">
        <f>+IF(IFERROR(VLOOKUP(Tabla3[[#This Row],[Cliente factura]],Tabla4[[NIT]:[TOTAL CREDITO]],3,FALSE),0)="",0,IFERROR(VLOOKUP(Tabla3[[#This Row],[Cliente factura]],Tabla4[[NIT]:[TOTAL CREDITO]],3,FALSE),0))</f>
        <v>0</v>
      </c>
      <c r="R920" s="9">
        <f>+IFERROR(VLOOKUP(Tabla3[[#This Row],[Cliente factura]],Tabla4[[NIT]:[TOTAL CREDITO]],6,FALSE),0)</f>
        <v>292067392</v>
      </c>
      <c r="S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0" s="10" t="str">
        <f>VLOOKUP(Tabla3[[#This Row],[Razón social cliente factura]]&amp;Tabla3[[#This Row],[Desc. ciudad]],'Estandar de Rutas'!$C$1:$E$553,2,FALSE)</f>
        <v>9.2</v>
      </c>
      <c r="U920" s="130">
        <f>IFERROR(VLOOKUP(Tabla3[[#This Row],[Referencia]]&amp;Tabla3[[#This Row],[Desc detalle ext 1]],Tabla1[[Referencia-Color]:[Disponibilidad]],3,FALSE),0)</f>
        <v>0</v>
      </c>
      <c r="V920" s="13"/>
      <c r="W920" s="17">
        <f>+Tabla3[[#This Row],[Cant. Programada]]*Tabla3[[#This Row],[Precio unit]]</f>
        <v>0</v>
      </c>
      <c r="X920" s="8"/>
      <c r="Y920" s="8"/>
      <c r="Z920" s="8" t="str">
        <f>+Tabla3[[#This Row],[Referencia]]&amp;Tabla3[[#This Row],[Desc detalle ext 1]]</f>
        <v>CB 160F DLX                                       NEGRO PER</v>
      </c>
      <c r="AA920" s="128" t="e">
        <f>+VLOOKUP(Tabla3[[#This Row],[CODIGO2]],ESTANDAR!$B$3:$C$9,2,FALSE)</f>
        <v>#N/A</v>
      </c>
      <c r="AB920" s="128" t="str">
        <f>+MID(Tabla3[[#This Row],['# Viaje]],10,1)</f>
        <v/>
      </c>
    </row>
    <row r="921" spans="1:28" ht="15" hidden="1" customHeight="1">
      <c r="A921" s="173" t="s">
        <v>1652</v>
      </c>
      <c r="B921" s="174">
        <v>42948</v>
      </c>
      <c r="C921" s="173" t="s">
        <v>1231</v>
      </c>
      <c r="D921" s="173" t="s">
        <v>1487</v>
      </c>
      <c r="E921" s="173" t="s">
        <v>1479</v>
      </c>
      <c r="F921" s="173">
        <v>3</v>
      </c>
      <c r="G921" s="173" t="s">
        <v>234</v>
      </c>
      <c r="H921" s="173">
        <v>3</v>
      </c>
      <c r="I921" s="173" t="s">
        <v>234</v>
      </c>
      <c r="J921" s="173" t="s">
        <v>1428</v>
      </c>
      <c r="K921" s="173" t="s">
        <v>32</v>
      </c>
      <c r="L921" s="173"/>
      <c r="M921" s="173" t="s">
        <v>235</v>
      </c>
      <c r="N921" s="173">
        <v>900086472</v>
      </c>
      <c r="O921" s="175">
        <v>3067227</v>
      </c>
      <c r="P921" s="7"/>
      <c r="Q921" s="16">
        <f>+IF(IFERROR(VLOOKUP(Tabla3[[#This Row],[Cliente factura]],Tabla4[[NIT]:[TOTAL CREDITO]],3,FALSE),0)="",0,IFERROR(VLOOKUP(Tabla3[[#This Row],[Cliente factura]],Tabla4[[NIT]:[TOTAL CREDITO]],3,FALSE),0))</f>
        <v>0</v>
      </c>
      <c r="R921" s="9">
        <f>+IFERROR(VLOOKUP(Tabla3[[#This Row],[Cliente factura]],Tabla4[[NIT]:[TOTAL CREDITO]],6,FALSE),0)</f>
        <v>292067392</v>
      </c>
      <c r="S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1" s="10" t="str">
        <f>VLOOKUP(Tabla3[[#This Row],[Razón social cliente factura]]&amp;Tabla3[[#This Row],[Desc. ciudad]],'Estandar de Rutas'!$C$1:$E$553,2,FALSE)</f>
        <v>9.2</v>
      </c>
      <c r="U921" s="130">
        <f>IFERROR(VLOOKUP(Tabla3[[#This Row],[Referencia]]&amp;Tabla3[[#This Row],[Desc detalle ext 1]],Tabla1[[Referencia-Color]:[Disponibilidad]],3,FALSE),0)</f>
        <v>0</v>
      </c>
      <c r="V921" s="13"/>
      <c r="W921" s="17">
        <f>+Tabla3[[#This Row],[Cant. Programada]]*Tabla3[[#This Row],[Precio unit]]</f>
        <v>0</v>
      </c>
      <c r="X921" s="8"/>
      <c r="Y921" s="8"/>
      <c r="Z921" s="8" t="str">
        <f>+Tabla3[[#This Row],[Referencia]]&amp;Tabla3[[#This Row],[Desc detalle ext 1]]</f>
        <v>DREAM  NEO                                        NEGRO ROJ</v>
      </c>
      <c r="AA921" s="128" t="e">
        <f>+VLOOKUP(Tabla3[[#This Row],[CODIGO2]],ESTANDAR!$B$3:$C$9,2,FALSE)</f>
        <v>#N/A</v>
      </c>
      <c r="AB921" s="128" t="str">
        <f>+MID(Tabla3[[#This Row],['# Viaje]],10,1)</f>
        <v/>
      </c>
    </row>
    <row r="922" spans="1:28" ht="15" hidden="1" customHeight="1">
      <c r="A922" s="173" t="s">
        <v>1652</v>
      </c>
      <c r="B922" s="174">
        <v>42948</v>
      </c>
      <c r="C922" s="173" t="s">
        <v>1231</v>
      </c>
      <c r="D922" s="173" t="s">
        <v>1487</v>
      </c>
      <c r="E922" s="173" t="s">
        <v>1479</v>
      </c>
      <c r="F922" s="173">
        <v>3</v>
      </c>
      <c r="G922" s="173" t="s">
        <v>234</v>
      </c>
      <c r="H922" s="173">
        <v>3</v>
      </c>
      <c r="I922" s="173" t="s">
        <v>234</v>
      </c>
      <c r="J922" s="173" t="s">
        <v>1428</v>
      </c>
      <c r="K922" s="173" t="s">
        <v>1429</v>
      </c>
      <c r="L922" s="173"/>
      <c r="M922" s="173" t="s">
        <v>235</v>
      </c>
      <c r="N922" s="173">
        <v>900086472</v>
      </c>
      <c r="O922" s="175">
        <v>3067227</v>
      </c>
      <c r="P922" s="7"/>
      <c r="Q922" s="16">
        <f>+IF(IFERROR(VLOOKUP(Tabla3[[#This Row],[Cliente factura]],Tabla4[[NIT]:[TOTAL CREDITO]],3,FALSE),0)="",0,IFERROR(VLOOKUP(Tabla3[[#This Row],[Cliente factura]],Tabla4[[NIT]:[TOTAL CREDITO]],3,FALSE),0))</f>
        <v>0</v>
      </c>
      <c r="R922" s="9">
        <f>+IFERROR(VLOOKUP(Tabla3[[#This Row],[Cliente factura]],Tabla4[[NIT]:[TOTAL CREDITO]],6,FALSE),0)</f>
        <v>292067392</v>
      </c>
      <c r="S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2" s="10" t="str">
        <f>VLOOKUP(Tabla3[[#This Row],[Razón social cliente factura]]&amp;Tabla3[[#This Row],[Desc. ciudad]],'Estandar de Rutas'!$C$1:$E$553,2,FALSE)</f>
        <v>9.2</v>
      </c>
      <c r="U922" s="130">
        <f>IFERROR(VLOOKUP(Tabla3[[#This Row],[Referencia]]&amp;Tabla3[[#This Row],[Desc detalle ext 1]],Tabla1[[Referencia-Color]:[Disponibilidad]],3,FALSE),0)</f>
        <v>0</v>
      </c>
      <c r="V922" s="13"/>
      <c r="W922" s="17">
        <f>+Tabla3[[#This Row],[Cant. Programada]]*Tabla3[[#This Row],[Precio unit]]</f>
        <v>0</v>
      </c>
      <c r="X922" s="8"/>
      <c r="Y922" s="8"/>
      <c r="Z922" s="8" t="str">
        <f>+Tabla3[[#This Row],[Referencia]]&amp;Tabla3[[#This Row],[Desc detalle ext 1]]</f>
        <v>DREAM  NEO                                        NEGRO AZU</v>
      </c>
      <c r="AA922" s="128" t="e">
        <f>+VLOOKUP(Tabla3[[#This Row],[CODIGO2]],ESTANDAR!$B$3:$C$9,2,FALSE)</f>
        <v>#N/A</v>
      </c>
      <c r="AB922" s="128" t="str">
        <f>+MID(Tabla3[[#This Row],['# Viaje]],10,1)</f>
        <v/>
      </c>
    </row>
    <row r="923" spans="1:28" ht="15" hidden="1" customHeight="1">
      <c r="A923" s="173" t="s">
        <v>1652</v>
      </c>
      <c r="B923" s="174">
        <v>42948</v>
      </c>
      <c r="C923" s="173" t="s">
        <v>1231</v>
      </c>
      <c r="D923" s="173" t="s">
        <v>1487</v>
      </c>
      <c r="E923" s="173" t="s">
        <v>1479</v>
      </c>
      <c r="F923" s="173">
        <v>1</v>
      </c>
      <c r="G923" s="173" t="s">
        <v>234</v>
      </c>
      <c r="H923" s="173">
        <v>1</v>
      </c>
      <c r="I923" s="173" t="s">
        <v>234</v>
      </c>
      <c r="J923" s="173" t="s">
        <v>1430</v>
      </c>
      <c r="K923" s="173" t="s">
        <v>1431</v>
      </c>
      <c r="L923" s="173"/>
      <c r="M923" s="173" t="s">
        <v>235</v>
      </c>
      <c r="N923" s="173">
        <v>900086472</v>
      </c>
      <c r="O923" s="175">
        <v>3941176</v>
      </c>
      <c r="P923" s="7"/>
      <c r="Q923" s="16">
        <f>+IF(IFERROR(VLOOKUP(Tabla3[[#This Row],[Cliente factura]],Tabla4[[NIT]:[TOTAL CREDITO]],3,FALSE),0)="",0,IFERROR(VLOOKUP(Tabla3[[#This Row],[Cliente factura]],Tabla4[[NIT]:[TOTAL CREDITO]],3,FALSE),0))</f>
        <v>0</v>
      </c>
      <c r="R923" s="9">
        <f>+IFERROR(VLOOKUP(Tabla3[[#This Row],[Cliente factura]],Tabla4[[NIT]:[TOTAL CREDITO]],6,FALSE),0)</f>
        <v>292067392</v>
      </c>
      <c r="S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3" s="10" t="str">
        <f>VLOOKUP(Tabla3[[#This Row],[Razón social cliente factura]]&amp;Tabla3[[#This Row],[Desc. ciudad]],'Estandar de Rutas'!$C$1:$E$553,2,FALSE)</f>
        <v>9.2</v>
      </c>
      <c r="U923" s="130">
        <f>IFERROR(VLOOKUP(Tabla3[[#This Row],[Referencia]]&amp;Tabla3[[#This Row],[Desc detalle ext 1]],Tabla1[[Referencia-Color]:[Disponibilidad]],3,FALSE),0)</f>
        <v>0</v>
      </c>
      <c r="V923" s="13"/>
      <c r="W923" s="17">
        <f>+Tabla3[[#This Row],[Cant. Programada]]*Tabla3[[#This Row],[Precio unit]]</f>
        <v>0</v>
      </c>
      <c r="X923" s="130"/>
      <c r="Y923" s="8"/>
      <c r="Z923" s="8" t="str">
        <f>+Tabla3[[#This Row],[Referencia]]&amp;Tabla3[[#This Row],[Desc detalle ext 1]]</f>
        <v xml:space="preserve">WAVE 110S                                         ROJO     </v>
      </c>
      <c r="AA923" s="128" t="e">
        <f>+VLOOKUP(Tabla3[[#This Row],[CODIGO2]],ESTANDAR!$B$3:$C$9,2,FALSE)</f>
        <v>#N/A</v>
      </c>
      <c r="AB923" s="128" t="str">
        <f>+MID(Tabla3[[#This Row],['# Viaje]],10,1)</f>
        <v/>
      </c>
    </row>
    <row r="924" spans="1:28" ht="15" hidden="1" customHeight="1">
      <c r="A924" s="173" t="s">
        <v>1652</v>
      </c>
      <c r="B924" s="174">
        <v>42948</v>
      </c>
      <c r="C924" s="173" t="s">
        <v>1231</v>
      </c>
      <c r="D924" s="173" t="s">
        <v>1487</v>
      </c>
      <c r="E924" s="173" t="s">
        <v>1479</v>
      </c>
      <c r="F924" s="173">
        <v>1</v>
      </c>
      <c r="G924" s="173" t="s">
        <v>234</v>
      </c>
      <c r="H924" s="173">
        <v>1</v>
      </c>
      <c r="I924" s="173" t="s">
        <v>234</v>
      </c>
      <c r="J924" s="173" t="s">
        <v>1430</v>
      </c>
      <c r="K924" s="173" t="s">
        <v>16</v>
      </c>
      <c r="L924" s="173"/>
      <c r="M924" s="173" t="s">
        <v>235</v>
      </c>
      <c r="N924" s="173">
        <v>900086472</v>
      </c>
      <c r="O924" s="175">
        <v>3941176</v>
      </c>
      <c r="P924" s="7"/>
      <c r="Q924" s="16">
        <f>+IF(IFERROR(VLOOKUP(Tabla3[[#This Row],[Cliente factura]],Tabla4[[NIT]:[TOTAL CREDITO]],3,FALSE),0)="",0,IFERROR(VLOOKUP(Tabla3[[#This Row],[Cliente factura]],Tabla4[[NIT]:[TOTAL CREDITO]],3,FALSE),0))</f>
        <v>0</v>
      </c>
      <c r="R924" s="9">
        <f>+IFERROR(VLOOKUP(Tabla3[[#This Row],[Cliente factura]],Tabla4[[NIT]:[TOTAL CREDITO]],6,FALSE),0)</f>
        <v>292067392</v>
      </c>
      <c r="S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4" s="10" t="str">
        <f>VLOOKUP(Tabla3[[#This Row],[Razón social cliente factura]]&amp;Tabla3[[#This Row],[Desc. ciudad]],'Estandar de Rutas'!$C$1:$E$553,2,FALSE)</f>
        <v>9.2</v>
      </c>
      <c r="U924" s="130">
        <f>IFERROR(VLOOKUP(Tabla3[[#This Row],[Referencia]]&amp;Tabla3[[#This Row],[Desc detalle ext 1]],Tabla1[[Referencia-Color]:[Disponibilidad]],3,FALSE),0)</f>
        <v>0</v>
      </c>
      <c r="V924" s="13"/>
      <c r="W924" s="17">
        <f>+Tabla3[[#This Row],[Cant. Programada]]*Tabla3[[#This Row],[Precio unit]]</f>
        <v>0</v>
      </c>
      <c r="X924" s="130"/>
      <c r="Y924" s="129"/>
      <c r="Z924" s="8" t="str">
        <f>+Tabla3[[#This Row],[Referencia]]&amp;Tabla3[[#This Row],[Desc detalle ext 1]]</f>
        <v xml:space="preserve">WAVE 110S                                         NEGRO    </v>
      </c>
      <c r="AA924" s="128" t="e">
        <f>+VLOOKUP(Tabla3[[#This Row],[CODIGO2]],ESTANDAR!$B$3:$C$9,2,FALSE)</f>
        <v>#N/A</v>
      </c>
      <c r="AB924" s="128" t="str">
        <f>+MID(Tabla3[[#This Row],['# Viaje]],10,1)</f>
        <v/>
      </c>
    </row>
    <row r="925" spans="1:28" ht="15" hidden="1" customHeight="1">
      <c r="A925" s="173" t="s">
        <v>1652</v>
      </c>
      <c r="B925" s="174">
        <v>42948</v>
      </c>
      <c r="C925" s="173" t="s">
        <v>1231</v>
      </c>
      <c r="D925" s="173" t="s">
        <v>1487</v>
      </c>
      <c r="E925" s="173" t="s">
        <v>1479</v>
      </c>
      <c r="F925" s="173">
        <v>1</v>
      </c>
      <c r="G925" s="173" t="s">
        <v>234</v>
      </c>
      <c r="H925" s="173">
        <v>1</v>
      </c>
      <c r="I925" s="173" t="s">
        <v>234</v>
      </c>
      <c r="J925" s="173" t="s">
        <v>1430</v>
      </c>
      <c r="K925" s="173" t="s">
        <v>1432</v>
      </c>
      <c r="L925" s="173"/>
      <c r="M925" s="173" t="s">
        <v>235</v>
      </c>
      <c r="N925" s="173">
        <v>900086472</v>
      </c>
      <c r="O925" s="175">
        <v>3941176</v>
      </c>
      <c r="P925" s="7"/>
      <c r="Q925" s="16">
        <f>+IF(IFERROR(VLOOKUP(Tabla3[[#This Row],[Cliente factura]],Tabla4[[NIT]:[TOTAL CREDITO]],3,FALSE),0)="",0,IFERROR(VLOOKUP(Tabla3[[#This Row],[Cliente factura]],Tabla4[[NIT]:[TOTAL CREDITO]],3,FALSE),0))</f>
        <v>0</v>
      </c>
      <c r="R925" s="9">
        <f>+IFERROR(VLOOKUP(Tabla3[[#This Row],[Cliente factura]],Tabla4[[NIT]:[TOTAL CREDITO]],6,FALSE),0)</f>
        <v>292067392</v>
      </c>
      <c r="S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5" s="10" t="str">
        <f>VLOOKUP(Tabla3[[#This Row],[Razón social cliente factura]]&amp;Tabla3[[#This Row],[Desc. ciudad]],'Estandar de Rutas'!$C$1:$E$553,2,FALSE)</f>
        <v>9.2</v>
      </c>
      <c r="U925" s="130">
        <f>IFERROR(VLOOKUP(Tabla3[[#This Row],[Referencia]]&amp;Tabla3[[#This Row],[Desc detalle ext 1]],Tabla1[[Referencia-Color]:[Disponibilidad]],3,FALSE),0)</f>
        <v>23</v>
      </c>
      <c r="V925" s="13"/>
      <c r="W925" s="17">
        <f>+Tabla3[[#This Row],[Cant. Programada]]*Tabla3[[#This Row],[Precio unit]]</f>
        <v>0</v>
      </c>
      <c r="X925" s="8"/>
      <c r="Y925" s="8"/>
      <c r="Z925" s="8" t="str">
        <f>+Tabla3[[#This Row],[Referencia]]&amp;Tabla3[[#This Row],[Desc detalle ext 1]]</f>
        <v xml:space="preserve">WAVE 110S                                         BLANCO   </v>
      </c>
      <c r="AA925" s="128" t="e">
        <f>+VLOOKUP(Tabla3[[#This Row],[CODIGO2]],ESTANDAR!$B$3:$C$9,2,FALSE)</f>
        <v>#N/A</v>
      </c>
      <c r="AB925" s="128" t="str">
        <f>+MID(Tabla3[[#This Row],['# Viaje]],10,1)</f>
        <v/>
      </c>
    </row>
    <row r="926" spans="1:28" ht="15" hidden="1" customHeight="1">
      <c r="A926" s="173" t="s">
        <v>1652</v>
      </c>
      <c r="B926" s="174">
        <v>42948</v>
      </c>
      <c r="C926" s="173" t="s">
        <v>1231</v>
      </c>
      <c r="D926" s="173" t="s">
        <v>1487</v>
      </c>
      <c r="E926" s="173" t="s">
        <v>1479</v>
      </c>
      <c r="F926" s="173">
        <v>2</v>
      </c>
      <c r="G926" s="173" t="s">
        <v>234</v>
      </c>
      <c r="H926" s="173">
        <v>2</v>
      </c>
      <c r="I926" s="173" t="s">
        <v>234</v>
      </c>
      <c r="J926" s="173" t="s">
        <v>1451</v>
      </c>
      <c r="K926" s="173" t="s">
        <v>1452</v>
      </c>
      <c r="L926" s="173"/>
      <c r="M926" s="173" t="s">
        <v>235</v>
      </c>
      <c r="N926" s="173">
        <v>900086472</v>
      </c>
      <c r="O926" s="175">
        <v>3696639</v>
      </c>
      <c r="P926" s="7"/>
      <c r="Q926" s="16">
        <f>+IF(IFERROR(VLOOKUP(Tabla3[[#This Row],[Cliente factura]],Tabla4[[NIT]:[TOTAL CREDITO]],3,FALSE),0)="",0,IFERROR(VLOOKUP(Tabla3[[#This Row],[Cliente factura]],Tabla4[[NIT]:[TOTAL CREDITO]],3,FALSE),0))</f>
        <v>0</v>
      </c>
      <c r="R926" s="9">
        <f>+IFERROR(VLOOKUP(Tabla3[[#This Row],[Cliente factura]],Tabla4[[NIT]:[TOTAL CREDITO]],6,FALSE),0)</f>
        <v>292067392</v>
      </c>
      <c r="S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6" s="10" t="str">
        <f>VLOOKUP(Tabla3[[#This Row],[Razón social cliente factura]]&amp;Tabla3[[#This Row],[Desc. ciudad]],'Estandar de Rutas'!$C$1:$E$553,2,FALSE)</f>
        <v>9.2</v>
      </c>
      <c r="U926" s="130">
        <f>IFERROR(VLOOKUP(Tabla3[[#This Row],[Referencia]]&amp;Tabla3[[#This Row],[Desc detalle ext 1]],Tabla1[[Referencia-Color]:[Disponibilidad]],3,FALSE),0)</f>
        <v>21</v>
      </c>
      <c r="V926" s="13"/>
      <c r="W926" s="17">
        <f>+Tabla3[[#This Row],[Cant. Programada]]*Tabla3[[#This Row],[Precio unit]]</f>
        <v>0</v>
      </c>
      <c r="X926" s="129"/>
      <c r="Y926" s="129"/>
      <c r="Z926" s="8" t="str">
        <f>+Tabla3[[#This Row],[Referencia]]&amp;Tabla3[[#This Row],[Desc detalle ext 1]]</f>
        <v xml:space="preserve">CB 110 DLX                                        AZUL     </v>
      </c>
      <c r="AA926" s="128" t="e">
        <f>+VLOOKUP(Tabla3[[#This Row],[CODIGO2]],ESTANDAR!$B$3:$C$9,2,FALSE)</f>
        <v>#N/A</v>
      </c>
      <c r="AB926" s="128" t="str">
        <f>+MID(Tabla3[[#This Row],['# Viaje]],10,1)</f>
        <v/>
      </c>
    </row>
    <row r="927" spans="1:28" ht="15" hidden="1" customHeight="1">
      <c r="A927" s="173" t="s">
        <v>1652</v>
      </c>
      <c r="B927" s="174">
        <v>42948</v>
      </c>
      <c r="C927" s="173" t="s">
        <v>1231</v>
      </c>
      <c r="D927" s="173" t="s">
        <v>1487</v>
      </c>
      <c r="E927" s="173" t="s">
        <v>1479</v>
      </c>
      <c r="F927" s="173">
        <v>1</v>
      </c>
      <c r="G927" s="173" t="s">
        <v>234</v>
      </c>
      <c r="H927" s="173">
        <v>1</v>
      </c>
      <c r="I927" s="173" t="s">
        <v>234</v>
      </c>
      <c r="J927" s="173" t="s">
        <v>1451</v>
      </c>
      <c r="K927" s="173" t="s">
        <v>1431</v>
      </c>
      <c r="L927" s="173"/>
      <c r="M927" s="173" t="s">
        <v>235</v>
      </c>
      <c r="N927" s="173">
        <v>900086472</v>
      </c>
      <c r="O927" s="175">
        <v>3696639</v>
      </c>
      <c r="P927" s="7"/>
      <c r="Q927" s="16">
        <f>+IF(IFERROR(VLOOKUP(Tabla3[[#This Row],[Cliente factura]],Tabla4[[NIT]:[TOTAL CREDITO]],3,FALSE),0)="",0,IFERROR(VLOOKUP(Tabla3[[#This Row],[Cliente factura]],Tabla4[[NIT]:[TOTAL CREDITO]],3,FALSE),0))</f>
        <v>0</v>
      </c>
      <c r="R927" s="9">
        <f>+IFERROR(VLOOKUP(Tabla3[[#This Row],[Cliente factura]],Tabla4[[NIT]:[TOTAL CREDITO]],6,FALSE),0)</f>
        <v>292067392</v>
      </c>
      <c r="S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7" s="10" t="str">
        <f>VLOOKUP(Tabla3[[#This Row],[Razón social cliente factura]]&amp;Tabla3[[#This Row],[Desc. ciudad]],'Estandar de Rutas'!$C$1:$E$553,2,FALSE)</f>
        <v>9.2</v>
      </c>
      <c r="U927" s="130">
        <f>IFERROR(VLOOKUP(Tabla3[[#This Row],[Referencia]]&amp;Tabla3[[#This Row],[Desc detalle ext 1]],Tabla1[[Referencia-Color]:[Disponibilidad]],3,FALSE),0)</f>
        <v>21</v>
      </c>
      <c r="V927" s="13"/>
      <c r="W927" s="17">
        <f>+Tabla3[[#This Row],[Cant. Programada]]*Tabla3[[#This Row],[Precio unit]]</f>
        <v>0</v>
      </c>
      <c r="X927" s="129"/>
      <c r="Y927" s="129"/>
      <c r="Z927" s="8" t="str">
        <f>+Tabla3[[#This Row],[Referencia]]&amp;Tabla3[[#This Row],[Desc detalle ext 1]]</f>
        <v xml:space="preserve">CB 110 DLX                                        ROJO     </v>
      </c>
      <c r="AA927" s="128" t="e">
        <f>+VLOOKUP(Tabla3[[#This Row],[CODIGO2]],ESTANDAR!$B$3:$C$9,2,FALSE)</f>
        <v>#N/A</v>
      </c>
      <c r="AB927" s="128" t="str">
        <f>+MID(Tabla3[[#This Row],['# Viaje]],10,1)</f>
        <v/>
      </c>
    </row>
    <row r="928" spans="1:28" ht="15" hidden="1" customHeight="1">
      <c r="A928" s="173" t="s">
        <v>1652</v>
      </c>
      <c r="B928" s="174">
        <v>42948</v>
      </c>
      <c r="C928" s="173" t="s">
        <v>1231</v>
      </c>
      <c r="D928" s="173" t="s">
        <v>1487</v>
      </c>
      <c r="E928" s="173" t="s">
        <v>1479</v>
      </c>
      <c r="F928" s="173">
        <v>4</v>
      </c>
      <c r="G928" s="173" t="s">
        <v>234</v>
      </c>
      <c r="H928" s="173">
        <v>4</v>
      </c>
      <c r="I928" s="173" t="s">
        <v>234</v>
      </c>
      <c r="J928" s="173" t="s">
        <v>1451</v>
      </c>
      <c r="K928" s="173" t="s">
        <v>16</v>
      </c>
      <c r="L928" s="173"/>
      <c r="M928" s="173" t="s">
        <v>235</v>
      </c>
      <c r="N928" s="173">
        <v>900086472</v>
      </c>
      <c r="O928" s="175">
        <v>3696639</v>
      </c>
      <c r="P928" s="7"/>
      <c r="Q928" s="16">
        <f>+IF(IFERROR(VLOOKUP(Tabla3[[#This Row],[Cliente factura]],Tabla4[[NIT]:[TOTAL CREDITO]],3,FALSE),0)="",0,IFERROR(VLOOKUP(Tabla3[[#This Row],[Cliente factura]],Tabla4[[NIT]:[TOTAL CREDITO]],3,FALSE),0))</f>
        <v>0</v>
      </c>
      <c r="R928" s="9">
        <f>+IFERROR(VLOOKUP(Tabla3[[#This Row],[Cliente factura]],Tabla4[[NIT]:[TOTAL CREDITO]],6,FALSE),0)</f>
        <v>292067392</v>
      </c>
      <c r="S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8" s="10" t="str">
        <f>VLOOKUP(Tabla3[[#This Row],[Razón social cliente factura]]&amp;Tabla3[[#This Row],[Desc. ciudad]],'Estandar de Rutas'!$C$1:$E$553,2,FALSE)</f>
        <v>9.2</v>
      </c>
      <c r="U928" s="130">
        <f>IFERROR(VLOOKUP(Tabla3[[#This Row],[Referencia]]&amp;Tabla3[[#This Row],[Desc detalle ext 1]],Tabla1[[Referencia-Color]:[Disponibilidad]],3,FALSE),0)</f>
        <v>3</v>
      </c>
      <c r="V928" s="13"/>
      <c r="W928" s="17">
        <f>+Tabla3[[#This Row],[Cant. Programada]]*Tabla3[[#This Row],[Precio unit]]</f>
        <v>0</v>
      </c>
      <c r="X928" s="8"/>
      <c r="Y928" s="8"/>
      <c r="Z928" s="8" t="str">
        <f>+Tabla3[[#This Row],[Referencia]]&amp;Tabla3[[#This Row],[Desc detalle ext 1]]</f>
        <v xml:space="preserve">CB 110 DLX                                        NEGRO    </v>
      </c>
      <c r="AA928" s="128" t="e">
        <f>+VLOOKUP(Tabla3[[#This Row],[CODIGO2]],ESTANDAR!$B$3:$C$9,2,FALSE)</f>
        <v>#N/A</v>
      </c>
      <c r="AB928" s="128" t="str">
        <f>+MID(Tabla3[[#This Row],['# Viaje]],10,1)</f>
        <v/>
      </c>
    </row>
    <row r="929" spans="1:28" ht="15" hidden="1" customHeight="1">
      <c r="A929" s="173" t="s">
        <v>1653</v>
      </c>
      <c r="B929" s="174">
        <v>42948</v>
      </c>
      <c r="C929" s="173" t="s">
        <v>1231</v>
      </c>
      <c r="D929" s="173" t="s">
        <v>1487</v>
      </c>
      <c r="E929" s="173" t="s">
        <v>1479</v>
      </c>
      <c r="F929" s="173">
        <v>1</v>
      </c>
      <c r="G929" s="173" t="s">
        <v>315</v>
      </c>
      <c r="H929" s="173">
        <v>1</v>
      </c>
      <c r="I929" s="173" t="s">
        <v>315</v>
      </c>
      <c r="J929" s="173" t="s">
        <v>1451</v>
      </c>
      <c r="K929" s="173" t="s">
        <v>16</v>
      </c>
      <c r="L929" s="173"/>
      <c r="M929" s="173" t="s">
        <v>316</v>
      </c>
      <c r="N929" s="173">
        <v>10896832</v>
      </c>
      <c r="O929" s="175">
        <v>3696639</v>
      </c>
      <c r="P929" s="7"/>
      <c r="Q929" s="16">
        <f>+IF(IFERROR(VLOOKUP(Tabla3[[#This Row],[Cliente factura]],Tabla4[[NIT]:[TOTAL CREDITO]],3,FALSE),0)="",0,IFERROR(VLOOKUP(Tabla3[[#This Row],[Cliente factura]],Tabla4[[NIT]:[TOTAL CREDITO]],3,FALSE),0))</f>
        <v>0</v>
      </c>
      <c r="R929" s="9">
        <f>+IFERROR(VLOOKUP(Tabla3[[#This Row],[Cliente factura]],Tabla4[[NIT]:[TOTAL CREDITO]],6,FALSE),0)</f>
        <v>55258797</v>
      </c>
      <c r="S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9" s="10" t="str">
        <f>VLOOKUP(Tabla3[[#This Row],[Razón social cliente factura]]&amp;Tabla3[[#This Row],[Desc. ciudad]],'Estandar de Rutas'!$C$1:$E$553,2,FALSE)</f>
        <v>9.2</v>
      </c>
      <c r="U929" s="130">
        <f>IFERROR(VLOOKUP(Tabla3[[#This Row],[Referencia]]&amp;Tabla3[[#This Row],[Desc detalle ext 1]],Tabla1[[Referencia-Color]:[Disponibilidad]],3,FALSE),0)</f>
        <v>3</v>
      </c>
      <c r="V929" s="13"/>
      <c r="W929" s="17">
        <f>+Tabla3[[#This Row],[Cant. Programada]]*Tabla3[[#This Row],[Precio unit]]</f>
        <v>0</v>
      </c>
      <c r="X929" s="8"/>
      <c r="Y929" s="8"/>
      <c r="Z929" s="8" t="str">
        <f>+Tabla3[[#This Row],[Referencia]]&amp;Tabla3[[#This Row],[Desc detalle ext 1]]</f>
        <v xml:space="preserve">CB 110 DLX                                        NEGRO    </v>
      </c>
      <c r="AA929" s="128" t="e">
        <f>+VLOOKUP(Tabla3[[#This Row],[CODIGO2]],ESTANDAR!$B$3:$C$9,2,FALSE)</f>
        <v>#N/A</v>
      </c>
      <c r="AB929" s="128" t="str">
        <f>+MID(Tabla3[[#This Row],['# Viaje]],10,1)</f>
        <v/>
      </c>
    </row>
    <row r="930" spans="1:28" ht="15" hidden="1" customHeight="1">
      <c r="A930" s="173" t="s">
        <v>1654</v>
      </c>
      <c r="B930" s="174">
        <v>42948</v>
      </c>
      <c r="C930" s="173" t="s">
        <v>1231</v>
      </c>
      <c r="D930" s="173" t="s">
        <v>1487</v>
      </c>
      <c r="E930" s="173" t="s">
        <v>1479</v>
      </c>
      <c r="F930" s="173">
        <v>4</v>
      </c>
      <c r="G930" s="173" t="s">
        <v>246</v>
      </c>
      <c r="H930" s="173">
        <v>4</v>
      </c>
      <c r="I930" s="173" t="s">
        <v>246</v>
      </c>
      <c r="J930" s="173" t="s">
        <v>1428</v>
      </c>
      <c r="K930" s="173" t="s">
        <v>1429</v>
      </c>
      <c r="L930" s="173"/>
      <c r="M930" s="173" t="s">
        <v>247</v>
      </c>
      <c r="N930" s="173">
        <v>900473906</v>
      </c>
      <c r="O930" s="175">
        <v>3067227</v>
      </c>
      <c r="P930" s="7"/>
      <c r="Q930" s="16">
        <f>+IF(IFERROR(VLOOKUP(Tabla3[[#This Row],[Cliente factura]],Tabla4[[NIT]:[TOTAL CREDITO]],3,FALSE),0)="",0,IFERROR(VLOOKUP(Tabla3[[#This Row],[Cliente factura]],Tabla4[[NIT]:[TOTAL CREDITO]],3,FALSE),0))</f>
        <v>0</v>
      </c>
      <c r="R930" s="9">
        <f>+IFERROR(VLOOKUP(Tabla3[[#This Row],[Cliente factura]],Tabla4[[NIT]:[TOTAL CREDITO]],6,FALSE),0)</f>
        <v>4658169</v>
      </c>
      <c r="S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0" s="10" t="str">
        <f>VLOOKUP(Tabla3[[#This Row],[Razón social cliente factura]]&amp;Tabla3[[#This Row],[Desc. ciudad]],'Estandar de Rutas'!$C$1:$E$553,2,FALSE)</f>
        <v>9.2.A</v>
      </c>
      <c r="U930" s="130">
        <f>IFERROR(VLOOKUP(Tabla3[[#This Row],[Referencia]]&amp;Tabla3[[#This Row],[Desc detalle ext 1]],Tabla1[[Referencia-Color]:[Disponibilidad]],3,FALSE),0)</f>
        <v>0</v>
      </c>
      <c r="V930" s="13"/>
      <c r="W930" s="17">
        <f>+Tabla3[[#This Row],[Cant. Programada]]*Tabla3[[#This Row],[Precio unit]]</f>
        <v>0</v>
      </c>
      <c r="X930" s="8"/>
      <c r="Y930" s="8"/>
      <c r="Z930" s="8" t="str">
        <f>+Tabla3[[#This Row],[Referencia]]&amp;Tabla3[[#This Row],[Desc detalle ext 1]]</f>
        <v>DREAM  NEO                                        NEGRO AZU</v>
      </c>
      <c r="AA930" s="128" t="e">
        <f>+VLOOKUP(Tabla3[[#This Row],[CODIGO2]],ESTANDAR!$B$3:$C$9,2,FALSE)</f>
        <v>#N/A</v>
      </c>
      <c r="AB930" s="128" t="str">
        <f>+MID(Tabla3[[#This Row],['# Viaje]],10,1)</f>
        <v/>
      </c>
    </row>
    <row r="931" spans="1:28" ht="15" hidden="1" customHeight="1">
      <c r="A931" s="173" t="s">
        <v>1654</v>
      </c>
      <c r="B931" s="174">
        <v>42948</v>
      </c>
      <c r="C931" s="173" t="s">
        <v>1231</v>
      </c>
      <c r="D931" s="173" t="s">
        <v>1487</v>
      </c>
      <c r="E931" s="173" t="s">
        <v>1479</v>
      </c>
      <c r="F931" s="173">
        <v>1</v>
      </c>
      <c r="G931" s="173" t="s">
        <v>246</v>
      </c>
      <c r="H931" s="173">
        <v>1</v>
      </c>
      <c r="I931" s="173" t="s">
        <v>246</v>
      </c>
      <c r="J931" s="173" t="s">
        <v>1451</v>
      </c>
      <c r="K931" s="173" t="s">
        <v>1452</v>
      </c>
      <c r="L931" s="173"/>
      <c r="M931" s="173" t="s">
        <v>247</v>
      </c>
      <c r="N931" s="173">
        <v>900473906</v>
      </c>
      <c r="O931" s="175">
        <v>3696639</v>
      </c>
      <c r="P931" s="7"/>
      <c r="Q931" s="16">
        <f>+IF(IFERROR(VLOOKUP(Tabla3[[#This Row],[Cliente factura]],Tabla4[[NIT]:[TOTAL CREDITO]],3,FALSE),0)="",0,IFERROR(VLOOKUP(Tabla3[[#This Row],[Cliente factura]],Tabla4[[NIT]:[TOTAL CREDITO]],3,FALSE),0))</f>
        <v>0</v>
      </c>
      <c r="R931" s="9">
        <f>+IFERROR(VLOOKUP(Tabla3[[#This Row],[Cliente factura]],Tabla4[[NIT]:[TOTAL CREDITO]],6,FALSE),0)</f>
        <v>4658169</v>
      </c>
      <c r="S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1" s="10" t="str">
        <f>VLOOKUP(Tabla3[[#This Row],[Razón social cliente factura]]&amp;Tabla3[[#This Row],[Desc. ciudad]],'Estandar de Rutas'!$C$1:$E$553,2,FALSE)</f>
        <v>9.2.A</v>
      </c>
      <c r="U931" s="130">
        <f>IFERROR(VLOOKUP(Tabla3[[#This Row],[Referencia]]&amp;Tabla3[[#This Row],[Desc detalle ext 1]],Tabla1[[Referencia-Color]:[Disponibilidad]],3,FALSE),0)</f>
        <v>21</v>
      </c>
      <c r="V931" s="13"/>
      <c r="W931" s="17">
        <f>+Tabla3[[#This Row],[Cant. Programada]]*Tabla3[[#This Row],[Precio unit]]</f>
        <v>0</v>
      </c>
      <c r="X931" s="8"/>
      <c r="Y931" s="8"/>
      <c r="Z931" s="8" t="str">
        <f>+Tabla3[[#This Row],[Referencia]]&amp;Tabla3[[#This Row],[Desc detalle ext 1]]</f>
        <v xml:space="preserve">CB 110 DLX                                        AZUL     </v>
      </c>
      <c r="AA931" s="128" t="e">
        <f>+VLOOKUP(Tabla3[[#This Row],[CODIGO2]],ESTANDAR!$B$3:$C$9,2,FALSE)</f>
        <v>#N/A</v>
      </c>
      <c r="AB931" s="128" t="str">
        <f>+MID(Tabla3[[#This Row],['# Viaje]],10,1)</f>
        <v/>
      </c>
    </row>
    <row r="932" spans="1:28" ht="15" hidden="1" customHeight="1">
      <c r="A932" s="173" t="s">
        <v>1654</v>
      </c>
      <c r="B932" s="174">
        <v>42948</v>
      </c>
      <c r="C932" s="173" t="s">
        <v>1231</v>
      </c>
      <c r="D932" s="173" t="s">
        <v>1487</v>
      </c>
      <c r="E932" s="173" t="s">
        <v>1479</v>
      </c>
      <c r="F932" s="173">
        <v>1</v>
      </c>
      <c r="G932" s="173" t="s">
        <v>246</v>
      </c>
      <c r="H932" s="173">
        <v>1</v>
      </c>
      <c r="I932" s="173" t="s">
        <v>246</v>
      </c>
      <c r="J932" s="173" t="s">
        <v>1451</v>
      </c>
      <c r="K932" s="173" t="s">
        <v>16</v>
      </c>
      <c r="L932" s="173"/>
      <c r="M932" s="173" t="s">
        <v>247</v>
      </c>
      <c r="N932" s="173">
        <v>900473906</v>
      </c>
      <c r="O932" s="175">
        <v>3696639</v>
      </c>
      <c r="P932" s="7"/>
      <c r="Q932" s="16">
        <f>+IF(IFERROR(VLOOKUP(Tabla3[[#This Row],[Cliente factura]],Tabla4[[NIT]:[TOTAL CREDITO]],3,FALSE),0)="",0,IFERROR(VLOOKUP(Tabla3[[#This Row],[Cliente factura]],Tabla4[[NIT]:[TOTAL CREDITO]],3,FALSE),0))</f>
        <v>0</v>
      </c>
      <c r="R932" s="9">
        <f>+IFERROR(VLOOKUP(Tabla3[[#This Row],[Cliente factura]],Tabla4[[NIT]:[TOTAL CREDITO]],6,FALSE),0)</f>
        <v>4658169</v>
      </c>
      <c r="S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2" s="10" t="str">
        <f>VLOOKUP(Tabla3[[#This Row],[Razón social cliente factura]]&amp;Tabla3[[#This Row],[Desc. ciudad]],'Estandar de Rutas'!$C$1:$E$553,2,FALSE)</f>
        <v>9.2.A</v>
      </c>
      <c r="U932" s="130">
        <f>IFERROR(VLOOKUP(Tabla3[[#This Row],[Referencia]]&amp;Tabla3[[#This Row],[Desc detalle ext 1]],Tabla1[[Referencia-Color]:[Disponibilidad]],3,FALSE),0)</f>
        <v>3</v>
      </c>
      <c r="V932" s="13"/>
      <c r="W932" s="17">
        <f>+Tabla3[[#This Row],[Cant. Programada]]*Tabla3[[#This Row],[Precio unit]]</f>
        <v>0</v>
      </c>
      <c r="X932" s="8"/>
      <c r="Y932" s="8"/>
      <c r="Z932" s="8" t="str">
        <f>+Tabla3[[#This Row],[Referencia]]&amp;Tabla3[[#This Row],[Desc detalle ext 1]]</f>
        <v xml:space="preserve">CB 110 DLX                                        NEGRO    </v>
      </c>
      <c r="AA932" s="128" t="e">
        <f>+VLOOKUP(Tabla3[[#This Row],[CODIGO2]],ESTANDAR!$B$3:$C$9,2,FALSE)</f>
        <v>#N/A</v>
      </c>
      <c r="AB932" s="128" t="str">
        <f>+MID(Tabla3[[#This Row],['# Viaje]],10,1)</f>
        <v/>
      </c>
    </row>
    <row r="933" spans="1:28" ht="15" hidden="1" customHeight="1">
      <c r="A933" s="173" t="s">
        <v>1655</v>
      </c>
      <c r="B933" s="174">
        <v>42948</v>
      </c>
      <c r="C933" s="173" t="s">
        <v>1477</v>
      </c>
      <c r="D933" s="173" t="s">
        <v>1478</v>
      </c>
      <c r="E933" s="173" t="s">
        <v>1479</v>
      </c>
      <c r="F933" s="173">
        <v>1</v>
      </c>
      <c r="G933" s="173" t="s">
        <v>131</v>
      </c>
      <c r="H933" s="173">
        <v>1</v>
      </c>
      <c r="I933" s="173" t="s">
        <v>131</v>
      </c>
      <c r="J933" s="173" t="s">
        <v>354</v>
      </c>
      <c r="K933" s="173" t="s">
        <v>17</v>
      </c>
      <c r="L933" s="173"/>
      <c r="M933" s="173" t="s">
        <v>132</v>
      </c>
      <c r="N933" s="173">
        <v>900777108</v>
      </c>
      <c r="O933" s="175">
        <v>6133613</v>
      </c>
      <c r="P933" s="7"/>
      <c r="Q933" s="16">
        <f>+IF(IFERROR(VLOOKUP(Tabla3[[#This Row],[Cliente factura]],Tabla4[[NIT]:[TOTAL CREDITO]],3,FALSE),0)="",0,IFERROR(VLOOKUP(Tabla3[[#This Row],[Cliente factura]],Tabla4[[NIT]:[TOTAL CREDITO]],3,FALSE),0))</f>
        <v>4515043</v>
      </c>
      <c r="R933" s="9">
        <f>+IFERROR(VLOOKUP(Tabla3[[#This Row],[Cliente factura]],Tabla4[[NIT]:[TOTAL CREDITO]],6,FALSE),0)</f>
        <v>0</v>
      </c>
      <c r="S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3" s="10" t="str">
        <f>VLOOKUP(Tabla3[[#This Row],[Razón social cliente factura]]&amp;Tabla3[[#This Row],[Desc. ciudad]],'Estandar de Rutas'!$C$1:$E$553,2,FALSE)</f>
        <v>6.2.B</v>
      </c>
      <c r="U933" s="130">
        <f>IFERROR(VLOOKUP(Tabla3[[#This Row],[Referencia]]&amp;Tabla3[[#This Row],[Desc detalle ext 1]],Tabla1[[Referencia-Color]:[Disponibilidad]],3,FALSE),0)</f>
        <v>48</v>
      </c>
      <c r="V933" s="13"/>
      <c r="W933" s="17">
        <f>+Tabla3[[#This Row],[Cant. Programada]]*Tabla3[[#This Row],[Precio unit]]</f>
        <v>0</v>
      </c>
      <c r="X933" s="8"/>
      <c r="Y933" s="8"/>
      <c r="Z933" s="8" t="str">
        <f>+Tabla3[[#This Row],[Referencia]]&amp;Tabla3[[#This Row],[Desc detalle ext 1]]</f>
        <v>CB 160F DLX                                       ROJO SPOR</v>
      </c>
      <c r="AA933" s="128" t="e">
        <f>+VLOOKUP(Tabla3[[#This Row],[CODIGO2]],ESTANDAR!$B$3:$C$9,2,FALSE)</f>
        <v>#N/A</v>
      </c>
      <c r="AB933" s="128" t="str">
        <f>+MID(Tabla3[[#This Row],['# Viaje]],10,1)</f>
        <v/>
      </c>
    </row>
    <row r="934" spans="1:28" ht="15" hidden="1" customHeight="1">
      <c r="A934" s="173" t="s">
        <v>1655</v>
      </c>
      <c r="B934" s="174">
        <v>42948</v>
      </c>
      <c r="C934" s="173" t="s">
        <v>1477</v>
      </c>
      <c r="D934" s="173" t="s">
        <v>1478</v>
      </c>
      <c r="E934" s="173" t="s">
        <v>1479</v>
      </c>
      <c r="F934" s="173">
        <v>1</v>
      </c>
      <c r="G934" s="173" t="s">
        <v>131</v>
      </c>
      <c r="H934" s="173">
        <v>1</v>
      </c>
      <c r="I934" s="173" t="s">
        <v>131</v>
      </c>
      <c r="J934" s="173" t="s">
        <v>1428</v>
      </c>
      <c r="K934" s="173" t="s">
        <v>32</v>
      </c>
      <c r="L934" s="173"/>
      <c r="M934" s="173" t="s">
        <v>132</v>
      </c>
      <c r="N934" s="173">
        <v>900777108</v>
      </c>
      <c r="O934" s="175">
        <v>3067227</v>
      </c>
      <c r="P934" s="7"/>
      <c r="Q934" s="16">
        <f>+IF(IFERROR(VLOOKUP(Tabla3[[#This Row],[Cliente factura]],Tabla4[[NIT]:[TOTAL CREDITO]],3,FALSE),0)="",0,IFERROR(VLOOKUP(Tabla3[[#This Row],[Cliente factura]],Tabla4[[NIT]:[TOTAL CREDITO]],3,FALSE),0))</f>
        <v>4515043</v>
      </c>
      <c r="R934" s="9">
        <f>+IFERROR(VLOOKUP(Tabla3[[#This Row],[Cliente factura]],Tabla4[[NIT]:[TOTAL CREDITO]],6,FALSE),0)</f>
        <v>0</v>
      </c>
      <c r="S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4" s="10" t="str">
        <f>VLOOKUP(Tabla3[[#This Row],[Razón social cliente factura]]&amp;Tabla3[[#This Row],[Desc. ciudad]],'Estandar de Rutas'!$C$1:$E$553,2,FALSE)</f>
        <v>6.2.B</v>
      </c>
      <c r="U934" s="130">
        <f>IFERROR(VLOOKUP(Tabla3[[#This Row],[Referencia]]&amp;Tabla3[[#This Row],[Desc detalle ext 1]],Tabla1[[Referencia-Color]:[Disponibilidad]],3,FALSE),0)</f>
        <v>0</v>
      </c>
      <c r="V934" s="13"/>
      <c r="W934" s="17">
        <f>+Tabla3[[#This Row],[Cant. Programada]]*Tabla3[[#This Row],[Precio unit]]</f>
        <v>0</v>
      </c>
      <c r="X934" s="8"/>
      <c r="Y934" s="8"/>
      <c r="Z934" s="8" t="str">
        <f>+Tabla3[[#This Row],[Referencia]]&amp;Tabla3[[#This Row],[Desc detalle ext 1]]</f>
        <v>DREAM  NEO                                        NEGRO ROJ</v>
      </c>
      <c r="AA934" s="128" t="e">
        <f>+VLOOKUP(Tabla3[[#This Row],[CODIGO2]],ESTANDAR!$B$3:$C$9,2,FALSE)</f>
        <v>#N/A</v>
      </c>
      <c r="AB934" s="128" t="str">
        <f>+MID(Tabla3[[#This Row],['# Viaje]],10,1)</f>
        <v/>
      </c>
    </row>
    <row r="935" spans="1:28" ht="15" hidden="1" customHeight="1">
      <c r="A935" s="173" t="s">
        <v>1655</v>
      </c>
      <c r="B935" s="174">
        <v>42948</v>
      </c>
      <c r="C935" s="173" t="s">
        <v>1477</v>
      </c>
      <c r="D935" s="173" t="s">
        <v>1478</v>
      </c>
      <c r="E935" s="173" t="s">
        <v>1479</v>
      </c>
      <c r="F935" s="173">
        <v>1</v>
      </c>
      <c r="G935" s="173" t="s">
        <v>131</v>
      </c>
      <c r="H935" s="173">
        <v>1</v>
      </c>
      <c r="I935" s="173" t="s">
        <v>131</v>
      </c>
      <c r="J935" s="173" t="s">
        <v>1234</v>
      </c>
      <c r="K935" s="173" t="s">
        <v>44</v>
      </c>
      <c r="L935" s="173"/>
      <c r="M935" s="173" t="s">
        <v>132</v>
      </c>
      <c r="N935" s="173">
        <v>900777108</v>
      </c>
      <c r="O935" s="175">
        <v>5453782</v>
      </c>
      <c r="P935" s="7"/>
      <c r="Q935" s="16">
        <f>+IF(IFERROR(VLOOKUP(Tabla3[[#This Row],[Cliente factura]],Tabla4[[NIT]:[TOTAL CREDITO]],3,FALSE),0)="",0,IFERROR(VLOOKUP(Tabla3[[#This Row],[Cliente factura]],Tabla4[[NIT]:[TOTAL CREDITO]],3,FALSE),0))</f>
        <v>4515043</v>
      </c>
      <c r="R935" s="9">
        <f>+IFERROR(VLOOKUP(Tabla3[[#This Row],[Cliente factura]],Tabla4[[NIT]:[TOTAL CREDITO]],6,FALSE),0)</f>
        <v>0</v>
      </c>
      <c r="S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5" s="10" t="str">
        <f>VLOOKUP(Tabla3[[#This Row],[Razón social cliente factura]]&amp;Tabla3[[#This Row],[Desc. ciudad]],'Estandar de Rutas'!$C$1:$E$553,2,FALSE)</f>
        <v>6.2.B</v>
      </c>
      <c r="U935" s="130">
        <f>IFERROR(VLOOKUP(Tabla3[[#This Row],[Referencia]]&amp;Tabla3[[#This Row],[Desc detalle ext 1]],Tabla1[[Referencia-Color]:[Disponibilidad]],3,FALSE),0)</f>
        <v>1</v>
      </c>
      <c r="V935" s="13"/>
      <c r="W935" s="17">
        <f>+Tabla3[[#This Row],[Cant. Programada]]*Tabla3[[#This Row],[Precio unit]]</f>
        <v>0</v>
      </c>
      <c r="X935" s="8"/>
      <c r="Y935" s="8"/>
      <c r="Z935" s="8" t="str">
        <f>+Tabla3[[#This Row],[Referencia]]&amp;Tabla3[[#This Row],[Desc detalle ext 1]]</f>
        <v>CB 160F STD                                       BLANCO PE</v>
      </c>
      <c r="AA935" s="128" t="e">
        <f>+VLOOKUP(Tabla3[[#This Row],[CODIGO2]],ESTANDAR!$B$3:$C$9,2,FALSE)</f>
        <v>#N/A</v>
      </c>
      <c r="AB935" s="128" t="str">
        <f>+MID(Tabla3[[#This Row],['# Viaje]],10,1)</f>
        <v/>
      </c>
    </row>
    <row r="936" spans="1:28" ht="15" hidden="1" customHeight="1">
      <c r="A936" s="173" t="s">
        <v>1656</v>
      </c>
      <c r="B936" s="174">
        <v>42948</v>
      </c>
      <c r="C936" s="173" t="s">
        <v>1477</v>
      </c>
      <c r="D936" s="173" t="s">
        <v>1478</v>
      </c>
      <c r="E936" s="173" t="s">
        <v>1479</v>
      </c>
      <c r="F936" s="173">
        <v>4</v>
      </c>
      <c r="G936" s="173" t="s">
        <v>135</v>
      </c>
      <c r="H936" s="173">
        <v>4</v>
      </c>
      <c r="I936" s="173" t="s">
        <v>135</v>
      </c>
      <c r="J936" s="173" t="s">
        <v>27</v>
      </c>
      <c r="K936" s="173" t="s">
        <v>32</v>
      </c>
      <c r="L936" s="173"/>
      <c r="M936" s="173" t="s">
        <v>134</v>
      </c>
      <c r="N936" s="173">
        <v>37807909</v>
      </c>
      <c r="O936" s="175">
        <v>5789916</v>
      </c>
      <c r="P936" s="7"/>
      <c r="Q936" s="16">
        <f>+IF(IFERROR(VLOOKUP(Tabla3[[#This Row],[Cliente factura]],Tabla4[[NIT]:[TOTAL CREDITO]],3,FALSE),0)="",0,IFERROR(VLOOKUP(Tabla3[[#This Row],[Cliente factura]],Tabla4[[NIT]:[TOTAL CREDITO]],3,FALSE),0))</f>
        <v>3160772</v>
      </c>
      <c r="R936" s="9">
        <f>+IFERROR(VLOOKUP(Tabla3[[#This Row],[Cliente factura]],Tabla4[[NIT]:[TOTAL CREDITO]],6,FALSE),0)</f>
        <v>0</v>
      </c>
      <c r="S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6" s="10" t="str">
        <f>VLOOKUP(Tabla3[[#This Row],[Razón social cliente factura]]&amp;Tabla3[[#This Row],[Desc. ciudad]],'Estandar de Rutas'!$C$1:$E$553,2,FALSE)</f>
        <v>6.2.B</v>
      </c>
      <c r="U936" s="130">
        <f>IFERROR(VLOOKUP(Tabla3[[#This Row],[Referencia]]&amp;Tabla3[[#This Row],[Desc detalle ext 1]],Tabla1[[Referencia-Color]:[Disponibilidad]],3,FALSE),0)</f>
        <v>7</v>
      </c>
      <c r="V936" s="13"/>
      <c r="W936" s="17">
        <f>+Tabla3[[#This Row],[Cant. Programada]]*Tabla3[[#This Row],[Precio unit]]</f>
        <v>0</v>
      </c>
      <c r="X936" s="8"/>
      <c r="Y936" s="8"/>
      <c r="Z936" s="8" t="str">
        <f>+Tabla3[[#This Row],[Referencia]]&amp;Tabla3[[#This Row],[Desc detalle ext 1]]</f>
        <v>*XR 150L                                          NEGRO ROJ</v>
      </c>
      <c r="AA936" s="128" t="e">
        <f>+VLOOKUP(Tabla3[[#This Row],[CODIGO2]],ESTANDAR!$B$3:$C$9,2,FALSE)</f>
        <v>#N/A</v>
      </c>
      <c r="AB936" s="128" t="str">
        <f>+MID(Tabla3[[#This Row],['# Viaje]],10,1)</f>
        <v/>
      </c>
    </row>
    <row r="937" spans="1:28" ht="15" hidden="1" customHeight="1">
      <c r="A937" s="173" t="s">
        <v>1656</v>
      </c>
      <c r="B937" s="174">
        <v>42948</v>
      </c>
      <c r="C937" s="173" t="s">
        <v>1477</v>
      </c>
      <c r="D937" s="173" t="s">
        <v>1478</v>
      </c>
      <c r="E937" s="173" t="s">
        <v>1479</v>
      </c>
      <c r="F937" s="173">
        <v>4</v>
      </c>
      <c r="G937" s="173" t="s">
        <v>135</v>
      </c>
      <c r="H937" s="173">
        <v>4</v>
      </c>
      <c r="I937" s="173" t="s">
        <v>135</v>
      </c>
      <c r="J937" s="173" t="s">
        <v>27</v>
      </c>
      <c r="K937" s="173" t="s">
        <v>26</v>
      </c>
      <c r="L937" s="173"/>
      <c r="M937" s="173" t="s">
        <v>134</v>
      </c>
      <c r="N937" s="173">
        <v>37807909</v>
      </c>
      <c r="O937" s="175">
        <v>5789916</v>
      </c>
      <c r="P937" s="7"/>
      <c r="Q937" s="16">
        <f>+IF(IFERROR(VLOOKUP(Tabla3[[#This Row],[Cliente factura]],Tabla4[[NIT]:[TOTAL CREDITO]],3,FALSE),0)="",0,IFERROR(VLOOKUP(Tabla3[[#This Row],[Cliente factura]],Tabla4[[NIT]:[TOTAL CREDITO]],3,FALSE),0))</f>
        <v>3160772</v>
      </c>
      <c r="R937" s="9">
        <f>+IFERROR(VLOOKUP(Tabla3[[#This Row],[Cliente factura]],Tabla4[[NIT]:[TOTAL CREDITO]],6,FALSE),0)</f>
        <v>0</v>
      </c>
      <c r="S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7" s="10" t="str">
        <f>VLOOKUP(Tabla3[[#This Row],[Razón social cliente factura]]&amp;Tabla3[[#This Row],[Desc. ciudad]],'Estandar de Rutas'!$C$1:$E$553,2,FALSE)</f>
        <v>6.2.B</v>
      </c>
      <c r="U937" s="130">
        <f>IFERROR(VLOOKUP(Tabla3[[#This Row],[Referencia]]&amp;Tabla3[[#This Row],[Desc detalle ext 1]],Tabla1[[Referencia-Color]:[Disponibilidad]],3,FALSE),0)</f>
        <v>59</v>
      </c>
      <c r="V937" s="13"/>
      <c r="W937" s="17">
        <f>+Tabla3[[#This Row],[Cant. Programada]]*Tabla3[[#This Row],[Precio unit]]</f>
        <v>0</v>
      </c>
      <c r="X937" s="129"/>
      <c r="Y937" s="8"/>
      <c r="Z937" s="8" t="str">
        <f>+Tabla3[[#This Row],[Referencia]]&amp;Tabla3[[#This Row],[Desc detalle ext 1]]</f>
        <v>*XR 150L                                          NEGRO BLA</v>
      </c>
      <c r="AA937" s="128" t="e">
        <f>+VLOOKUP(Tabla3[[#This Row],[CODIGO2]],ESTANDAR!$B$3:$C$9,2,FALSE)</f>
        <v>#N/A</v>
      </c>
      <c r="AB937" s="128" t="str">
        <f>+MID(Tabla3[[#This Row],['# Viaje]],10,1)</f>
        <v/>
      </c>
    </row>
    <row r="938" spans="1:28" ht="15" hidden="1" customHeight="1">
      <c r="A938" s="173" t="s">
        <v>1656</v>
      </c>
      <c r="B938" s="174">
        <v>42948</v>
      </c>
      <c r="C938" s="173" t="s">
        <v>1477</v>
      </c>
      <c r="D938" s="173" t="s">
        <v>1478</v>
      </c>
      <c r="E938" s="173" t="s">
        <v>1479</v>
      </c>
      <c r="F938" s="173">
        <v>4</v>
      </c>
      <c r="G938" s="173" t="s">
        <v>135</v>
      </c>
      <c r="H938" s="173">
        <v>4</v>
      </c>
      <c r="I938" s="173" t="s">
        <v>135</v>
      </c>
      <c r="J938" s="173" t="s">
        <v>27</v>
      </c>
      <c r="K938" s="173" t="s">
        <v>16</v>
      </c>
      <c r="L938" s="173"/>
      <c r="M938" s="173" t="s">
        <v>134</v>
      </c>
      <c r="N938" s="173">
        <v>37807909</v>
      </c>
      <c r="O938" s="175">
        <v>5789916</v>
      </c>
      <c r="P938" s="7"/>
      <c r="Q938" s="16">
        <f>+IF(IFERROR(VLOOKUP(Tabla3[[#This Row],[Cliente factura]],Tabla4[[NIT]:[TOTAL CREDITO]],3,FALSE),0)="",0,IFERROR(VLOOKUP(Tabla3[[#This Row],[Cliente factura]],Tabla4[[NIT]:[TOTAL CREDITO]],3,FALSE),0))</f>
        <v>3160772</v>
      </c>
      <c r="R938" s="9">
        <f>+IFERROR(VLOOKUP(Tabla3[[#This Row],[Cliente factura]],Tabla4[[NIT]:[TOTAL CREDITO]],6,FALSE),0)</f>
        <v>0</v>
      </c>
      <c r="S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8" s="10" t="str">
        <f>VLOOKUP(Tabla3[[#This Row],[Razón social cliente factura]]&amp;Tabla3[[#This Row],[Desc. ciudad]],'Estandar de Rutas'!$C$1:$E$553,2,FALSE)</f>
        <v>6.2.B</v>
      </c>
      <c r="U938" s="130">
        <f>IFERROR(VLOOKUP(Tabla3[[#This Row],[Referencia]]&amp;Tabla3[[#This Row],[Desc detalle ext 1]],Tabla1[[Referencia-Color]:[Disponibilidad]],3,FALSE),0)</f>
        <v>3</v>
      </c>
      <c r="V938" s="13"/>
      <c r="W938" s="17">
        <f>+Tabla3[[#This Row],[Cant. Programada]]*Tabla3[[#This Row],[Precio unit]]</f>
        <v>0</v>
      </c>
      <c r="X938" s="8"/>
      <c r="Y938" s="8"/>
      <c r="Z938" s="8" t="str">
        <f>+Tabla3[[#This Row],[Referencia]]&amp;Tabla3[[#This Row],[Desc detalle ext 1]]</f>
        <v xml:space="preserve">*XR 150L                                          NEGRO    </v>
      </c>
      <c r="AA938" s="128" t="e">
        <f>+VLOOKUP(Tabla3[[#This Row],[CODIGO2]],ESTANDAR!$B$3:$C$9,2,FALSE)</f>
        <v>#N/A</v>
      </c>
      <c r="AB938" s="128" t="str">
        <f>+MID(Tabla3[[#This Row],['# Viaje]],10,1)</f>
        <v/>
      </c>
    </row>
    <row r="939" spans="1:28" ht="15" hidden="1" customHeight="1">
      <c r="A939" s="173" t="s">
        <v>1656</v>
      </c>
      <c r="B939" s="174">
        <v>42948</v>
      </c>
      <c r="C939" s="173" t="s">
        <v>1477</v>
      </c>
      <c r="D939" s="173" t="s">
        <v>1478</v>
      </c>
      <c r="E939" s="173" t="s">
        <v>1479</v>
      </c>
      <c r="F939" s="173">
        <v>1</v>
      </c>
      <c r="G939" s="173" t="s">
        <v>135</v>
      </c>
      <c r="H939" s="173">
        <v>1</v>
      </c>
      <c r="I939" s="173" t="s">
        <v>135</v>
      </c>
      <c r="J939" s="173" t="s">
        <v>10</v>
      </c>
      <c r="K939" s="173" t="s">
        <v>11</v>
      </c>
      <c r="L939" s="173"/>
      <c r="M939" s="173" t="s">
        <v>134</v>
      </c>
      <c r="N939" s="173">
        <v>37807909</v>
      </c>
      <c r="O939" s="175">
        <v>7554622</v>
      </c>
      <c r="P939" s="7"/>
      <c r="Q939" s="16">
        <f>+IF(IFERROR(VLOOKUP(Tabla3[[#This Row],[Cliente factura]],Tabla4[[NIT]:[TOTAL CREDITO]],3,FALSE),0)="",0,IFERROR(VLOOKUP(Tabla3[[#This Row],[Cliente factura]],Tabla4[[NIT]:[TOTAL CREDITO]],3,FALSE),0))</f>
        <v>3160772</v>
      </c>
      <c r="R939" s="9">
        <f>+IFERROR(VLOOKUP(Tabla3[[#This Row],[Cliente factura]],Tabla4[[NIT]:[TOTAL CREDITO]],6,FALSE),0)</f>
        <v>0</v>
      </c>
      <c r="S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9" s="10" t="str">
        <f>VLOOKUP(Tabla3[[#This Row],[Razón social cliente factura]]&amp;Tabla3[[#This Row],[Desc. ciudad]],'Estandar de Rutas'!$C$1:$E$553,2,FALSE)</f>
        <v>6.2.B</v>
      </c>
      <c r="U939" s="130">
        <f>IFERROR(VLOOKUP(Tabla3[[#This Row],[Referencia]]&amp;Tabla3[[#This Row],[Desc detalle ext 1]],Tabla1[[Referencia-Color]:[Disponibilidad]],3,FALSE),0)</f>
        <v>0</v>
      </c>
      <c r="V939" s="13"/>
      <c r="W939" s="17">
        <f>+Tabla3[[#This Row],[Cant. Programada]]*Tabla3[[#This Row],[Precio unit]]</f>
        <v>0</v>
      </c>
      <c r="X939" s="8"/>
      <c r="Y939" s="8"/>
      <c r="Z939" s="8" t="str">
        <f>+Tabla3[[#This Row],[Referencia]]&amp;Tabla3[[#This Row],[Desc detalle ext 1]]</f>
        <v>CB 190R                                           NEGRO ONI</v>
      </c>
      <c r="AA939" s="128" t="e">
        <f>+VLOOKUP(Tabla3[[#This Row],[CODIGO2]],ESTANDAR!$B$3:$C$9,2,FALSE)</f>
        <v>#N/A</v>
      </c>
      <c r="AB939" s="128" t="str">
        <f>+MID(Tabla3[[#This Row],['# Viaje]],10,1)</f>
        <v/>
      </c>
    </row>
    <row r="940" spans="1:28" ht="15" hidden="1" customHeight="1">
      <c r="A940" s="173" t="s">
        <v>1656</v>
      </c>
      <c r="B940" s="174">
        <v>42948</v>
      </c>
      <c r="C940" s="173" t="s">
        <v>1477</v>
      </c>
      <c r="D940" s="173" t="s">
        <v>1478</v>
      </c>
      <c r="E940" s="173" t="s">
        <v>1479</v>
      </c>
      <c r="F940" s="173">
        <v>1</v>
      </c>
      <c r="G940" s="173" t="s">
        <v>135</v>
      </c>
      <c r="H940" s="173">
        <v>1</v>
      </c>
      <c r="I940" s="173" t="s">
        <v>135</v>
      </c>
      <c r="J940" s="173" t="s">
        <v>10</v>
      </c>
      <c r="K940" s="173" t="s">
        <v>13</v>
      </c>
      <c r="L940" s="173"/>
      <c r="M940" s="173" t="s">
        <v>134</v>
      </c>
      <c r="N940" s="173">
        <v>37807909</v>
      </c>
      <c r="O940" s="175">
        <v>7554622</v>
      </c>
      <c r="P940" s="7"/>
      <c r="Q940" s="16">
        <f>+IF(IFERROR(VLOOKUP(Tabla3[[#This Row],[Cliente factura]],Tabla4[[NIT]:[TOTAL CREDITO]],3,FALSE),0)="",0,IFERROR(VLOOKUP(Tabla3[[#This Row],[Cliente factura]],Tabla4[[NIT]:[TOTAL CREDITO]],3,FALSE),0))</f>
        <v>3160772</v>
      </c>
      <c r="R940" s="9">
        <f>+IFERROR(VLOOKUP(Tabla3[[#This Row],[Cliente factura]],Tabla4[[NIT]:[TOTAL CREDITO]],6,FALSE),0)</f>
        <v>0</v>
      </c>
      <c r="S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0" s="10" t="str">
        <f>VLOOKUP(Tabla3[[#This Row],[Razón social cliente factura]]&amp;Tabla3[[#This Row],[Desc. ciudad]],'Estandar de Rutas'!$C$1:$E$553,2,FALSE)</f>
        <v>6.2.B</v>
      </c>
      <c r="U940" s="130">
        <f>IFERROR(VLOOKUP(Tabla3[[#This Row],[Referencia]]&amp;Tabla3[[#This Row],[Desc detalle ext 1]],Tabla1[[Referencia-Color]:[Disponibilidad]],3,FALSE),0)</f>
        <v>75</v>
      </c>
      <c r="V940" s="13"/>
      <c r="W940" s="17">
        <f>+Tabla3[[#This Row],[Cant. Programada]]*Tabla3[[#This Row],[Precio unit]]</f>
        <v>0</v>
      </c>
      <c r="X940" s="8"/>
      <c r="Y940" s="8"/>
      <c r="Z940" s="8" t="str">
        <f>+Tabla3[[#This Row],[Referencia]]&amp;Tabla3[[#This Row],[Desc detalle ext 1]]</f>
        <v>CB 190R                                           ROJO NEGR</v>
      </c>
      <c r="AA940" s="128" t="e">
        <f>+VLOOKUP(Tabla3[[#This Row],[CODIGO2]],ESTANDAR!$B$3:$C$9,2,FALSE)</f>
        <v>#N/A</v>
      </c>
      <c r="AB940" s="128" t="str">
        <f>+MID(Tabla3[[#This Row],['# Viaje]],10,1)</f>
        <v/>
      </c>
    </row>
    <row r="941" spans="1:28" ht="15" hidden="1" customHeight="1">
      <c r="A941" s="173" t="s">
        <v>1656</v>
      </c>
      <c r="B941" s="174">
        <v>42948</v>
      </c>
      <c r="C941" s="173" t="s">
        <v>1477</v>
      </c>
      <c r="D941" s="173" t="s">
        <v>1478</v>
      </c>
      <c r="E941" s="173" t="s">
        <v>1479</v>
      </c>
      <c r="F941" s="173">
        <v>3</v>
      </c>
      <c r="G941" s="173" t="s">
        <v>135</v>
      </c>
      <c r="H941" s="173">
        <v>3</v>
      </c>
      <c r="I941" s="173" t="s">
        <v>135</v>
      </c>
      <c r="J941" s="173" t="s">
        <v>354</v>
      </c>
      <c r="K941" s="173" t="s">
        <v>17</v>
      </c>
      <c r="L941" s="173"/>
      <c r="M941" s="173" t="s">
        <v>134</v>
      </c>
      <c r="N941" s="173">
        <v>37807909</v>
      </c>
      <c r="O941" s="175">
        <v>6133613</v>
      </c>
      <c r="P941" s="7"/>
      <c r="Q941" s="16">
        <f>+IF(IFERROR(VLOOKUP(Tabla3[[#This Row],[Cliente factura]],Tabla4[[NIT]:[TOTAL CREDITO]],3,FALSE),0)="",0,IFERROR(VLOOKUP(Tabla3[[#This Row],[Cliente factura]],Tabla4[[NIT]:[TOTAL CREDITO]],3,FALSE),0))</f>
        <v>3160772</v>
      </c>
      <c r="R941" s="9">
        <f>+IFERROR(VLOOKUP(Tabla3[[#This Row],[Cliente factura]],Tabla4[[NIT]:[TOTAL CREDITO]],6,FALSE),0)</f>
        <v>0</v>
      </c>
      <c r="S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1" s="10" t="str">
        <f>VLOOKUP(Tabla3[[#This Row],[Razón social cliente factura]]&amp;Tabla3[[#This Row],[Desc. ciudad]],'Estandar de Rutas'!$C$1:$E$553,2,FALSE)</f>
        <v>6.2.B</v>
      </c>
      <c r="U941" s="130">
        <f>IFERROR(VLOOKUP(Tabla3[[#This Row],[Referencia]]&amp;Tabla3[[#This Row],[Desc detalle ext 1]],Tabla1[[Referencia-Color]:[Disponibilidad]],3,FALSE),0)</f>
        <v>48</v>
      </c>
      <c r="V941" s="13"/>
      <c r="W941" s="17">
        <f>+Tabla3[[#This Row],[Cant. Programada]]*Tabla3[[#This Row],[Precio unit]]</f>
        <v>0</v>
      </c>
      <c r="X941" s="129"/>
      <c r="Y941" s="129"/>
      <c r="Z941" s="8" t="str">
        <f>+Tabla3[[#This Row],[Referencia]]&amp;Tabla3[[#This Row],[Desc detalle ext 1]]</f>
        <v>CB 160F DLX                                       ROJO SPOR</v>
      </c>
      <c r="AA941" s="128" t="e">
        <f>+VLOOKUP(Tabla3[[#This Row],[CODIGO2]],ESTANDAR!$B$3:$C$9,2,FALSE)</f>
        <v>#N/A</v>
      </c>
      <c r="AB941" s="128" t="str">
        <f>+MID(Tabla3[[#This Row],['# Viaje]],10,1)</f>
        <v/>
      </c>
    </row>
    <row r="942" spans="1:28" ht="15" hidden="1" customHeight="1">
      <c r="A942" s="173" t="s">
        <v>1656</v>
      </c>
      <c r="B942" s="174">
        <v>42948</v>
      </c>
      <c r="C942" s="173" t="s">
        <v>1477</v>
      </c>
      <c r="D942" s="173" t="s">
        <v>1478</v>
      </c>
      <c r="E942" s="173" t="s">
        <v>1479</v>
      </c>
      <c r="F942" s="173">
        <v>3</v>
      </c>
      <c r="G942" s="173" t="s">
        <v>135</v>
      </c>
      <c r="H942" s="173">
        <v>3</v>
      </c>
      <c r="I942" s="173" t="s">
        <v>135</v>
      </c>
      <c r="J942" s="173" t="s">
        <v>354</v>
      </c>
      <c r="K942" s="173" t="s">
        <v>355</v>
      </c>
      <c r="L942" s="173"/>
      <c r="M942" s="173" t="s">
        <v>134</v>
      </c>
      <c r="N942" s="173">
        <v>37807909</v>
      </c>
      <c r="O942" s="175">
        <v>6133613</v>
      </c>
      <c r="P942" s="7"/>
      <c r="Q942" s="16">
        <f>+IF(IFERROR(VLOOKUP(Tabla3[[#This Row],[Cliente factura]],Tabla4[[NIT]:[TOTAL CREDITO]],3,FALSE),0)="",0,IFERROR(VLOOKUP(Tabla3[[#This Row],[Cliente factura]],Tabla4[[NIT]:[TOTAL CREDITO]],3,FALSE),0))</f>
        <v>3160772</v>
      </c>
      <c r="R942" s="9">
        <f>+IFERROR(VLOOKUP(Tabla3[[#This Row],[Cliente factura]],Tabla4[[NIT]:[TOTAL CREDITO]],6,FALSE),0)</f>
        <v>0</v>
      </c>
      <c r="S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2" s="10" t="str">
        <f>VLOOKUP(Tabla3[[#This Row],[Razón social cliente factura]]&amp;Tabla3[[#This Row],[Desc. ciudad]],'Estandar de Rutas'!$C$1:$E$553,2,FALSE)</f>
        <v>6.2.B</v>
      </c>
      <c r="U942" s="130">
        <f>IFERROR(VLOOKUP(Tabla3[[#This Row],[Referencia]]&amp;Tabla3[[#This Row],[Desc detalle ext 1]],Tabla1[[Referencia-Color]:[Disponibilidad]],3,FALSE),0)</f>
        <v>0</v>
      </c>
      <c r="V942" s="13"/>
      <c r="W942" s="17">
        <f>+Tabla3[[#This Row],[Cant. Programada]]*Tabla3[[#This Row],[Precio unit]]</f>
        <v>0</v>
      </c>
      <c r="X942" s="129"/>
      <c r="Y942" s="129"/>
      <c r="Z942" s="8" t="str">
        <f>+Tabla3[[#This Row],[Referencia]]&amp;Tabla3[[#This Row],[Desc detalle ext 1]]</f>
        <v>CB 160F DLX                                       NEGRO PER</v>
      </c>
      <c r="AA942" s="128" t="e">
        <f>+VLOOKUP(Tabla3[[#This Row],[CODIGO2]],ESTANDAR!$B$3:$C$9,2,FALSE)</f>
        <v>#N/A</v>
      </c>
      <c r="AB942" s="128" t="str">
        <f>+MID(Tabla3[[#This Row],['# Viaje]],10,1)</f>
        <v/>
      </c>
    </row>
    <row r="943" spans="1:28" ht="15" hidden="1" customHeight="1">
      <c r="A943" s="173" t="s">
        <v>1656</v>
      </c>
      <c r="B943" s="174">
        <v>42948</v>
      </c>
      <c r="C943" s="173" t="s">
        <v>1477</v>
      </c>
      <c r="D943" s="173" t="s">
        <v>1478</v>
      </c>
      <c r="E943" s="173" t="s">
        <v>1479</v>
      </c>
      <c r="F943" s="173">
        <v>1</v>
      </c>
      <c r="G943" s="173" t="s">
        <v>135</v>
      </c>
      <c r="H943" s="173">
        <v>1</v>
      </c>
      <c r="I943" s="173" t="s">
        <v>135</v>
      </c>
      <c r="J943" s="173" t="s">
        <v>1428</v>
      </c>
      <c r="K943" s="173" t="s">
        <v>32</v>
      </c>
      <c r="L943" s="173"/>
      <c r="M943" s="173" t="s">
        <v>134</v>
      </c>
      <c r="N943" s="173">
        <v>37807909</v>
      </c>
      <c r="O943" s="175">
        <v>3067227</v>
      </c>
      <c r="P943" s="7"/>
      <c r="Q943" s="16">
        <f>+IF(IFERROR(VLOOKUP(Tabla3[[#This Row],[Cliente factura]],Tabla4[[NIT]:[TOTAL CREDITO]],3,FALSE),0)="",0,IFERROR(VLOOKUP(Tabla3[[#This Row],[Cliente factura]],Tabla4[[NIT]:[TOTAL CREDITO]],3,FALSE),0))</f>
        <v>3160772</v>
      </c>
      <c r="R943" s="9">
        <f>+IFERROR(VLOOKUP(Tabla3[[#This Row],[Cliente factura]],Tabla4[[NIT]:[TOTAL CREDITO]],6,FALSE),0)</f>
        <v>0</v>
      </c>
      <c r="S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3" s="10" t="str">
        <f>VLOOKUP(Tabla3[[#This Row],[Razón social cliente factura]]&amp;Tabla3[[#This Row],[Desc. ciudad]],'Estandar de Rutas'!$C$1:$E$553,2,FALSE)</f>
        <v>6.2.B</v>
      </c>
      <c r="U943" s="130">
        <f>IFERROR(VLOOKUP(Tabla3[[#This Row],[Referencia]]&amp;Tabla3[[#This Row],[Desc detalle ext 1]],Tabla1[[Referencia-Color]:[Disponibilidad]],3,FALSE),0)</f>
        <v>0</v>
      </c>
      <c r="V943" s="13"/>
      <c r="W943" s="17">
        <f>+Tabla3[[#This Row],[Cant. Programada]]*Tabla3[[#This Row],[Precio unit]]</f>
        <v>0</v>
      </c>
      <c r="X943" s="129"/>
      <c r="Y943" s="129"/>
      <c r="Z943" s="8" t="str">
        <f>+Tabla3[[#This Row],[Referencia]]&amp;Tabla3[[#This Row],[Desc detalle ext 1]]</f>
        <v>DREAM  NEO                                        NEGRO ROJ</v>
      </c>
      <c r="AA943" s="128" t="e">
        <f>+VLOOKUP(Tabla3[[#This Row],[CODIGO2]],ESTANDAR!$B$3:$C$9,2,FALSE)</f>
        <v>#N/A</v>
      </c>
      <c r="AB943" s="128" t="str">
        <f>+MID(Tabla3[[#This Row],['# Viaje]],10,1)</f>
        <v/>
      </c>
    </row>
    <row r="944" spans="1:28" ht="15" hidden="1" customHeight="1">
      <c r="A944" s="173" t="s">
        <v>1656</v>
      </c>
      <c r="B944" s="174">
        <v>42948</v>
      </c>
      <c r="C944" s="173" t="s">
        <v>1477</v>
      </c>
      <c r="D944" s="173" t="s">
        <v>1478</v>
      </c>
      <c r="E944" s="173" t="s">
        <v>1479</v>
      </c>
      <c r="F944" s="173">
        <v>1</v>
      </c>
      <c r="G944" s="173" t="s">
        <v>135</v>
      </c>
      <c r="H944" s="173">
        <v>1</v>
      </c>
      <c r="I944" s="173" t="s">
        <v>135</v>
      </c>
      <c r="J944" s="173" t="s">
        <v>1428</v>
      </c>
      <c r="K944" s="173" t="s">
        <v>1429</v>
      </c>
      <c r="L944" s="173"/>
      <c r="M944" s="173" t="s">
        <v>134</v>
      </c>
      <c r="N944" s="173">
        <v>37807909</v>
      </c>
      <c r="O944" s="175">
        <v>3067227</v>
      </c>
      <c r="P944" s="7"/>
      <c r="Q944" s="16">
        <f>+IF(IFERROR(VLOOKUP(Tabla3[[#This Row],[Cliente factura]],Tabla4[[NIT]:[TOTAL CREDITO]],3,FALSE),0)="",0,IFERROR(VLOOKUP(Tabla3[[#This Row],[Cliente factura]],Tabla4[[NIT]:[TOTAL CREDITO]],3,FALSE),0))</f>
        <v>3160772</v>
      </c>
      <c r="R944" s="9">
        <f>+IFERROR(VLOOKUP(Tabla3[[#This Row],[Cliente factura]],Tabla4[[NIT]:[TOTAL CREDITO]],6,FALSE),0)</f>
        <v>0</v>
      </c>
      <c r="S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4" s="10" t="str">
        <f>VLOOKUP(Tabla3[[#This Row],[Razón social cliente factura]]&amp;Tabla3[[#This Row],[Desc. ciudad]],'Estandar de Rutas'!$C$1:$E$553,2,FALSE)</f>
        <v>6.2.B</v>
      </c>
      <c r="U944" s="130">
        <f>IFERROR(VLOOKUP(Tabla3[[#This Row],[Referencia]]&amp;Tabla3[[#This Row],[Desc detalle ext 1]],Tabla1[[Referencia-Color]:[Disponibilidad]],3,FALSE),0)</f>
        <v>0</v>
      </c>
      <c r="V944" s="13"/>
      <c r="W944" s="17">
        <f>+Tabla3[[#This Row],[Cant. Programada]]*Tabla3[[#This Row],[Precio unit]]</f>
        <v>0</v>
      </c>
      <c r="X944" s="129"/>
      <c r="Y944" s="129"/>
      <c r="Z944" s="8" t="str">
        <f>+Tabla3[[#This Row],[Referencia]]&amp;Tabla3[[#This Row],[Desc detalle ext 1]]</f>
        <v>DREAM  NEO                                        NEGRO AZU</v>
      </c>
      <c r="AA944" s="128" t="e">
        <f>+VLOOKUP(Tabla3[[#This Row],[CODIGO2]],ESTANDAR!$B$3:$C$9,2,FALSE)</f>
        <v>#N/A</v>
      </c>
      <c r="AB944" s="128" t="str">
        <f>+MID(Tabla3[[#This Row],['# Viaje]],10,1)</f>
        <v/>
      </c>
    </row>
    <row r="945" spans="1:28" ht="15" hidden="1" customHeight="1">
      <c r="A945" s="173" t="s">
        <v>1656</v>
      </c>
      <c r="B945" s="174">
        <v>42948</v>
      </c>
      <c r="C945" s="173" t="s">
        <v>1477</v>
      </c>
      <c r="D945" s="173" t="s">
        <v>1478</v>
      </c>
      <c r="E945" s="173" t="s">
        <v>1479</v>
      </c>
      <c r="F945" s="173">
        <v>1</v>
      </c>
      <c r="G945" s="173" t="s">
        <v>135</v>
      </c>
      <c r="H945" s="173">
        <v>1</v>
      </c>
      <c r="I945" s="173" t="s">
        <v>135</v>
      </c>
      <c r="J945" s="173" t="s">
        <v>1430</v>
      </c>
      <c r="K945" s="173" t="s">
        <v>1431</v>
      </c>
      <c r="L945" s="173"/>
      <c r="M945" s="173" t="s">
        <v>134</v>
      </c>
      <c r="N945" s="173">
        <v>37807909</v>
      </c>
      <c r="O945" s="175">
        <v>3941176</v>
      </c>
      <c r="P945" s="7"/>
      <c r="Q945" s="16">
        <f>+IF(IFERROR(VLOOKUP(Tabla3[[#This Row],[Cliente factura]],Tabla4[[NIT]:[TOTAL CREDITO]],3,FALSE),0)="",0,IFERROR(VLOOKUP(Tabla3[[#This Row],[Cliente factura]],Tabla4[[NIT]:[TOTAL CREDITO]],3,FALSE),0))</f>
        <v>3160772</v>
      </c>
      <c r="R945" s="9">
        <f>+IFERROR(VLOOKUP(Tabla3[[#This Row],[Cliente factura]],Tabla4[[NIT]:[TOTAL CREDITO]],6,FALSE),0)</f>
        <v>0</v>
      </c>
      <c r="S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5" s="10" t="str">
        <f>VLOOKUP(Tabla3[[#This Row],[Razón social cliente factura]]&amp;Tabla3[[#This Row],[Desc. ciudad]],'Estandar de Rutas'!$C$1:$E$553,2,FALSE)</f>
        <v>6.2.B</v>
      </c>
      <c r="U945" s="130">
        <f>IFERROR(VLOOKUP(Tabla3[[#This Row],[Referencia]]&amp;Tabla3[[#This Row],[Desc detalle ext 1]],Tabla1[[Referencia-Color]:[Disponibilidad]],3,FALSE),0)</f>
        <v>0</v>
      </c>
      <c r="V945" s="13"/>
      <c r="W945" s="17">
        <f>+Tabla3[[#This Row],[Cant. Programada]]*Tabla3[[#This Row],[Precio unit]]</f>
        <v>0</v>
      </c>
      <c r="X945" s="8"/>
      <c r="Y945" s="8"/>
      <c r="Z945" s="8" t="str">
        <f>+Tabla3[[#This Row],[Referencia]]&amp;Tabla3[[#This Row],[Desc detalle ext 1]]</f>
        <v xml:space="preserve">WAVE 110S                                         ROJO     </v>
      </c>
      <c r="AA945" s="128" t="e">
        <f>+VLOOKUP(Tabla3[[#This Row],[CODIGO2]],ESTANDAR!$B$3:$C$9,2,FALSE)</f>
        <v>#N/A</v>
      </c>
      <c r="AB945" s="128" t="str">
        <f>+MID(Tabla3[[#This Row],['# Viaje]],10,1)</f>
        <v/>
      </c>
    </row>
    <row r="946" spans="1:28" ht="15" hidden="1" customHeight="1">
      <c r="A946" s="173" t="s">
        <v>1656</v>
      </c>
      <c r="B946" s="174">
        <v>42948</v>
      </c>
      <c r="C946" s="173" t="s">
        <v>1477</v>
      </c>
      <c r="D946" s="173" t="s">
        <v>1478</v>
      </c>
      <c r="E946" s="173" t="s">
        <v>1479</v>
      </c>
      <c r="F946" s="173">
        <v>1</v>
      </c>
      <c r="G946" s="173" t="s">
        <v>135</v>
      </c>
      <c r="H946" s="173">
        <v>1</v>
      </c>
      <c r="I946" s="173" t="s">
        <v>135</v>
      </c>
      <c r="J946" s="173" t="s">
        <v>1430</v>
      </c>
      <c r="K946" s="173" t="s">
        <v>1432</v>
      </c>
      <c r="L946" s="173"/>
      <c r="M946" s="173" t="s">
        <v>134</v>
      </c>
      <c r="N946" s="173">
        <v>37807909</v>
      </c>
      <c r="O946" s="175">
        <v>3941176</v>
      </c>
      <c r="P946" s="7"/>
      <c r="Q946" s="16">
        <f>+IF(IFERROR(VLOOKUP(Tabla3[[#This Row],[Cliente factura]],Tabla4[[NIT]:[TOTAL CREDITO]],3,FALSE),0)="",0,IFERROR(VLOOKUP(Tabla3[[#This Row],[Cliente factura]],Tabla4[[NIT]:[TOTAL CREDITO]],3,FALSE),0))</f>
        <v>3160772</v>
      </c>
      <c r="R946" s="9">
        <f>+IFERROR(VLOOKUP(Tabla3[[#This Row],[Cliente factura]],Tabla4[[NIT]:[TOTAL CREDITO]],6,FALSE),0)</f>
        <v>0</v>
      </c>
      <c r="S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6" s="10" t="str">
        <f>VLOOKUP(Tabla3[[#This Row],[Razón social cliente factura]]&amp;Tabla3[[#This Row],[Desc. ciudad]],'Estandar de Rutas'!$C$1:$E$553,2,FALSE)</f>
        <v>6.2.B</v>
      </c>
      <c r="U946" s="130">
        <f>IFERROR(VLOOKUP(Tabla3[[#This Row],[Referencia]]&amp;Tabla3[[#This Row],[Desc detalle ext 1]],Tabla1[[Referencia-Color]:[Disponibilidad]],3,FALSE),0)</f>
        <v>23</v>
      </c>
      <c r="V946" s="13"/>
      <c r="W946" s="17">
        <f>+Tabla3[[#This Row],[Cant. Programada]]*Tabla3[[#This Row],[Precio unit]]</f>
        <v>0</v>
      </c>
      <c r="X946" s="8"/>
      <c r="Y946" s="8"/>
      <c r="Z946" s="8" t="str">
        <f>+Tabla3[[#This Row],[Referencia]]&amp;Tabla3[[#This Row],[Desc detalle ext 1]]</f>
        <v xml:space="preserve">WAVE 110S                                         BLANCO   </v>
      </c>
      <c r="AA946" s="128" t="e">
        <f>+VLOOKUP(Tabla3[[#This Row],[CODIGO2]],ESTANDAR!$B$3:$C$9,2,FALSE)</f>
        <v>#N/A</v>
      </c>
      <c r="AB946" s="128" t="str">
        <f>+MID(Tabla3[[#This Row],['# Viaje]],10,1)</f>
        <v/>
      </c>
    </row>
    <row r="947" spans="1:28" ht="15" hidden="1" customHeight="1">
      <c r="A947" s="173" t="s">
        <v>1656</v>
      </c>
      <c r="B947" s="174">
        <v>42948</v>
      </c>
      <c r="C947" s="173" t="s">
        <v>1477</v>
      </c>
      <c r="D947" s="173" t="s">
        <v>1478</v>
      </c>
      <c r="E947" s="173" t="s">
        <v>1479</v>
      </c>
      <c r="F947" s="173">
        <v>2</v>
      </c>
      <c r="G947" s="173" t="s">
        <v>135</v>
      </c>
      <c r="H947" s="173">
        <v>2</v>
      </c>
      <c r="I947" s="173" t="s">
        <v>135</v>
      </c>
      <c r="J947" s="173" t="s">
        <v>1430</v>
      </c>
      <c r="K947" s="173" t="s">
        <v>16</v>
      </c>
      <c r="L947" s="173"/>
      <c r="M947" s="173" t="s">
        <v>134</v>
      </c>
      <c r="N947" s="173">
        <v>37807909</v>
      </c>
      <c r="O947" s="175">
        <v>3941176</v>
      </c>
      <c r="P947" s="7"/>
      <c r="Q947" s="16">
        <f>+IF(IFERROR(VLOOKUP(Tabla3[[#This Row],[Cliente factura]],Tabla4[[NIT]:[TOTAL CREDITO]],3,FALSE),0)="",0,IFERROR(VLOOKUP(Tabla3[[#This Row],[Cliente factura]],Tabla4[[NIT]:[TOTAL CREDITO]],3,FALSE),0))</f>
        <v>3160772</v>
      </c>
      <c r="R947" s="9">
        <f>+IFERROR(VLOOKUP(Tabla3[[#This Row],[Cliente factura]],Tabla4[[NIT]:[TOTAL CREDITO]],6,FALSE),0)</f>
        <v>0</v>
      </c>
      <c r="S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7" s="10" t="str">
        <f>VLOOKUP(Tabla3[[#This Row],[Razón social cliente factura]]&amp;Tabla3[[#This Row],[Desc. ciudad]],'Estandar de Rutas'!$C$1:$E$553,2,FALSE)</f>
        <v>6.2.B</v>
      </c>
      <c r="U947" s="130">
        <f>IFERROR(VLOOKUP(Tabla3[[#This Row],[Referencia]]&amp;Tabla3[[#This Row],[Desc detalle ext 1]],Tabla1[[Referencia-Color]:[Disponibilidad]],3,FALSE),0)</f>
        <v>0</v>
      </c>
      <c r="V947" s="13"/>
      <c r="W947" s="17">
        <f>+Tabla3[[#This Row],[Cant. Programada]]*Tabla3[[#This Row],[Precio unit]]</f>
        <v>0</v>
      </c>
      <c r="X947" s="8"/>
      <c r="Y947" s="8"/>
      <c r="Z947" s="8" t="str">
        <f>+Tabla3[[#This Row],[Referencia]]&amp;Tabla3[[#This Row],[Desc detalle ext 1]]</f>
        <v xml:space="preserve">WAVE 110S                                         NEGRO    </v>
      </c>
      <c r="AA947" s="128" t="e">
        <f>+VLOOKUP(Tabla3[[#This Row],[CODIGO2]],ESTANDAR!$B$3:$C$9,2,FALSE)</f>
        <v>#N/A</v>
      </c>
      <c r="AB947" s="128" t="str">
        <f>+MID(Tabla3[[#This Row],['# Viaje]],10,1)</f>
        <v/>
      </c>
    </row>
    <row r="948" spans="1:28" ht="15" hidden="1" customHeight="1">
      <c r="A948" s="173" t="s">
        <v>1656</v>
      </c>
      <c r="B948" s="174">
        <v>42948</v>
      </c>
      <c r="C948" s="173" t="s">
        <v>1477</v>
      </c>
      <c r="D948" s="173" t="s">
        <v>1478</v>
      </c>
      <c r="E948" s="173" t="s">
        <v>1479</v>
      </c>
      <c r="F948" s="173">
        <v>2</v>
      </c>
      <c r="G948" s="173" t="s">
        <v>135</v>
      </c>
      <c r="H948" s="173">
        <v>2</v>
      </c>
      <c r="I948" s="173" t="s">
        <v>135</v>
      </c>
      <c r="J948" s="173" t="s">
        <v>1234</v>
      </c>
      <c r="K948" s="173" t="s">
        <v>17</v>
      </c>
      <c r="L948" s="173"/>
      <c r="M948" s="173" t="s">
        <v>134</v>
      </c>
      <c r="N948" s="173">
        <v>37807909</v>
      </c>
      <c r="O948" s="175">
        <v>5453782</v>
      </c>
      <c r="P948" s="7"/>
      <c r="Q948" s="16">
        <f>+IF(IFERROR(VLOOKUP(Tabla3[[#This Row],[Cliente factura]],Tabla4[[NIT]:[TOTAL CREDITO]],3,FALSE),0)="",0,IFERROR(VLOOKUP(Tabla3[[#This Row],[Cliente factura]],Tabla4[[NIT]:[TOTAL CREDITO]],3,FALSE),0))</f>
        <v>3160772</v>
      </c>
      <c r="R948" s="9">
        <f>+IFERROR(VLOOKUP(Tabla3[[#This Row],[Cliente factura]],Tabla4[[NIT]:[TOTAL CREDITO]],6,FALSE),0)</f>
        <v>0</v>
      </c>
      <c r="S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8" s="10" t="str">
        <f>VLOOKUP(Tabla3[[#This Row],[Razón social cliente factura]]&amp;Tabla3[[#This Row],[Desc. ciudad]],'Estandar de Rutas'!$C$1:$E$553,2,FALSE)</f>
        <v>6.2.B</v>
      </c>
      <c r="U948" s="130">
        <f>IFERROR(VLOOKUP(Tabla3[[#This Row],[Referencia]]&amp;Tabla3[[#This Row],[Desc detalle ext 1]],Tabla1[[Referencia-Color]:[Disponibilidad]],3,FALSE),0)</f>
        <v>0</v>
      </c>
      <c r="V948" s="13"/>
      <c r="W948" s="17">
        <f>+Tabla3[[#This Row],[Cant. Programada]]*Tabla3[[#This Row],[Precio unit]]</f>
        <v>0</v>
      </c>
      <c r="X948" s="8"/>
      <c r="Y948" s="8"/>
      <c r="Z948" s="8" t="str">
        <f>+Tabla3[[#This Row],[Referencia]]&amp;Tabla3[[#This Row],[Desc detalle ext 1]]</f>
        <v>CB 160F STD                                       ROJO SPOR</v>
      </c>
      <c r="AA948" s="128" t="e">
        <f>+VLOOKUP(Tabla3[[#This Row],[CODIGO2]],ESTANDAR!$B$3:$C$9,2,FALSE)</f>
        <v>#N/A</v>
      </c>
      <c r="AB948" s="128" t="str">
        <f>+MID(Tabla3[[#This Row],['# Viaje]],10,1)</f>
        <v/>
      </c>
    </row>
    <row r="949" spans="1:28" ht="15" hidden="1" customHeight="1">
      <c r="A949" s="173" t="s">
        <v>1656</v>
      </c>
      <c r="B949" s="174">
        <v>42948</v>
      </c>
      <c r="C949" s="173" t="s">
        <v>1477</v>
      </c>
      <c r="D949" s="173" t="s">
        <v>1478</v>
      </c>
      <c r="E949" s="173" t="s">
        <v>1479</v>
      </c>
      <c r="F949" s="173">
        <v>2</v>
      </c>
      <c r="G949" s="173" t="s">
        <v>135</v>
      </c>
      <c r="H949" s="173">
        <v>2</v>
      </c>
      <c r="I949" s="173" t="s">
        <v>135</v>
      </c>
      <c r="J949" s="173" t="s">
        <v>1234</v>
      </c>
      <c r="K949" s="173" t="s">
        <v>355</v>
      </c>
      <c r="L949" s="173"/>
      <c r="M949" s="173" t="s">
        <v>134</v>
      </c>
      <c r="N949" s="173">
        <v>37807909</v>
      </c>
      <c r="O949" s="175">
        <v>5453782</v>
      </c>
      <c r="P949" s="7"/>
      <c r="Q949" s="16">
        <f>+IF(IFERROR(VLOOKUP(Tabla3[[#This Row],[Cliente factura]],Tabla4[[NIT]:[TOTAL CREDITO]],3,FALSE),0)="",0,IFERROR(VLOOKUP(Tabla3[[#This Row],[Cliente factura]],Tabla4[[NIT]:[TOTAL CREDITO]],3,FALSE),0))</f>
        <v>3160772</v>
      </c>
      <c r="R949" s="9">
        <f>+IFERROR(VLOOKUP(Tabla3[[#This Row],[Cliente factura]],Tabla4[[NIT]:[TOTAL CREDITO]],6,FALSE),0)</f>
        <v>0</v>
      </c>
      <c r="S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9" s="10" t="str">
        <f>VLOOKUP(Tabla3[[#This Row],[Razón social cliente factura]]&amp;Tabla3[[#This Row],[Desc. ciudad]],'Estandar de Rutas'!$C$1:$E$553,2,FALSE)</f>
        <v>6.2.B</v>
      </c>
      <c r="U949" s="130">
        <f>IFERROR(VLOOKUP(Tabla3[[#This Row],[Referencia]]&amp;Tabla3[[#This Row],[Desc detalle ext 1]],Tabla1[[Referencia-Color]:[Disponibilidad]],3,FALSE),0)</f>
        <v>0</v>
      </c>
      <c r="V949" s="13"/>
      <c r="W949" s="17">
        <f>+Tabla3[[#This Row],[Cant. Programada]]*Tabla3[[#This Row],[Precio unit]]</f>
        <v>0</v>
      </c>
      <c r="X949" s="8"/>
      <c r="Y949" s="8"/>
      <c r="Z949" s="8" t="str">
        <f>+Tabla3[[#This Row],[Referencia]]&amp;Tabla3[[#This Row],[Desc detalle ext 1]]</f>
        <v>CB 160F STD                                       NEGRO PER</v>
      </c>
      <c r="AA949" s="128" t="e">
        <f>+VLOOKUP(Tabla3[[#This Row],[CODIGO2]],ESTANDAR!$B$3:$C$9,2,FALSE)</f>
        <v>#N/A</v>
      </c>
      <c r="AB949" s="128" t="str">
        <f>+MID(Tabla3[[#This Row],['# Viaje]],10,1)</f>
        <v/>
      </c>
    </row>
    <row r="950" spans="1:28" ht="15" hidden="1" customHeight="1">
      <c r="A950" s="173" t="s">
        <v>1657</v>
      </c>
      <c r="B950" s="174">
        <v>42948</v>
      </c>
      <c r="C950" s="173" t="s">
        <v>1231</v>
      </c>
      <c r="D950" s="173" t="s">
        <v>1478</v>
      </c>
      <c r="E950" s="173" t="s">
        <v>1479</v>
      </c>
      <c r="F950" s="173">
        <v>4</v>
      </c>
      <c r="G950" s="173" t="s">
        <v>66</v>
      </c>
      <c r="H950" s="173">
        <v>4</v>
      </c>
      <c r="I950" s="173" t="s">
        <v>1658</v>
      </c>
      <c r="J950" s="173" t="s">
        <v>27</v>
      </c>
      <c r="K950" s="173" t="s">
        <v>26</v>
      </c>
      <c r="L950" s="173"/>
      <c r="M950" s="173" t="s">
        <v>67</v>
      </c>
      <c r="N950" s="173">
        <v>800155894</v>
      </c>
      <c r="O950" s="175">
        <v>5789916</v>
      </c>
      <c r="P950" s="7"/>
      <c r="Q950" s="16">
        <f>+IF(IFERROR(VLOOKUP(Tabla3[[#This Row],[Cliente factura]],Tabla4[[NIT]:[TOTAL CREDITO]],3,FALSE),0)="",0,IFERROR(VLOOKUP(Tabla3[[#This Row],[Cliente factura]],Tabla4[[NIT]:[TOTAL CREDITO]],3,FALSE),0))</f>
        <v>0</v>
      </c>
      <c r="R950" s="9">
        <f>+IFERROR(VLOOKUP(Tabla3[[#This Row],[Cliente factura]],Tabla4[[NIT]:[TOTAL CREDITO]],6,FALSE),0)</f>
        <v>143290932</v>
      </c>
      <c r="S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0" s="10" t="str">
        <f>VLOOKUP(Tabla3[[#This Row],[Razón social cliente factura]]&amp;Tabla3[[#This Row],[Desc. ciudad]],'Estandar de Rutas'!$C$1:$E$553,2,FALSE)</f>
        <v>7.2.B</v>
      </c>
      <c r="U950" s="130">
        <f>IFERROR(VLOOKUP(Tabla3[[#This Row],[Referencia]]&amp;Tabla3[[#This Row],[Desc detalle ext 1]],Tabla1[[Referencia-Color]:[Disponibilidad]],3,FALSE),0)</f>
        <v>59</v>
      </c>
      <c r="V950" s="13"/>
      <c r="W950" s="17">
        <f>+Tabla3[[#This Row],[Cant. Programada]]*Tabla3[[#This Row],[Precio unit]]</f>
        <v>0</v>
      </c>
      <c r="X950" s="8"/>
      <c r="Y950" s="8"/>
      <c r="Z950" s="8" t="str">
        <f>+Tabla3[[#This Row],[Referencia]]&amp;Tabla3[[#This Row],[Desc detalle ext 1]]</f>
        <v>*XR 150L                                          NEGRO BLA</v>
      </c>
      <c r="AA950" s="128" t="e">
        <f>+VLOOKUP(Tabla3[[#This Row],[CODIGO2]],ESTANDAR!$B$3:$C$9,2,FALSE)</f>
        <v>#N/A</v>
      </c>
      <c r="AB950" s="128" t="str">
        <f>+MID(Tabla3[[#This Row],['# Viaje]],10,1)</f>
        <v/>
      </c>
    </row>
    <row r="951" spans="1:28" ht="15" hidden="1" customHeight="1">
      <c r="A951" s="173" t="s">
        <v>1657</v>
      </c>
      <c r="B951" s="174">
        <v>42948</v>
      </c>
      <c r="C951" s="173" t="s">
        <v>1231</v>
      </c>
      <c r="D951" s="173" t="s">
        <v>1478</v>
      </c>
      <c r="E951" s="173" t="s">
        <v>1479</v>
      </c>
      <c r="F951" s="173">
        <v>1</v>
      </c>
      <c r="G951" s="173" t="s">
        <v>66</v>
      </c>
      <c r="H951" s="173">
        <v>1</v>
      </c>
      <c r="I951" s="173" t="s">
        <v>1658</v>
      </c>
      <c r="J951" s="173" t="s">
        <v>354</v>
      </c>
      <c r="K951" s="173" t="s">
        <v>17</v>
      </c>
      <c r="L951" s="173"/>
      <c r="M951" s="173" t="s">
        <v>67</v>
      </c>
      <c r="N951" s="173">
        <v>800155894</v>
      </c>
      <c r="O951" s="175">
        <v>6133613</v>
      </c>
      <c r="P951" s="7"/>
      <c r="Q951" s="16">
        <f>+IF(IFERROR(VLOOKUP(Tabla3[[#This Row],[Cliente factura]],Tabla4[[NIT]:[TOTAL CREDITO]],3,FALSE),0)="",0,IFERROR(VLOOKUP(Tabla3[[#This Row],[Cliente factura]],Tabla4[[NIT]:[TOTAL CREDITO]],3,FALSE),0))</f>
        <v>0</v>
      </c>
      <c r="R951" s="9">
        <f>+IFERROR(VLOOKUP(Tabla3[[#This Row],[Cliente factura]],Tabla4[[NIT]:[TOTAL CREDITO]],6,FALSE),0)</f>
        <v>143290932</v>
      </c>
      <c r="S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1" s="10" t="str">
        <f>VLOOKUP(Tabla3[[#This Row],[Razón social cliente factura]]&amp;Tabla3[[#This Row],[Desc. ciudad]],'Estandar de Rutas'!$C$1:$E$553,2,FALSE)</f>
        <v>7.2.B</v>
      </c>
      <c r="U951" s="130">
        <f>IFERROR(VLOOKUP(Tabla3[[#This Row],[Referencia]]&amp;Tabla3[[#This Row],[Desc detalle ext 1]],Tabla1[[Referencia-Color]:[Disponibilidad]],3,FALSE),0)</f>
        <v>48</v>
      </c>
      <c r="V951" s="13"/>
      <c r="W951" s="17">
        <f>+Tabla3[[#This Row],[Cant. Programada]]*Tabla3[[#This Row],[Precio unit]]</f>
        <v>0</v>
      </c>
      <c r="X951" s="8"/>
      <c r="Y951" s="8"/>
      <c r="Z951" s="8" t="str">
        <f>+Tabla3[[#This Row],[Referencia]]&amp;Tabla3[[#This Row],[Desc detalle ext 1]]</f>
        <v>CB 160F DLX                                       ROJO SPOR</v>
      </c>
      <c r="AA951" s="128" t="e">
        <f>+VLOOKUP(Tabla3[[#This Row],[CODIGO2]],ESTANDAR!$B$3:$C$9,2,FALSE)</f>
        <v>#N/A</v>
      </c>
      <c r="AB951" s="128" t="str">
        <f>+MID(Tabla3[[#This Row],['# Viaje]],10,1)</f>
        <v/>
      </c>
    </row>
    <row r="952" spans="1:28" ht="15" hidden="1" customHeight="1">
      <c r="A952" s="173" t="s">
        <v>1657</v>
      </c>
      <c r="B952" s="174">
        <v>42948</v>
      </c>
      <c r="C952" s="173" t="s">
        <v>1231</v>
      </c>
      <c r="D952" s="173" t="s">
        <v>1478</v>
      </c>
      <c r="E952" s="173" t="s">
        <v>1479</v>
      </c>
      <c r="F952" s="173">
        <v>2</v>
      </c>
      <c r="G952" s="173" t="s">
        <v>66</v>
      </c>
      <c r="H952" s="173">
        <v>2</v>
      </c>
      <c r="I952" s="173" t="s">
        <v>1658</v>
      </c>
      <c r="J952" s="173" t="s">
        <v>354</v>
      </c>
      <c r="K952" s="173" t="s">
        <v>355</v>
      </c>
      <c r="L952" s="173"/>
      <c r="M952" s="173" t="s">
        <v>67</v>
      </c>
      <c r="N952" s="173">
        <v>800155894</v>
      </c>
      <c r="O952" s="175">
        <v>6133613</v>
      </c>
      <c r="P952" s="7"/>
      <c r="Q952" s="16">
        <f>+IF(IFERROR(VLOOKUP(Tabla3[[#This Row],[Cliente factura]],Tabla4[[NIT]:[TOTAL CREDITO]],3,FALSE),0)="",0,IFERROR(VLOOKUP(Tabla3[[#This Row],[Cliente factura]],Tabla4[[NIT]:[TOTAL CREDITO]],3,FALSE),0))</f>
        <v>0</v>
      </c>
      <c r="R952" s="9">
        <f>+IFERROR(VLOOKUP(Tabla3[[#This Row],[Cliente factura]],Tabla4[[NIT]:[TOTAL CREDITO]],6,FALSE),0)</f>
        <v>143290932</v>
      </c>
      <c r="S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2" s="10" t="str">
        <f>VLOOKUP(Tabla3[[#This Row],[Razón social cliente factura]]&amp;Tabla3[[#This Row],[Desc. ciudad]],'Estandar de Rutas'!$C$1:$E$553,2,FALSE)</f>
        <v>7.2.B</v>
      </c>
      <c r="U952" s="130">
        <f>IFERROR(VLOOKUP(Tabla3[[#This Row],[Referencia]]&amp;Tabla3[[#This Row],[Desc detalle ext 1]],Tabla1[[Referencia-Color]:[Disponibilidad]],3,FALSE),0)</f>
        <v>0</v>
      </c>
      <c r="V952" s="13"/>
      <c r="W952" s="17">
        <f>+Tabla3[[#This Row],[Cant. Programada]]*Tabla3[[#This Row],[Precio unit]]</f>
        <v>0</v>
      </c>
      <c r="X952" s="8"/>
      <c r="Y952" s="8"/>
      <c r="Z952" s="8" t="str">
        <f>+Tabla3[[#This Row],[Referencia]]&amp;Tabla3[[#This Row],[Desc detalle ext 1]]</f>
        <v>CB 160F DLX                                       NEGRO PER</v>
      </c>
      <c r="AA952" s="128" t="e">
        <f>+VLOOKUP(Tabla3[[#This Row],[CODIGO2]],ESTANDAR!$B$3:$C$9,2,FALSE)</f>
        <v>#N/A</v>
      </c>
      <c r="AB952" s="128" t="str">
        <f>+MID(Tabla3[[#This Row],['# Viaje]],10,1)</f>
        <v/>
      </c>
    </row>
    <row r="953" spans="1:28" ht="15" hidden="1" customHeight="1">
      <c r="A953" s="173" t="s">
        <v>1657</v>
      </c>
      <c r="B953" s="174">
        <v>42948</v>
      </c>
      <c r="C953" s="173" t="s">
        <v>1231</v>
      </c>
      <c r="D953" s="173" t="s">
        <v>1478</v>
      </c>
      <c r="E953" s="173" t="s">
        <v>1479</v>
      </c>
      <c r="F953" s="173">
        <v>2</v>
      </c>
      <c r="G953" s="173" t="s">
        <v>66</v>
      </c>
      <c r="H953" s="173">
        <v>2</v>
      </c>
      <c r="I953" s="173" t="s">
        <v>1658</v>
      </c>
      <c r="J953" s="173" t="s">
        <v>1433</v>
      </c>
      <c r="K953" s="173" t="s">
        <v>1431</v>
      </c>
      <c r="L953" s="173"/>
      <c r="M953" s="173" t="s">
        <v>67</v>
      </c>
      <c r="N953" s="173">
        <v>800155894</v>
      </c>
      <c r="O953" s="175">
        <v>3521008</v>
      </c>
      <c r="P953" s="7"/>
      <c r="Q953" s="16">
        <f>+IF(IFERROR(VLOOKUP(Tabla3[[#This Row],[Cliente factura]],Tabla4[[NIT]:[TOTAL CREDITO]],3,FALSE),0)="",0,IFERROR(VLOOKUP(Tabla3[[#This Row],[Cliente factura]],Tabla4[[NIT]:[TOTAL CREDITO]],3,FALSE),0))</f>
        <v>0</v>
      </c>
      <c r="R953" s="9">
        <f>+IFERROR(VLOOKUP(Tabla3[[#This Row],[Cliente factura]],Tabla4[[NIT]:[TOTAL CREDITO]],6,FALSE),0)</f>
        <v>143290932</v>
      </c>
      <c r="S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3" s="10" t="str">
        <f>VLOOKUP(Tabla3[[#This Row],[Razón social cliente factura]]&amp;Tabla3[[#This Row],[Desc. ciudad]],'Estandar de Rutas'!$C$1:$E$553,2,FALSE)</f>
        <v>7.2.B</v>
      </c>
      <c r="U953" s="130">
        <f>IFERROR(VLOOKUP(Tabla3[[#This Row],[Referencia]]&amp;Tabla3[[#This Row],[Desc detalle ext 1]],Tabla1[[Referencia-Color]:[Disponibilidad]],3,FALSE),0)</f>
        <v>0</v>
      </c>
      <c r="V953" s="13"/>
      <c r="W953" s="17">
        <f>+Tabla3[[#This Row],[Cant. Programada]]*Tabla3[[#This Row],[Precio unit]]</f>
        <v>0</v>
      </c>
      <c r="X953" s="8"/>
      <c r="Y953" s="8"/>
      <c r="Z953" s="8" t="str">
        <f>+Tabla3[[#This Row],[Referencia]]&amp;Tabla3[[#This Row],[Desc detalle ext 1]]</f>
        <v xml:space="preserve">DIO  110                                          ROJO     </v>
      </c>
      <c r="AA953" s="128" t="e">
        <f>+VLOOKUP(Tabla3[[#This Row],[CODIGO2]],ESTANDAR!$B$3:$C$9,2,FALSE)</f>
        <v>#N/A</v>
      </c>
      <c r="AB953" s="128" t="str">
        <f>+MID(Tabla3[[#This Row],['# Viaje]],10,1)</f>
        <v/>
      </c>
    </row>
    <row r="954" spans="1:28" ht="15" hidden="1" customHeight="1">
      <c r="A954" s="173" t="s">
        <v>1659</v>
      </c>
      <c r="B954" s="174">
        <v>42948</v>
      </c>
      <c r="C954" s="173" t="s">
        <v>1231</v>
      </c>
      <c r="D954" s="173" t="s">
        <v>1478</v>
      </c>
      <c r="E954" s="173" t="s">
        <v>1479</v>
      </c>
      <c r="F954" s="173">
        <v>4</v>
      </c>
      <c r="G954" s="173" t="s">
        <v>66</v>
      </c>
      <c r="H954" s="173">
        <v>4</v>
      </c>
      <c r="I954" s="173" t="s">
        <v>1660</v>
      </c>
      <c r="J954" s="173" t="s">
        <v>27</v>
      </c>
      <c r="K954" s="173" t="s">
        <v>26</v>
      </c>
      <c r="L954" s="173"/>
      <c r="M954" s="173" t="s">
        <v>105</v>
      </c>
      <c r="N954" s="173">
        <v>800155894</v>
      </c>
      <c r="O954" s="175">
        <v>5789916</v>
      </c>
      <c r="P954" s="7"/>
      <c r="Q954" s="16">
        <f>+IF(IFERROR(VLOOKUP(Tabla3[[#This Row],[Cliente factura]],Tabla4[[NIT]:[TOTAL CREDITO]],3,FALSE),0)="",0,IFERROR(VLOOKUP(Tabla3[[#This Row],[Cliente factura]],Tabla4[[NIT]:[TOTAL CREDITO]],3,FALSE),0))</f>
        <v>0</v>
      </c>
      <c r="R954" s="9">
        <f>+IFERROR(VLOOKUP(Tabla3[[#This Row],[Cliente factura]],Tabla4[[NIT]:[TOTAL CREDITO]],6,FALSE),0)</f>
        <v>143290932</v>
      </c>
      <c r="S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4" s="10" t="str">
        <f>VLOOKUP(Tabla3[[#This Row],[Razón social cliente factura]]&amp;Tabla3[[#This Row],[Desc. ciudad]],'Estandar de Rutas'!$C$1:$E$553,2,FALSE)</f>
        <v>7.2.B</v>
      </c>
      <c r="U954" s="130">
        <f>IFERROR(VLOOKUP(Tabla3[[#This Row],[Referencia]]&amp;Tabla3[[#This Row],[Desc detalle ext 1]],Tabla1[[Referencia-Color]:[Disponibilidad]],3,FALSE),0)</f>
        <v>59</v>
      </c>
      <c r="V954" s="13"/>
      <c r="W954" s="17">
        <f>+Tabla3[[#This Row],[Cant. Programada]]*Tabla3[[#This Row],[Precio unit]]</f>
        <v>0</v>
      </c>
      <c r="X954" s="8"/>
      <c r="Y954" s="8"/>
      <c r="Z954" s="8" t="str">
        <f>+Tabla3[[#This Row],[Referencia]]&amp;Tabla3[[#This Row],[Desc detalle ext 1]]</f>
        <v>*XR 150L                                          NEGRO BLA</v>
      </c>
      <c r="AA954" s="128" t="e">
        <f>+VLOOKUP(Tabla3[[#This Row],[CODIGO2]],ESTANDAR!$B$3:$C$9,2,FALSE)</f>
        <v>#N/A</v>
      </c>
      <c r="AB954" s="128" t="str">
        <f>+MID(Tabla3[[#This Row],['# Viaje]],10,1)</f>
        <v/>
      </c>
    </row>
    <row r="955" spans="1:28" ht="15" hidden="1" customHeight="1">
      <c r="A955" s="173" t="s">
        <v>1659</v>
      </c>
      <c r="B955" s="174">
        <v>42948</v>
      </c>
      <c r="C955" s="173" t="s">
        <v>1231</v>
      </c>
      <c r="D955" s="173" t="s">
        <v>1478</v>
      </c>
      <c r="E955" s="173" t="s">
        <v>1479</v>
      </c>
      <c r="F955" s="173">
        <v>1</v>
      </c>
      <c r="G955" s="173" t="s">
        <v>66</v>
      </c>
      <c r="H955" s="173">
        <v>1</v>
      </c>
      <c r="I955" s="173" t="s">
        <v>1660</v>
      </c>
      <c r="J955" s="173" t="s">
        <v>354</v>
      </c>
      <c r="K955" s="173" t="s">
        <v>17</v>
      </c>
      <c r="L955" s="173"/>
      <c r="M955" s="173" t="s">
        <v>105</v>
      </c>
      <c r="N955" s="173">
        <v>800155894</v>
      </c>
      <c r="O955" s="175">
        <v>6133613</v>
      </c>
      <c r="P955" s="7"/>
      <c r="Q955" s="16">
        <f>+IF(IFERROR(VLOOKUP(Tabla3[[#This Row],[Cliente factura]],Tabla4[[NIT]:[TOTAL CREDITO]],3,FALSE),0)="",0,IFERROR(VLOOKUP(Tabla3[[#This Row],[Cliente factura]],Tabla4[[NIT]:[TOTAL CREDITO]],3,FALSE),0))</f>
        <v>0</v>
      </c>
      <c r="R955" s="9">
        <f>+IFERROR(VLOOKUP(Tabla3[[#This Row],[Cliente factura]],Tabla4[[NIT]:[TOTAL CREDITO]],6,FALSE),0)</f>
        <v>143290932</v>
      </c>
      <c r="S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5" s="10" t="str">
        <f>VLOOKUP(Tabla3[[#This Row],[Razón social cliente factura]]&amp;Tabla3[[#This Row],[Desc. ciudad]],'Estandar de Rutas'!$C$1:$E$553,2,FALSE)</f>
        <v>7.2.B</v>
      </c>
      <c r="U955" s="130">
        <f>IFERROR(VLOOKUP(Tabla3[[#This Row],[Referencia]]&amp;Tabla3[[#This Row],[Desc detalle ext 1]],Tabla1[[Referencia-Color]:[Disponibilidad]],3,FALSE),0)</f>
        <v>48</v>
      </c>
      <c r="V955" s="13"/>
      <c r="W955" s="17">
        <f>+Tabla3[[#This Row],[Cant. Programada]]*Tabla3[[#This Row],[Precio unit]]</f>
        <v>0</v>
      </c>
      <c r="X955" s="8"/>
      <c r="Y955" s="8"/>
      <c r="Z955" s="8" t="str">
        <f>+Tabla3[[#This Row],[Referencia]]&amp;Tabla3[[#This Row],[Desc detalle ext 1]]</f>
        <v>CB 160F DLX                                       ROJO SPOR</v>
      </c>
      <c r="AA955" s="128" t="e">
        <f>+VLOOKUP(Tabla3[[#This Row],[CODIGO2]],ESTANDAR!$B$3:$C$9,2,FALSE)</f>
        <v>#N/A</v>
      </c>
      <c r="AB955" s="128" t="str">
        <f>+MID(Tabla3[[#This Row],['# Viaje]],10,1)</f>
        <v/>
      </c>
    </row>
    <row r="956" spans="1:28" ht="15" hidden="1" customHeight="1">
      <c r="A956" s="173" t="s">
        <v>1661</v>
      </c>
      <c r="B956" s="174">
        <v>42949</v>
      </c>
      <c r="C956" s="173" t="s">
        <v>1231</v>
      </c>
      <c r="D956" s="173" t="s">
        <v>1478</v>
      </c>
      <c r="E956" s="173" t="s">
        <v>1479</v>
      </c>
      <c r="F956" s="173">
        <v>1</v>
      </c>
      <c r="G956" s="173" t="s">
        <v>1260</v>
      </c>
      <c r="H956" s="173">
        <v>1</v>
      </c>
      <c r="I956" s="173" t="s">
        <v>1260</v>
      </c>
      <c r="J956" s="173" t="s">
        <v>10</v>
      </c>
      <c r="K956" s="173" t="s">
        <v>11</v>
      </c>
      <c r="L956" s="173"/>
      <c r="M956" s="173" t="s">
        <v>126</v>
      </c>
      <c r="N956" s="173">
        <v>1098623565</v>
      </c>
      <c r="O956" s="175">
        <v>7554622</v>
      </c>
      <c r="P956" s="7"/>
      <c r="Q956" s="16">
        <f>+IF(IFERROR(VLOOKUP(Tabla3[[#This Row],[Cliente factura]],Tabla4[[NIT]:[TOTAL CREDITO]],3,FALSE),0)="",0,IFERROR(VLOOKUP(Tabla3[[#This Row],[Cliente factura]],Tabla4[[NIT]:[TOTAL CREDITO]],3,FALSE),0))</f>
        <v>0</v>
      </c>
      <c r="R956" s="9">
        <f>+IFERROR(VLOOKUP(Tabla3[[#This Row],[Cliente factura]],Tabla4[[NIT]:[TOTAL CREDITO]],6,FALSE),0)</f>
        <v>232000000</v>
      </c>
      <c r="S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6" s="10" t="str">
        <f>VLOOKUP(Tabla3[[#This Row],[Razón social cliente factura]]&amp;Tabla3[[#This Row],[Desc. ciudad]],'Estandar de Rutas'!$C$1:$E$553,2,FALSE)</f>
        <v>6.2.B</v>
      </c>
      <c r="U956" s="130">
        <f>IFERROR(VLOOKUP(Tabla3[[#This Row],[Referencia]]&amp;Tabla3[[#This Row],[Desc detalle ext 1]],Tabla1[[Referencia-Color]:[Disponibilidad]],3,FALSE),0)</f>
        <v>0</v>
      </c>
      <c r="V956" s="13"/>
      <c r="W956" s="17">
        <f>+Tabla3[[#This Row],[Cant. Programada]]*Tabla3[[#This Row],[Precio unit]]</f>
        <v>0</v>
      </c>
      <c r="X956" s="8"/>
      <c r="Y956" s="8"/>
      <c r="Z956" s="8" t="str">
        <f>+Tabla3[[#This Row],[Referencia]]&amp;Tabla3[[#This Row],[Desc detalle ext 1]]</f>
        <v>CB 190R                                           NEGRO ONI</v>
      </c>
      <c r="AA956" s="128" t="e">
        <f>+VLOOKUP(Tabla3[[#This Row],[CODIGO2]],ESTANDAR!$B$3:$C$9,2,FALSE)</f>
        <v>#N/A</v>
      </c>
      <c r="AB956" s="128" t="str">
        <f>+MID(Tabla3[[#This Row],['# Viaje]],10,1)</f>
        <v/>
      </c>
    </row>
    <row r="957" spans="1:28" ht="15" hidden="1" customHeight="1">
      <c r="A957" s="173" t="s">
        <v>1661</v>
      </c>
      <c r="B957" s="174">
        <v>42949</v>
      </c>
      <c r="C957" s="173" t="s">
        <v>1231</v>
      </c>
      <c r="D957" s="173" t="s">
        <v>1478</v>
      </c>
      <c r="E957" s="173" t="s">
        <v>1479</v>
      </c>
      <c r="F957" s="173">
        <v>1</v>
      </c>
      <c r="G957" s="173" t="s">
        <v>1260</v>
      </c>
      <c r="H957" s="173">
        <v>1</v>
      </c>
      <c r="I957" s="173" t="s">
        <v>1260</v>
      </c>
      <c r="J957" s="173" t="s">
        <v>1433</v>
      </c>
      <c r="K957" s="173" t="s">
        <v>1452</v>
      </c>
      <c r="L957" s="173"/>
      <c r="M957" s="173" t="s">
        <v>126</v>
      </c>
      <c r="N957" s="173">
        <v>1098623565</v>
      </c>
      <c r="O957" s="175">
        <v>3521008</v>
      </c>
      <c r="P957" s="7"/>
      <c r="Q957" s="16">
        <f>+IF(IFERROR(VLOOKUP(Tabla3[[#This Row],[Cliente factura]],Tabla4[[NIT]:[TOTAL CREDITO]],3,FALSE),0)="",0,IFERROR(VLOOKUP(Tabla3[[#This Row],[Cliente factura]],Tabla4[[NIT]:[TOTAL CREDITO]],3,FALSE),0))</f>
        <v>0</v>
      </c>
      <c r="R957" s="9">
        <f>+IFERROR(VLOOKUP(Tabla3[[#This Row],[Cliente factura]],Tabla4[[NIT]:[TOTAL CREDITO]],6,FALSE),0)</f>
        <v>232000000</v>
      </c>
      <c r="S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7" s="10" t="str">
        <f>VLOOKUP(Tabla3[[#This Row],[Razón social cliente factura]]&amp;Tabla3[[#This Row],[Desc. ciudad]],'Estandar de Rutas'!$C$1:$E$553,2,FALSE)</f>
        <v>6.2.B</v>
      </c>
      <c r="U957" s="130">
        <f>IFERROR(VLOOKUP(Tabla3[[#This Row],[Referencia]]&amp;Tabla3[[#This Row],[Desc detalle ext 1]],Tabla1[[Referencia-Color]:[Disponibilidad]],3,FALSE),0)</f>
        <v>0</v>
      </c>
      <c r="V957" s="13"/>
      <c r="W957" s="17">
        <f>+Tabla3[[#This Row],[Cant. Programada]]*Tabla3[[#This Row],[Precio unit]]</f>
        <v>0</v>
      </c>
      <c r="X957" s="8"/>
      <c r="Y957" s="8"/>
      <c r="Z957" s="8" t="str">
        <f>+Tabla3[[#This Row],[Referencia]]&amp;Tabla3[[#This Row],[Desc detalle ext 1]]</f>
        <v xml:space="preserve">DIO  110                                          AZUL     </v>
      </c>
      <c r="AA957" s="128" t="e">
        <f>+VLOOKUP(Tabla3[[#This Row],[CODIGO2]],ESTANDAR!$B$3:$C$9,2,FALSE)</f>
        <v>#N/A</v>
      </c>
      <c r="AB957" s="128" t="str">
        <f>+MID(Tabla3[[#This Row],['# Viaje]],10,1)</f>
        <v/>
      </c>
    </row>
    <row r="958" spans="1:28" ht="15" hidden="1" customHeight="1">
      <c r="A958" s="173" t="s">
        <v>1661</v>
      </c>
      <c r="B958" s="174">
        <v>42949</v>
      </c>
      <c r="C958" s="173" t="s">
        <v>1231</v>
      </c>
      <c r="D958" s="173" t="s">
        <v>1478</v>
      </c>
      <c r="E958" s="173" t="s">
        <v>1479</v>
      </c>
      <c r="F958" s="173">
        <v>1</v>
      </c>
      <c r="G958" s="173" t="s">
        <v>1260</v>
      </c>
      <c r="H958" s="173">
        <v>1</v>
      </c>
      <c r="I958" s="173" t="s">
        <v>1260</v>
      </c>
      <c r="J958" s="173" t="s">
        <v>1428</v>
      </c>
      <c r="K958" s="173" t="s">
        <v>1429</v>
      </c>
      <c r="L958" s="173"/>
      <c r="M958" s="173" t="s">
        <v>126</v>
      </c>
      <c r="N958" s="173">
        <v>1098623565</v>
      </c>
      <c r="O958" s="175">
        <v>3067227</v>
      </c>
      <c r="P958" s="7"/>
      <c r="Q958" s="16">
        <f>+IF(IFERROR(VLOOKUP(Tabla3[[#This Row],[Cliente factura]],Tabla4[[NIT]:[TOTAL CREDITO]],3,FALSE),0)="",0,IFERROR(VLOOKUP(Tabla3[[#This Row],[Cliente factura]],Tabla4[[NIT]:[TOTAL CREDITO]],3,FALSE),0))</f>
        <v>0</v>
      </c>
      <c r="R958" s="9">
        <f>+IFERROR(VLOOKUP(Tabla3[[#This Row],[Cliente factura]],Tabla4[[NIT]:[TOTAL CREDITO]],6,FALSE),0)</f>
        <v>232000000</v>
      </c>
      <c r="S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8" s="10" t="str">
        <f>VLOOKUP(Tabla3[[#This Row],[Razón social cliente factura]]&amp;Tabla3[[#This Row],[Desc. ciudad]],'Estandar de Rutas'!$C$1:$E$553,2,FALSE)</f>
        <v>6.2.B</v>
      </c>
      <c r="U958" s="130">
        <f>IFERROR(VLOOKUP(Tabla3[[#This Row],[Referencia]]&amp;Tabla3[[#This Row],[Desc detalle ext 1]],Tabla1[[Referencia-Color]:[Disponibilidad]],3,FALSE),0)</f>
        <v>0</v>
      </c>
      <c r="V958" s="13"/>
      <c r="W958" s="17">
        <f>+Tabla3[[#This Row],[Cant. Programada]]*Tabla3[[#This Row],[Precio unit]]</f>
        <v>0</v>
      </c>
      <c r="X958" s="8"/>
      <c r="Y958" s="8"/>
      <c r="Z958" s="8" t="str">
        <f>+Tabla3[[#This Row],[Referencia]]&amp;Tabla3[[#This Row],[Desc detalle ext 1]]</f>
        <v>DREAM  NEO                                        NEGRO AZU</v>
      </c>
      <c r="AA958" s="128" t="e">
        <f>+VLOOKUP(Tabla3[[#This Row],[CODIGO2]],ESTANDAR!$B$3:$C$9,2,FALSE)</f>
        <v>#N/A</v>
      </c>
      <c r="AB958" s="128" t="str">
        <f>+MID(Tabla3[[#This Row],['# Viaje]],10,1)</f>
        <v/>
      </c>
    </row>
    <row r="959" spans="1:28" ht="15" hidden="1" customHeight="1">
      <c r="A959" s="173" t="s">
        <v>1661</v>
      </c>
      <c r="B959" s="174">
        <v>42949</v>
      </c>
      <c r="C959" s="173" t="s">
        <v>1231</v>
      </c>
      <c r="D959" s="173" t="s">
        <v>1478</v>
      </c>
      <c r="E959" s="173" t="s">
        <v>1479</v>
      </c>
      <c r="F959" s="173">
        <v>1</v>
      </c>
      <c r="G959" s="173" t="s">
        <v>1260</v>
      </c>
      <c r="H959" s="173">
        <v>1</v>
      </c>
      <c r="I959" s="173" t="s">
        <v>1260</v>
      </c>
      <c r="J959" s="173" t="s">
        <v>1428</v>
      </c>
      <c r="K959" s="173" t="s">
        <v>1461</v>
      </c>
      <c r="L959" s="173"/>
      <c r="M959" s="173" t="s">
        <v>126</v>
      </c>
      <c r="N959" s="173">
        <v>1098623565</v>
      </c>
      <c r="O959" s="175">
        <v>3067227</v>
      </c>
      <c r="P959" s="7"/>
      <c r="Q959" s="16">
        <f>+IF(IFERROR(VLOOKUP(Tabla3[[#This Row],[Cliente factura]],Tabla4[[NIT]:[TOTAL CREDITO]],3,FALSE),0)="",0,IFERROR(VLOOKUP(Tabla3[[#This Row],[Cliente factura]],Tabla4[[NIT]:[TOTAL CREDITO]],3,FALSE),0))</f>
        <v>0</v>
      </c>
      <c r="R959" s="9">
        <f>+IFERROR(VLOOKUP(Tabla3[[#This Row],[Cliente factura]],Tabla4[[NIT]:[TOTAL CREDITO]],6,FALSE),0)</f>
        <v>232000000</v>
      </c>
      <c r="S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9" s="10" t="str">
        <f>VLOOKUP(Tabla3[[#This Row],[Razón social cliente factura]]&amp;Tabla3[[#This Row],[Desc. ciudad]],'Estandar de Rutas'!$C$1:$E$553,2,FALSE)</f>
        <v>6.2.B</v>
      </c>
      <c r="U959" s="130">
        <f>IFERROR(VLOOKUP(Tabla3[[#This Row],[Referencia]]&amp;Tabla3[[#This Row],[Desc detalle ext 1]],Tabla1[[Referencia-Color]:[Disponibilidad]],3,FALSE),0)</f>
        <v>0</v>
      </c>
      <c r="V959" s="13"/>
      <c r="W959" s="17">
        <f>+Tabla3[[#This Row],[Cant. Programada]]*Tabla3[[#This Row],[Precio unit]]</f>
        <v>0</v>
      </c>
      <c r="X959" s="8"/>
      <c r="Y959" s="8"/>
      <c r="Z959" s="8" t="str">
        <f>+Tabla3[[#This Row],[Referencia]]&amp;Tabla3[[#This Row],[Desc detalle ext 1]]</f>
        <v>DREAM  NEO                                        ROJO ALFA</v>
      </c>
      <c r="AA959" s="128" t="e">
        <f>+VLOOKUP(Tabla3[[#This Row],[CODIGO2]],ESTANDAR!$B$3:$C$9,2,FALSE)</f>
        <v>#N/A</v>
      </c>
      <c r="AB959" s="128" t="str">
        <f>+MID(Tabla3[[#This Row],['# Viaje]],10,1)</f>
        <v/>
      </c>
    </row>
    <row r="960" spans="1:28" ht="15" hidden="1" customHeight="1">
      <c r="A960" s="173" t="s">
        <v>1661</v>
      </c>
      <c r="B960" s="174">
        <v>42949</v>
      </c>
      <c r="C960" s="173" t="s">
        <v>1231</v>
      </c>
      <c r="D960" s="173" t="s">
        <v>1478</v>
      </c>
      <c r="E960" s="173" t="s">
        <v>1479</v>
      </c>
      <c r="F960" s="173">
        <v>1</v>
      </c>
      <c r="G960" s="173" t="s">
        <v>1260</v>
      </c>
      <c r="H960" s="173">
        <v>1</v>
      </c>
      <c r="I960" s="173" t="s">
        <v>1260</v>
      </c>
      <c r="J960" s="173" t="s">
        <v>1234</v>
      </c>
      <c r="K960" s="173" t="s">
        <v>17</v>
      </c>
      <c r="L960" s="173"/>
      <c r="M960" s="173" t="s">
        <v>126</v>
      </c>
      <c r="N960" s="173">
        <v>1098623565</v>
      </c>
      <c r="O960" s="175">
        <v>5453782</v>
      </c>
      <c r="P960" s="7"/>
      <c r="Q960" s="16">
        <f>+IF(IFERROR(VLOOKUP(Tabla3[[#This Row],[Cliente factura]],Tabla4[[NIT]:[TOTAL CREDITO]],3,FALSE),0)="",0,IFERROR(VLOOKUP(Tabla3[[#This Row],[Cliente factura]],Tabla4[[NIT]:[TOTAL CREDITO]],3,FALSE),0))</f>
        <v>0</v>
      </c>
      <c r="R960" s="9">
        <f>+IFERROR(VLOOKUP(Tabla3[[#This Row],[Cliente factura]],Tabla4[[NIT]:[TOTAL CREDITO]],6,FALSE),0)</f>
        <v>232000000</v>
      </c>
      <c r="S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0" s="10" t="str">
        <f>VLOOKUP(Tabla3[[#This Row],[Razón social cliente factura]]&amp;Tabla3[[#This Row],[Desc. ciudad]],'Estandar de Rutas'!$C$1:$E$553,2,FALSE)</f>
        <v>6.2.B</v>
      </c>
      <c r="U960" s="130">
        <f>IFERROR(VLOOKUP(Tabla3[[#This Row],[Referencia]]&amp;Tabla3[[#This Row],[Desc detalle ext 1]],Tabla1[[Referencia-Color]:[Disponibilidad]],3,FALSE),0)</f>
        <v>0</v>
      </c>
      <c r="V960" s="13"/>
      <c r="W960" s="17">
        <f>+Tabla3[[#This Row],[Cant. Programada]]*Tabla3[[#This Row],[Precio unit]]</f>
        <v>0</v>
      </c>
      <c r="X960" s="130"/>
      <c r="Y960" s="8"/>
      <c r="Z960" s="8" t="str">
        <f>+Tabla3[[#This Row],[Referencia]]&amp;Tabla3[[#This Row],[Desc detalle ext 1]]</f>
        <v>CB 160F STD                                       ROJO SPOR</v>
      </c>
      <c r="AA960" s="128" t="e">
        <f>+VLOOKUP(Tabla3[[#This Row],[CODIGO2]],ESTANDAR!$B$3:$C$9,2,FALSE)</f>
        <v>#N/A</v>
      </c>
      <c r="AB960" s="128" t="str">
        <f>+MID(Tabla3[[#This Row],['# Viaje]],10,1)</f>
        <v/>
      </c>
    </row>
    <row r="961" spans="1:28" ht="15" hidden="1" customHeight="1">
      <c r="A961" s="173" t="s">
        <v>1661</v>
      </c>
      <c r="B961" s="174">
        <v>42949</v>
      </c>
      <c r="C961" s="173" t="s">
        <v>1231</v>
      </c>
      <c r="D961" s="173" t="s">
        <v>1478</v>
      </c>
      <c r="E961" s="173" t="s">
        <v>1479</v>
      </c>
      <c r="F961" s="173">
        <v>1</v>
      </c>
      <c r="G961" s="173" t="s">
        <v>1260</v>
      </c>
      <c r="H961" s="173">
        <v>1</v>
      </c>
      <c r="I961" s="173" t="s">
        <v>1260</v>
      </c>
      <c r="J961" s="173" t="s">
        <v>1234</v>
      </c>
      <c r="K961" s="173" t="s">
        <v>355</v>
      </c>
      <c r="L961" s="173"/>
      <c r="M961" s="173" t="s">
        <v>126</v>
      </c>
      <c r="N961" s="173">
        <v>1098623565</v>
      </c>
      <c r="O961" s="175">
        <v>5453782</v>
      </c>
      <c r="P961" s="7"/>
      <c r="Q961" s="16">
        <f>+IF(IFERROR(VLOOKUP(Tabla3[[#This Row],[Cliente factura]],Tabla4[[NIT]:[TOTAL CREDITO]],3,FALSE),0)="",0,IFERROR(VLOOKUP(Tabla3[[#This Row],[Cliente factura]],Tabla4[[NIT]:[TOTAL CREDITO]],3,FALSE),0))</f>
        <v>0</v>
      </c>
      <c r="R961" s="9">
        <f>+IFERROR(VLOOKUP(Tabla3[[#This Row],[Cliente factura]],Tabla4[[NIT]:[TOTAL CREDITO]],6,FALSE),0)</f>
        <v>232000000</v>
      </c>
      <c r="S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1" s="10" t="str">
        <f>VLOOKUP(Tabla3[[#This Row],[Razón social cliente factura]]&amp;Tabla3[[#This Row],[Desc. ciudad]],'Estandar de Rutas'!$C$1:$E$553,2,FALSE)</f>
        <v>6.2.B</v>
      </c>
      <c r="U961" s="130">
        <f>IFERROR(VLOOKUP(Tabla3[[#This Row],[Referencia]]&amp;Tabla3[[#This Row],[Desc detalle ext 1]],Tabla1[[Referencia-Color]:[Disponibilidad]],3,FALSE),0)</f>
        <v>0</v>
      </c>
      <c r="V961" s="13"/>
      <c r="W961" s="17">
        <f>+Tabla3[[#This Row],[Cant. Programada]]*Tabla3[[#This Row],[Precio unit]]</f>
        <v>0</v>
      </c>
      <c r="X961" s="8"/>
      <c r="Y961" s="8"/>
      <c r="Z961" s="8" t="str">
        <f>+Tabla3[[#This Row],[Referencia]]&amp;Tabla3[[#This Row],[Desc detalle ext 1]]</f>
        <v>CB 160F STD                                       NEGRO PER</v>
      </c>
      <c r="AA961" s="128" t="e">
        <f>+VLOOKUP(Tabla3[[#This Row],[CODIGO2]],ESTANDAR!$B$3:$C$9,2,FALSE)</f>
        <v>#N/A</v>
      </c>
      <c r="AB961" s="128" t="str">
        <f>+MID(Tabla3[[#This Row],['# Viaje]],10,1)</f>
        <v/>
      </c>
    </row>
    <row r="962" spans="1:28" ht="15" hidden="1" customHeight="1">
      <c r="A962" s="173" t="s">
        <v>1661</v>
      </c>
      <c r="B962" s="174">
        <v>42949</v>
      </c>
      <c r="C962" s="173" t="s">
        <v>1231</v>
      </c>
      <c r="D962" s="173" t="s">
        <v>1478</v>
      </c>
      <c r="E962" s="173" t="s">
        <v>1479</v>
      </c>
      <c r="F962" s="173">
        <v>1</v>
      </c>
      <c r="G962" s="173" t="s">
        <v>1260</v>
      </c>
      <c r="H962" s="173">
        <v>1</v>
      </c>
      <c r="I962" s="173" t="s">
        <v>1260</v>
      </c>
      <c r="J962" s="173" t="s">
        <v>1234</v>
      </c>
      <c r="K962" s="173" t="s">
        <v>44</v>
      </c>
      <c r="L962" s="173"/>
      <c r="M962" s="173" t="s">
        <v>126</v>
      </c>
      <c r="N962" s="173">
        <v>1098623565</v>
      </c>
      <c r="O962" s="175">
        <v>5453782</v>
      </c>
      <c r="P962" s="7"/>
      <c r="Q962" s="16">
        <f>+IF(IFERROR(VLOOKUP(Tabla3[[#This Row],[Cliente factura]],Tabla4[[NIT]:[TOTAL CREDITO]],3,FALSE),0)="",0,IFERROR(VLOOKUP(Tabla3[[#This Row],[Cliente factura]],Tabla4[[NIT]:[TOTAL CREDITO]],3,FALSE),0))</f>
        <v>0</v>
      </c>
      <c r="R962" s="9">
        <f>+IFERROR(VLOOKUP(Tabla3[[#This Row],[Cliente factura]],Tabla4[[NIT]:[TOTAL CREDITO]],6,FALSE),0)</f>
        <v>232000000</v>
      </c>
      <c r="S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2" s="10" t="str">
        <f>VLOOKUP(Tabla3[[#This Row],[Razón social cliente factura]]&amp;Tabla3[[#This Row],[Desc. ciudad]],'Estandar de Rutas'!$C$1:$E$553,2,FALSE)</f>
        <v>6.2.B</v>
      </c>
      <c r="U962" s="130">
        <f>IFERROR(VLOOKUP(Tabla3[[#This Row],[Referencia]]&amp;Tabla3[[#This Row],[Desc detalle ext 1]],Tabla1[[Referencia-Color]:[Disponibilidad]],3,FALSE),0)</f>
        <v>1</v>
      </c>
      <c r="V962" s="13"/>
      <c r="W962" s="17">
        <f>+Tabla3[[#This Row],[Cant. Programada]]*Tabla3[[#This Row],[Precio unit]]</f>
        <v>0</v>
      </c>
      <c r="X962" s="8"/>
      <c r="Y962" s="8"/>
      <c r="Z962" s="8" t="str">
        <f>+Tabla3[[#This Row],[Referencia]]&amp;Tabla3[[#This Row],[Desc detalle ext 1]]</f>
        <v>CB 160F STD                                       BLANCO PE</v>
      </c>
      <c r="AA962" s="128" t="e">
        <f>+VLOOKUP(Tabla3[[#This Row],[CODIGO2]],ESTANDAR!$B$3:$C$9,2,FALSE)</f>
        <v>#N/A</v>
      </c>
      <c r="AB962" s="128" t="str">
        <f>+MID(Tabla3[[#This Row],['# Viaje]],10,1)</f>
        <v/>
      </c>
    </row>
    <row r="963" spans="1:28" ht="15" hidden="1" customHeight="1">
      <c r="A963" s="173" t="s">
        <v>1661</v>
      </c>
      <c r="B963" s="174">
        <v>42949</v>
      </c>
      <c r="C963" s="173" t="s">
        <v>1231</v>
      </c>
      <c r="D963" s="173" t="s">
        <v>1478</v>
      </c>
      <c r="E963" s="173" t="s">
        <v>1479</v>
      </c>
      <c r="F963" s="173">
        <v>1</v>
      </c>
      <c r="G963" s="173" t="s">
        <v>1260</v>
      </c>
      <c r="H963" s="173">
        <v>1</v>
      </c>
      <c r="I963" s="173" t="s">
        <v>1260</v>
      </c>
      <c r="J963" s="173" t="s">
        <v>1451</v>
      </c>
      <c r="K963" s="173" t="s">
        <v>1449</v>
      </c>
      <c r="L963" s="173"/>
      <c r="M963" s="173" t="s">
        <v>126</v>
      </c>
      <c r="N963" s="173">
        <v>1098623565</v>
      </c>
      <c r="O963" s="175">
        <v>3696639</v>
      </c>
      <c r="P963" s="7"/>
      <c r="Q963" s="16">
        <f>+IF(IFERROR(VLOOKUP(Tabla3[[#This Row],[Cliente factura]],Tabla4[[NIT]:[TOTAL CREDITO]],3,FALSE),0)="",0,IFERROR(VLOOKUP(Tabla3[[#This Row],[Cliente factura]],Tabla4[[NIT]:[TOTAL CREDITO]],3,FALSE),0))</f>
        <v>0</v>
      </c>
      <c r="R963" s="9">
        <f>+IFERROR(VLOOKUP(Tabla3[[#This Row],[Cliente factura]],Tabla4[[NIT]:[TOTAL CREDITO]],6,FALSE),0)</f>
        <v>232000000</v>
      </c>
      <c r="S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3" s="10" t="str">
        <f>VLOOKUP(Tabla3[[#This Row],[Razón social cliente factura]]&amp;Tabla3[[#This Row],[Desc. ciudad]],'Estandar de Rutas'!$C$1:$E$553,2,FALSE)</f>
        <v>6.2.B</v>
      </c>
      <c r="U963" s="130">
        <f>IFERROR(VLOOKUP(Tabla3[[#This Row],[Referencia]]&amp;Tabla3[[#This Row],[Desc detalle ext 1]],Tabla1[[Referencia-Color]:[Disponibilidad]],3,FALSE),0)</f>
        <v>24</v>
      </c>
      <c r="V963" s="13"/>
      <c r="W963" s="17">
        <f>+Tabla3[[#This Row],[Cant. Programada]]*Tabla3[[#This Row],[Precio unit]]</f>
        <v>0</v>
      </c>
      <c r="X963" s="130"/>
      <c r="Y963" s="8"/>
      <c r="Z963" s="8" t="str">
        <f>+Tabla3[[#This Row],[Referencia]]&amp;Tabla3[[#This Row],[Desc detalle ext 1]]</f>
        <v xml:space="preserve">CB 110 DLX                                        GRIS     </v>
      </c>
      <c r="AA963" s="128" t="e">
        <f>+VLOOKUP(Tabla3[[#This Row],[CODIGO2]],ESTANDAR!$B$3:$C$9,2,FALSE)</f>
        <v>#N/A</v>
      </c>
      <c r="AB963" s="128" t="str">
        <f>+MID(Tabla3[[#This Row],['# Viaje]],10,1)</f>
        <v/>
      </c>
    </row>
    <row r="964" spans="1:28" ht="15" hidden="1" customHeight="1">
      <c r="A964" s="173" t="s">
        <v>1661</v>
      </c>
      <c r="B964" s="174">
        <v>42949</v>
      </c>
      <c r="C964" s="173" t="s">
        <v>1231</v>
      </c>
      <c r="D964" s="173" t="s">
        <v>1478</v>
      </c>
      <c r="E964" s="173" t="s">
        <v>1479</v>
      </c>
      <c r="F964" s="173">
        <v>1</v>
      </c>
      <c r="G964" s="173" t="s">
        <v>1260</v>
      </c>
      <c r="H964" s="173">
        <v>1</v>
      </c>
      <c r="I964" s="173" t="s">
        <v>1260</v>
      </c>
      <c r="J964" s="173" t="s">
        <v>1451</v>
      </c>
      <c r="K964" s="173" t="s">
        <v>1452</v>
      </c>
      <c r="L964" s="173"/>
      <c r="M964" s="173" t="s">
        <v>126</v>
      </c>
      <c r="N964" s="173">
        <v>1098623565</v>
      </c>
      <c r="O964" s="175">
        <v>3696639</v>
      </c>
      <c r="P964" s="7"/>
      <c r="Q964" s="16">
        <f>+IF(IFERROR(VLOOKUP(Tabla3[[#This Row],[Cliente factura]],Tabla4[[NIT]:[TOTAL CREDITO]],3,FALSE),0)="",0,IFERROR(VLOOKUP(Tabla3[[#This Row],[Cliente factura]],Tabla4[[NIT]:[TOTAL CREDITO]],3,FALSE),0))</f>
        <v>0</v>
      </c>
      <c r="R964" s="9">
        <f>+IFERROR(VLOOKUP(Tabla3[[#This Row],[Cliente factura]],Tabla4[[NIT]:[TOTAL CREDITO]],6,FALSE),0)</f>
        <v>232000000</v>
      </c>
      <c r="S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4" s="10" t="str">
        <f>VLOOKUP(Tabla3[[#This Row],[Razón social cliente factura]]&amp;Tabla3[[#This Row],[Desc. ciudad]],'Estandar de Rutas'!$C$1:$E$553,2,FALSE)</f>
        <v>6.2.B</v>
      </c>
      <c r="U964" s="130">
        <f>IFERROR(VLOOKUP(Tabla3[[#This Row],[Referencia]]&amp;Tabla3[[#This Row],[Desc detalle ext 1]],Tabla1[[Referencia-Color]:[Disponibilidad]],3,FALSE),0)</f>
        <v>21</v>
      </c>
      <c r="V964" s="13"/>
      <c r="W964" s="17">
        <f>+Tabla3[[#This Row],[Cant. Programada]]*Tabla3[[#This Row],[Precio unit]]</f>
        <v>0</v>
      </c>
      <c r="X964" s="130"/>
      <c r="Y964" s="8"/>
      <c r="Z964" s="8" t="str">
        <f>+Tabla3[[#This Row],[Referencia]]&amp;Tabla3[[#This Row],[Desc detalle ext 1]]</f>
        <v xml:space="preserve">CB 110 DLX                                        AZUL     </v>
      </c>
      <c r="AA964" s="128" t="e">
        <f>+VLOOKUP(Tabla3[[#This Row],[CODIGO2]],ESTANDAR!$B$3:$C$9,2,FALSE)</f>
        <v>#N/A</v>
      </c>
      <c r="AB964" s="128" t="str">
        <f>+MID(Tabla3[[#This Row],['# Viaje]],10,1)</f>
        <v/>
      </c>
    </row>
    <row r="965" spans="1:28" ht="15" hidden="1" customHeight="1">
      <c r="A965" s="173" t="s">
        <v>1662</v>
      </c>
      <c r="B965" s="174">
        <v>42949</v>
      </c>
      <c r="C965" s="173" t="s">
        <v>1231</v>
      </c>
      <c r="D965" s="173" t="s">
        <v>1478</v>
      </c>
      <c r="E965" s="173" t="s">
        <v>1479</v>
      </c>
      <c r="F965" s="173">
        <v>1</v>
      </c>
      <c r="G965" s="173" t="s">
        <v>136</v>
      </c>
      <c r="H965" s="173">
        <v>1</v>
      </c>
      <c r="I965" s="173" t="s">
        <v>136</v>
      </c>
      <c r="J965" s="173" t="s">
        <v>27</v>
      </c>
      <c r="K965" s="173" t="s">
        <v>32</v>
      </c>
      <c r="L965" s="173"/>
      <c r="M965" s="173" t="s">
        <v>137</v>
      </c>
      <c r="N965" s="173">
        <v>37891797</v>
      </c>
      <c r="O965" s="175">
        <v>5789916</v>
      </c>
      <c r="P965" s="7"/>
      <c r="Q965" s="16">
        <f>+IF(IFERROR(VLOOKUP(Tabla3[[#This Row],[Cliente factura]],Tabla4[[NIT]:[TOTAL CREDITO]],3,FALSE),0)="",0,IFERROR(VLOOKUP(Tabla3[[#This Row],[Cliente factura]],Tabla4[[NIT]:[TOTAL CREDITO]],3,FALSE),0))</f>
        <v>15167199</v>
      </c>
      <c r="R965" s="9">
        <f>+IFERROR(VLOOKUP(Tabla3[[#This Row],[Cliente factura]],Tabla4[[NIT]:[TOTAL CREDITO]],6,FALSE),0)</f>
        <v>0</v>
      </c>
      <c r="S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5" s="10" t="str">
        <f>VLOOKUP(Tabla3[[#This Row],[Razón social cliente factura]]&amp;Tabla3[[#This Row],[Desc. ciudad]],'Estandar de Rutas'!$C$1:$E$553,2,FALSE)</f>
        <v>7.2.A</v>
      </c>
      <c r="U965" s="130">
        <f>IFERROR(VLOOKUP(Tabla3[[#This Row],[Referencia]]&amp;Tabla3[[#This Row],[Desc detalle ext 1]],Tabla1[[Referencia-Color]:[Disponibilidad]],3,FALSE),0)</f>
        <v>7</v>
      </c>
      <c r="V965" s="13"/>
      <c r="W965" s="17">
        <f>+Tabla3[[#This Row],[Cant. Programada]]*Tabla3[[#This Row],[Precio unit]]</f>
        <v>0</v>
      </c>
      <c r="X965" s="8"/>
      <c r="Y965" s="8"/>
      <c r="Z965" s="8" t="str">
        <f>+Tabla3[[#This Row],[Referencia]]&amp;Tabla3[[#This Row],[Desc detalle ext 1]]</f>
        <v>*XR 150L                                          NEGRO ROJ</v>
      </c>
      <c r="AA965" s="128" t="e">
        <f>+VLOOKUP(Tabla3[[#This Row],[CODIGO2]],ESTANDAR!$B$3:$C$9,2,FALSE)</f>
        <v>#N/A</v>
      </c>
      <c r="AB965" s="128" t="str">
        <f>+MID(Tabla3[[#This Row],['# Viaje]],10,1)</f>
        <v/>
      </c>
    </row>
    <row r="966" spans="1:28" ht="15" hidden="1" customHeight="1">
      <c r="A966" s="173" t="s">
        <v>1662</v>
      </c>
      <c r="B966" s="174">
        <v>42949</v>
      </c>
      <c r="C966" s="173" t="s">
        <v>1231</v>
      </c>
      <c r="D966" s="173" t="s">
        <v>1478</v>
      </c>
      <c r="E966" s="173" t="s">
        <v>1479</v>
      </c>
      <c r="F966" s="173">
        <v>1</v>
      </c>
      <c r="G966" s="173" t="s">
        <v>136</v>
      </c>
      <c r="H966" s="173">
        <v>1</v>
      </c>
      <c r="I966" s="173" t="s">
        <v>136</v>
      </c>
      <c r="J966" s="173" t="s">
        <v>27</v>
      </c>
      <c r="K966" s="173" t="s">
        <v>26</v>
      </c>
      <c r="L966" s="173"/>
      <c r="M966" s="173" t="s">
        <v>137</v>
      </c>
      <c r="N966" s="173">
        <v>37891797</v>
      </c>
      <c r="O966" s="175">
        <v>5789916</v>
      </c>
      <c r="P966" s="7"/>
      <c r="Q966" s="16">
        <f>+IF(IFERROR(VLOOKUP(Tabla3[[#This Row],[Cliente factura]],Tabla4[[NIT]:[TOTAL CREDITO]],3,FALSE),0)="",0,IFERROR(VLOOKUP(Tabla3[[#This Row],[Cliente factura]],Tabla4[[NIT]:[TOTAL CREDITO]],3,FALSE),0))</f>
        <v>15167199</v>
      </c>
      <c r="R966" s="9">
        <f>+IFERROR(VLOOKUP(Tabla3[[#This Row],[Cliente factura]],Tabla4[[NIT]:[TOTAL CREDITO]],6,FALSE),0)</f>
        <v>0</v>
      </c>
      <c r="S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6" s="10" t="str">
        <f>VLOOKUP(Tabla3[[#This Row],[Razón social cliente factura]]&amp;Tabla3[[#This Row],[Desc. ciudad]],'Estandar de Rutas'!$C$1:$E$553,2,FALSE)</f>
        <v>7.2.A</v>
      </c>
      <c r="U966" s="130">
        <f>IFERROR(VLOOKUP(Tabla3[[#This Row],[Referencia]]&amp;Tabla3[[#This Row],[Desc detalle ext 1]],Tabla1[[Referencia-Color]:[Disponibilidad]],3,FALSE),0)</f>
        <v>59</v>
      </c>
      <c r="V966" s="13"/>
      <c r="W966" s="17">
        <f>+Tabla3[[#This Row],[Cant. Programada]]*Tabla3[[#This Row],[Precio unit]]</f>
        <v>0</v>
      </c>
      <c r="X966" s="8"/>
      <c r="Y966" s="8"/>
      <c r="Z966" s="8" t="str">
        <f>+Tabla3[[#This Row],[Referencia]]&amp;Tabla3[[#This Row],[Desc detalle ext 1]]</f>
        <v>*XR 150L                                          NEGRO BLA</v>
      </c>
      <c r="AA966" s="128" t="e">
        <f>+VLOOKUP(Tabla3[[#This Row],[CODIGO2]],ESTANDAR!$B$3:$C$9,2,FALSE)</f>
        <v>#N/A</v>
      </c>
      <c r="AB966" s="128" t="str">
        <f>+MID(Tabla3[[#This Row],['# Viaje]],10,1)</f>
        <v/>
      </c>
    </row>
    <row r="967" spans="1:28" ht="15" hidden="1" customHeight="1">
      <c r="A967" s="173" t="s">
        <v>1662</v>
      </c>
      <c r="B967" s="174">
        <v>42949</v>
      </c>
      <c r="C967" s="173" t="s">
        <v>1231</v>
      </c>
      <c r="D967" s="173" t="s">
        <v>1478</v>
      </c>
      <c r="E967" s="173" t="s">
        <v>1479</v>
      </c>
      <c r="F967" s="173">
        <v>1</v>
      </c>
      <c r="G967" s="173" t="s">
        <v>136</v>
      </c>
      <c r="H967" s="173">
        <v>1</v>
      </c>
      <c r="I967" s="173" t="s">
        <v>136</v>
      </c>
      <c r="J967" s="173" t="s">
        <v>1451</v>
      </c>
      <c r="K967" s="173" t="s">
        <v>16</v>
      </c>
      <c r="L967" s="173"/>
      <c r="M967" s="173" t="s">
        <v>137</v>
      </c>
      <c r="N967" s="173">
        <v>37891797</v>
      </c>
      <c r="O967" s="175">
        <v>3696639</v>
      </c>
      <c r="P967" s="7"/>
      <c r="Q967" s="16">
        <f>+IF(IFERROR(VLOOKUP(Tabla3[[#This Row],[Cliente factura]],Tabla4[[NIT]:[TOTAL CREDITO]],3,FALSE),0)="",0,IFERROR(VLOOKUP(Tabla3[[#This Row],[Cliente factura]],Tabla4[[NIT]:[TOTAL CREDITO]],3,FALSE),0))</f>
        <v>15167199</v>
      </c>
      <c r="R967" s="9">
        <f>+IFERROR(VLOOKUP(Tabla3[[#This Row],[Cliente factura]],Tabla4[[NIT]:[TOTAL CREDITO]],6,FALSE),0)</f>
        <v>0</v>
      </c>
      <c r="S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7" s="10" t="str">
        <f>VLOOKUP(Tabla3[[#This Row],[Razón social cliente factura]]&amp;Tabla3[[#This Row],[Desc. ciudad]],'Estandar de Rutas'!$C$1:$E$553,2,FALSE)</f>
        <v>7.2.A</v>
      </c>
      <c r="U967" s="130">
        <f>IFERROR(VLOOKUP(Tabla3[[#This Row],[Referencia]]&amp;Tabla3[[#This Row],[Desc detalle ext 1]],Tabla1[[Referencia-Color]:[Disponibilidad]],3,FALSE),0)</f>
        <v>3</v>
      </c>
      <c r="V967" s="13"/>
      <c r="W967" s="17">
        <f>+Tabla3[[#This Row],[Cant. Programada]]*Tabla3[[#This Row],[Precio unit]]</f>
        <v>0</v>
      </c>
      <c r="X967" s="8"/>
      <c r="Y967" s="8"/>
      <c r="Z967" s="8" t="str">
        <f>+Tabla3[[#This Row],[Referencia]]&amp;Tabla3[[#This Row],[Desc detalle ext 1]]</f>
        <v xml:space="preserve">CB 110 DLX                                        NEGRO    </v>
      </c>
      <c r="AA967" s="128" t="e">
        <f>+VLOOKUP(Tabla3[[#This Row],[CODIGO2]],ESTANDAR!$B$3:$C$9,2,FALSE)</f>
        <v>#N/A</v>
      </c>
      <c r="AB967" s="128" t="str">
        <f>+MID(Tabla3[[#This Row],['# Viaje]],10,1)</f>
        <v/>
      </c>
    </row>
    <row r="968" spans="1:28" ht="15" hidden="1" customHeight="1">
      <c r="A968" s="173" t="s">
        <v>1663</v>
      </c>
      <c r="B968" s="174">
        <v>42949</v>
      </c>
      <c r="C968" s="173" t="s">
        <v>1231</v>
      </c>
      <c r="D968" s="173" t="s">
        <v>1478</v>
      </c>
      <c r="E968" s="173" t="s">
        <v>1479</v>
      </c>
      <c r="F968" s="173">
        <v>4</v>
      </c>
      <c r="G968" s="173" t="s">
        <v>271</v>
      </c>
      <c r="H968" s="173">
        <v>4</v>
      </c>
      <c r="I968" s="173" t="s">
        <v>271</v>
      </c>
      <c r="J968" s="173" t="s">
        <v>27</v>
      </c>
      <c r="K968" s="173" t="s">
        <v>32</v>
      </c>
      <c r="L968" s="173"/>
      <c r="M968" s="173" t="s">
        <v>390</v>
      </c>
      <c r="N968" s="173">
        <v>900637901</v>
      </c>
      <c r="O968" s="175">
        <v>5789916</v>
      </c>
      <c r="P968" s="7"/>
      <c r="Q968" s="16">
        <f>+IF(IFERROR(VLOOKUP(Tabla3[[#This Row],[Cliente factura]],Tabla4[[NIT]:[TOTAL CREDITO]],3,FALSE),0)="",0,IFERROR(VLOOKUP(Tabla3[[#This Row],[Cliente factura]],Tabla4[[NIT]:[TOTAL CREDITO]],3,FALSE),0))</f>
        <v>2948162</v>
      </c>
      <c r="R968" s="9">
        <f>+IFERROR(VLOOKUP(Tabla3[[#This Row],[Cliente factura]],Tabla4[[NIT]:[TOTAL CREDITO]],6,FALSE),0)</f>
        <v>0</v>
      </c>
      <c r="S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8" s="10" t="str">
        <f>VLOOKUP(Tabla3[[#This Row],[Razón social cliente factura]]&amp;Tabla3[[#This Row],[Desc. ciudad]],'Estandar de Rutas'!$C$1:$E$553,2,FALSE)</f>
        <v>7.2.B</v>
      </c>
      <c r="U968" s="130">
        <f>IFERROR(VLOOKUP(Tabla3[[#This Row],[Referencia]]&amp;Tabla3[[#This Row],[Desc detalle ext 1]],Tabla1[[Referencia-Color]:[Disponibilidad]],3,FALSE),0)</f>
        <v>7</v>
      </c>
      <c r="V968" s="13"/>
      <c r="W968" s="17">
        <f>+Tabla3[[#This Row],[Cant. Programada]]*Tabla3[[#This Row],[Precio unit]]</f>
        <v>0</v>
      </c>
      <c r="X968" s="8"/>
      <c r="Y968" s="8"/>
      <c r="Z968" s="8" t="str">
        <f>+Tabla3[[#This Row],[Referencia]]&amp;Tabla3[[#This Row],[Desc detalle ext 1]]</f>
        <v>*XR 150L                                          NEGRO ROJ</v>
      </c>
      <c r="AA968" s="128" t="e">
        <f>+VLOOKUP(Tabla3[[#This Row],[CODIGO2]],ESTANDAR!$B$3:$C$9,2,FALSE)</f>
        <v>#N/A</v>
      </c>
      <c r="AB968" s="128" t="str">
        <f>+MID(Tabla3[[#This Row],['# Viaje]],10,1)</f>
        <v/>
      </c>
    </row>
    <row r="969" spans="1:28" ht="15" hidden="1" customHeight="1">
      <c r="A969" s="173" t="s">
        <v>1663</v>
      </c>
      <c r="B969" s="174">
        <v>42949</v>
      </c>
      <c r="C969" s="173" t="s">
        <v>1231</v>
      </c>
      <c r="D969" s="173" t="s">
        <v>1478</v>
      </c>
      <c r="E969" s="173" t="s">
        <v>1479</v>
      </c>
      <c r="F969" s="173">
        <v>2</v>
      </c>
      <c r="G969" s="173" t="s">
        <v>271</v>
      </c>
      <c r="H969" s="173">
        <v>2</v>
      </c>
      <c r="I969" s="173" t="s">
        <v>271</v>
      </c>
      <c r="J969" s="173" t="s">
        <v>27</v>
      </c>
      <c r="K969" s="173" t="s">
        <v>16</v>
      </c>
      <c r="L969" s="173"/>
      <c r="M969" s="173" t="s">
        <v>390</v>
      </c>
      <c r="N969" s="173">
        <v>900637901</v>
      </c>
      <c r="O969" s="175">
        <v>5789916</v>
      </c>
      <c r="P969" s="7"/>
      <c r="Q969" s="16">
        <f>+IF(IFERROR(VLOOKUP(Tabla3[[#This Row],[Cliente factura]],Tabla4[[NIT]:[TOTAL CREDITO]],3,FALSE),0)="",0,IFERROR(VLOOKUP(Tabla3[[#This Row],[Cliente factura]],Tabla4[[NIT]:[TOTAL CREDITO]],3,FALSE),0))</f>
        <v>2948162</v>
      </c>
      <c r="R969" s="9">
        <f>+IFERROR(VLOOKUP(Tabla3[[#This Row],[Cliente factura]],Tabla4[[NIT]:[TOTAL CREDITO]],6,FALSE),0)</f>
        <v>0</v>
      </c>
      <c r="S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9" s="10" t="str">
        <f>VLOOKUP(Tabla3[[#This Row],[Razón social cliente factura]]&amp;Tabla3[[#This Row],[Desc. ciudad]],'Estandar de Rutas'!$C$1:$E$553,2,FALSE)</f>
        <v>7.2.B</v>
      </c>
      <c r="U969" s="130">
        <f>IFERROR(VLOOKUP(Tabla3[[#This Row],[Referencia]]&amp;Tabla3[[#This Row],[Desc detalle ext 1]],Tabla1[[Referencia-Color]:[Disponibilidad]],3,FALSE),0)</f>
        <v>3</v>
      </c>
      <c r="V969" s="13"/>
      <c r="W969" s="17">
        <f>+Tabla3[[#This Row],[Cant. Programada]]*Tabla3[[#This Row],[Precio unit]]</f>
        <v>0</v>
      </c>
      <c r="X969" s="8"/>
      <c r="Y969" s="8"/>
      <c r="Z969" s="8" t="str">
        <f>+Tabla3[[#This Row],[Referencia]]&amp;Tabla3[[#This Row],[Desc detalle ext 1]]</f>
        <v xml:space="preserve">*XR 150L                                          NEGRO    </v>
      </c>
      <c r="AA969" s="128" t="e">
        <f>+VLOOKUP(Tabla3[[#This Row],[CODIGO2]],ESTANDAR!$B$3:$C$9,2,FALSE)</f>
        <v>#N/A</v>
      </c>
      <c r="AB969" s="128" t="str">
        <f>+MID(Tabla3[[#This Row],['# Viaje]],10,1)</f>
        <v/>
      </c>
    </row>
    <row r="970" spans="1:28" ht="15" hidden="1" customHeight="1">
      <c r="A970" s="173" t="s">
        <v>1663</v>
      </c>
      <c r="B970" s="174">
        <v>42949</v>
      </c>
      <c r="C970" s="173" t="s">
        <v>1231</v>
      </c>
      <c r="D970" s="173" t="s">
        <v>1478</v>
      </c>
      <c r="E970" s="173" t="s">
        <v>1479</v>
      </c>
      <c r="F970" s="173">
        <v>1</v>
      </c>
      <c r="G970" s="173" t="s">
        <v>271</v>
      </c>
      <c r="H970" s="173">
        <v>1</v>
      </c>
      <c r="I970" s="173" t="s">
        <v>271</v>
      </c>
      <c r="J970" s="173" t="s">
        <v>1430</v>
      </c>
      <c r="K970" s="173" t="s">
        <v>1431</v>
      </c>
      <c r="L970" s="173"/>
      <c r="M970" s="173" t="s">
        <v>390</v>
      </c>
      <c r="N970" s="173">
        <v>900637901</v>
      </c>
      <c r="O970" s="175">
        <v>3941176</v>
      </c>
      <c r="P970" s="7"/>
      <c r="Q970" s="16">
        <f>+IF(IFERROR(VLOOKUP(Tabla3[[#This Row],[Cliente factura]],Tabla4[[NIT]:[TOTAL CREDITO]],3,FALSE),0)="",0,IFERROR(VLOOKUP(Tabla3[[#This Row],[Cliente factura]],Tabla4[[NIT]:[TOTAL CREDITO]],3,FALSE),0))</f>
        <v>2948162</v>
      </c>
      <c r="R970" s="9">
        <f>+IFERROR(VLOOKUP(Tabla3[[#This Row],[Cliente factura]],Tabla4[[NIT]:[TOTAL CREDITO]],6,FALSE),0)</f>
        <v>0</v>
      </c>
      <c r="S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0" s="10" t="str">
        <f>VLOOKUP(Tabla3[[#This Row],[Razón social cliente factura]]&amp;Tabla3[[#This Row],[Desc. ciudad]],'Estandar de Rutas'!$C$1:$E$553,2,FALSE)</f>
        <v>7.2.B</v>
      </c>
      <c r="U970" s="130">
        <f>IFERROR(VLOOKUP(Tabla3[[#This Row],[Referencia]]&amp;Tabla3[[#This Row],[Desc detalle ext 1]],Tabla1[[Referencia-Color]:[Disponibilidad]],3,FALSE),0)</f>
        <v>0</v>
      </c>
      <c r="V970" s="13"/>
      <c r="W970" s="17">
        <f>+Tabla3[[#This Row],[Cant. Programada]]*Tabla3[[#This Row],[Precio unit]]</f>
        <v>0</v>
      </c>
      <c r="X970" s="8"/>
      <c r="Y970" s="8"/>
      <c r="Z970" s="8" t="str">
        <f>+Tabla3[[#This Row],[Referencia]]&amp;Tabla3[[#This Row],[Desc detalle ext 1]]</f>
        <v xml:space="preserve">WAVE 110S                                         ROJO     </v>
      </c>
      <c r="AA970" s="128" t="e">
        <f>+VLOOKUP(Tabla3[[#This Row],[CODIGO2]],ESTANDAR!$B$3:$C$9,2,FALSE)</f>
        <v>#N/A</v>
      </c>
      <c r="AB970" s="128" t="str">
        <f>+MID(Tabla3[[#This Row],['# Viaje]],10,1)</f>
        <v/>
      </c>
    </row>
    <row r="971" spans="1:28" ht="15" hidden="1" customHeight="1">
      <c r="A971" s="173" t="s">
        <v>1663</v>
      </c>
      <c r="B971" s="174">
        <v>42949</v>
      </c>
      <c r="C971" s="173" t="s">
        <v>1231</v>
      </c>
      <c r="D971" s="173" t="s">
        <v>1478</v>
      </c>
      <c r="E971" s="173" t="s">
        <v>1479</v>
      </c>
      <c r="F971" s="173">
        <v>2</v>
      </c>
      <c r="G971" s="173" t="s">
        <v>271</v>
      </c>
      <c r="H971" s="173">
        <v>2</v>
      </c>
      <c r="I971" s="173" t="s">
        <v>271</v>
      </c>
      <c r="J971" s="173" t="s">
        <v>1234</v>
      </c>
      <c r="K971" s="173" t="s">
        <v>355</v>
      </c>
      <c r="L971" s="173"/>
      <c r="M971" s="173" t="s">
        <v>390</v>
      </c>
      <c r="N971" s="173">
        <v>900637901</v>
      </c>
      <c r="O971" s="175">
        <v>5453782</v>
      </c>
      <c r="P971" s="7"/>
      <c r="Q971" s="16">
        <f>+IF(IFERROR(VLOOKUP(Tabla3[[#This Row],[Cliente factura]],Tabla4[[NIT]:[TOTAL CREDITO]],3,FALSE),0)="",0,IFERROR(VLOOKUP(Tabla3[[#This Row],[Cliente factura]],Tabla4[[NIT]:[TOTAL CREDITO]],3,FALSE),0))</f>
        <v>2948162</v>
      </c>
      <c r="R971" s="9">
        <f>+IFERROR(VLOOKUP(Tabla3[[#This Row],[Cliente factura]],Tabla4[[NIT]:[TOTAL CREDITO]],6,FALSE),0)</f>
        <v>0</v>
      </c>
      <c r="S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1" s="10" t="str">
        <f>VLOOKUP(Tabla3[[#This Row],[Razón social cliente factura]]&amp;Tabla3[[#This Row],[Desc. ciudad]],'Estandar de Rutas'!$C$1:$E$553,2,FALSE)</f>
        <v>7.2.B</v>
      </c>
      <c r="U971" s="130">
        <f>IFERROR(VLOOKUP(Tabla3[[#This Row],[Referencia]]&amp;Tabla3[[#This Row],[Desc detalle ext 1]],Tabla1[[Referencia-Color]:[Disponibilidad]],3,FALSE),0)</f>
        <v>0</v>
      </c>
      <c r="V971" s="13"/>
      <c r="W971" s="17">
        <f>+Tabla3[[#This Row],[Cant. Programada]]*Tabla3[[#This Row],[Precio unit]]</f>
        <v>0</v>
      </c>
      <c r="X971" s="8"/>
      <c r="Y971" s="8"/>
      <c r="Z971" s="8" t="str">
        <f>+Tabla3[[#This Row],[Referencia]]&amp;Tabla3[[#This Row],[Desc detalle ext 1]]</f>
        <v>CB 160F STD                                       NEGRO PER</v>
      </c>
      <c r="AA971" s="128" t="e">
        <f>+VLOOKUP(Tabla3[[#This Row],[CODIGO2]],ESTANDAR!$B$3:$C$9,2,FALSE)</f>
        <v>#N/A</v>
      </c>
      <c r="AB971" s="128" t="str">
        <f>+MID(Tabla3[[#This Row],['# Viaje]],10,1)</f>
        <v/>
      </c>
    </row>
    <row r="972" spans="1:28" ht="15" hidden="1" customHeight="1">
      <c r="A972" s="173" t="s">
        <v>1663</v>
      </c>
      <c r="B972" s="174">
        <v>42949</v>
      </c>
      <c r="C972" s="173" t="s">
        <v>1231</v>
      </c>
      <c r="D972" s="173" t="s">
        <v>1478</v>
      </c>
      <c r="E972" s="173" t="s">
        <v>1479</v>
      </c>
      <c r="F972" s="173">
        <v>1</v>
      </c>
      <c r="G972" s="173" t="s">
        <v>271</v>
      </c>
      <c r="H972" s="173">
        <v>1</v>
      </c>
      <c r="I972" s="173" t="s">
        <v>271</v>
      </c>
      <c r="J972" s="173" t="s">
        <v>1451</v>
      </c>
      <c r="K972" s="173" t="s">
        <v>1449</v>
      </c>
      <c r="L972" s="173"/>
      <c r="M972" s="173" t="s">
        <v>390</v>
      </c>
      <c r="N972" s="173">
        <v>900637901</v>
      </c>
      <c r="O972" s="175">
        <v>3696639</v>
      </c>
      <c r="P972" s="7"/>
      <c r="Q972" s="16">
        <f>+IF(IFERROR(VLOOKUP(Tabla3[[#This Row],[Cliente factura]],Tabla4[[NIT]:[TOTAL CREDITO]],3,FALSE),0)="",0,IFERROR(VLOOKUP(Tabla3[[#This Row],[Cliente factura]],Tabla4[[NIT]:[TOTAL CREDITO]],3,FALSE),0))</f>
        <v>2948162</v>
      </c>
      <c r="R972" s="9">
        <f>+IFERROR(VLOOKUP(Tabla3[[#This Row],[Cliente factura]],Tabla4[[NIT]:[TOTAL CREDITO]],6,FALSE),0)</f>
        <v>0</v>
      </c>
      <c r="S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2" s="10" t="str">
        <f>VLOOKUP(Tabla3[[#This Row],[Razón social cliente factura]]&amp;Tabla3[[#This Row],[Desc. ciudad]],'Estandar de Rutas'!$C$1:$E$553,2,FALSE)</f>
        <v>7.2.B</v>
      </c>
      <c r="U972" s="130">
        <f>IFERROR(VLOOKUP(Tabla3[[#This Row],[Referencia]]&amp;Tabla3[[#This Row],[Desc detalle ext 1]],Tabla1[[Referencia-Color]:[Disponibilidad]],3,FALSE),0)</f>
        <v>24</v>
      </c>
      <c r="V972" s="13"/>
      <c r="W972" s="17">
        <f>+Tabla3[[#This Row],[Cant. Programada]]*Tabla3[[#This Row],[Precio unit]]</f>
        <v>0</v>
      </c>
      <c r="X972" s="8"/>
      <c r="Y972" s="8"/>
      <c r="Z972" s="8" t="str">
        <f>+Tabla3[[#This Row],[Referencia]]&amp;Tabla3[[#This Row],[Desc detalle ext 1]]</f>
        <v xml:space="preserve">CB 110 DLX                                        GRIS     </v>
      </c>
      <c r="AA972" s="128" t="e">
        <f>+VLOOKUP(Tabla3[[#This Row],[CODIGO2]],ESTANDAR!$B$3:$C$9,2,FALSE)</f>
        <v>#N/A</v>
      </c>
      <c r="AB972" s="128" t="str">
        <f>+MID(Tabla3[[#This Row],['# Viaje]],10,1)</f>
        <v/>
      </c>
    </row>
    <row r="973" spans="1:28" ht="15" hidden="1" customHeight="1">
      <c r="A973" s="173" t="s">
        <v>1663</v>
      </c>
      <c r="B973" s="174">
        <v>42949</v>
      </c>
      <c r="C973" s="173" t="s">
        <v>1231</v>
      </c>
      <c r="D973" s="173" t="s">
        <v>1478</v>
      </c>
      <c r="E973" s="173" t="s">
        <v>1479</v>
      </c>
      <c r="F973" s="173">
        <v>1</v>
      </c>
      <c r="G973" s="173" t="s">
        <v>271</v>
      </c>
      <c r="H973" s="173">
        <v>1</v>
      </c>
      <c r="I973" s="173" t="s">
        <v>271</v>
      </c>
      <c r="J973" s="173" t="s">
        <v>1451</v>
      </c>
      <c r="K973" s="173" t="s">
        <v>1431</v>
      </c>
      <c r="L973" s="173"/>
      <c r="M973" s="173" t="s">
        <v>390</v>
      </c>
      <c r="N973" s="173">
        <v>900637901</v>
      </c>
      <c r="O973" s="175">
        <v>3696639</v>
      </c>
      <c r="P973" s="7"/>
      <c r="Q973" s="16">
        <f>+IF(IFERROR(VLOOKUP(Tabla3[[#This Row],[Cliente factura]],Tabla4[[NIT]:[TOTAL CREDITO]],3,FALSE),0)="",0,IFERROR(VLOOKUP(Tabla3[[#This Row],[Cliente factura]],Tabla4[[NIT]:[TOTAL CREDITO]],3,FALSE),0))</f>
        <v>2948162</v>
      </c>
      <c r="R973" s="9">
        <f>+IFERROR(VLOOKUP(Tabla3[[#This Row],[Cliente factura]],Tabla4[[NIT]:[TOTAL CREDITO]],6,FALSE),0)</f>
        <v>0</v>
      </c>
      <c r="S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3" s="10" t="str">
        <f>VLOOKUP(Tabla3[[#This Row],[Razón social cliente factura]]&amp;Tabla3[[#This Row],[Desc. ciudad]],'Estandar de Rutas'!$C$1:$E$553,2,FALSE)</f>
        <v>7.2.B</v>
      </c>
      <c r="U973" s="130">
        <f>IFERROR(VLOOKUP(Tabla3[[#This Row],[Referencia]]&amp;Tabla3[[#This Row],[Desc detalle ext 1]],Tabla1[[Referencia-Color]:[Disponibilidad]],3,FALSE),0)</f>
        <v>21</v>
      </c>
      <c r="V973" s="13"/>
      <c r="W973" s="17">
        <f>+Tabla3[[#This Row],[Cant. Programada]]*Tabla3[[#This Row],[Precio unit]]</f>
        <v>0</v>
      </c>
      <c r="X973" s="8"/>
      <c r="Y973" s="8"/>
      <c r="Z973" s="8" t="str">
        <f>+Tabla3[[#This Row],[Referencia]]&amp;Tabla3[[#This Row],[Desc detalle ext 1]]</f>
        <v xml:space="preserve">CB 110 DLX                                        ROJO     </v>
      </c>
      <c r="AA973" s="128" t="e">
        <f>+VLOOKUP(Tabla3[[#This Row],[CODIGO2]],ESTANDAR!$B$3:$C$9,2,FALSE)</f>
        <v>#N/A</v>
      </c>
      <c r="AB973" s="128" t="str">
        <f>+MID(Tabla3[[#This Row],['# Viaje]],10,1)</f>
        <v/>
      </c>
    </row>
    <row r="974" spans="1:28" ht="15" hidden="1" customHeight="1">
      <c r="A974" s="173" t="s">
        <v>1664</v>
      </c>
      <c r="B974" s="174">
        <v>42949</v>
      </c>
      <c r="C974" s="173" t="s">
        <v>1231</v>
      </c>
      <c r="D974" s="173" t="s">
        <v>1237</v>
      </c>
      <c r="E974" s="173" t="s">
        <v>1479</v>
      </c>
      <c r="F974" s="173">
        <v>1</v>
      </c>
      <c r="G974" s="173" t="s">
        <v>116</v>
      </c>
      <c r="H974" s="173">
        <v>1</v>
      </c>
      <c r="I974" s="173" t="s">
        <v>1665</v>
      </c>
      <c r="J974" s="173" t="s">
        <v>1433</v>
      </c>
      <c r="K974" s="173" t="s">
        <v>1431</v>
      </c>
      <c r="L974" s="173"/>
      <c r="M974" s="173" t="s">
        <v>117</v>
      </c>
      <c r="N974" s="173">
        <v>5084051</v>
      </c>
      <c r="O974" s="175">
        <v>3521008</v>
      </c>
      <c r="P974" s="7"/>
      <c r="Q974" s="16">
        <f>+IF(IFERROR(VLOOKUP(Tabla3[[#This Row],[Cliente factura]],Tabla4[[NIT]:[TOTAL CREDITO]],3,FALSE),0)="",0,IFERROR(VLOOKUP(Tabla3[[#This Row],[Cliente factura]],Tabla4[[NIT]:[TOTAL CREDITO]],3,FALSE),0))</f>
        <v>13300000</v>
      </c>
      <c r="R974" s="9">
        <f>+IFERROR(VLOOKUP(Tabla3[[#This Row],[Cliente factura]],Tabla4[[NIT]:[TOTAL CREDITO]],6,FALSE),0)</f>
        <v>217000000</v>
      </c>
      <c r="S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4" s="10" t="str">
        <f>VLOOKUP(Tabla3[[#This Row],[Razón social cliente factura]]&amp;Tabla3[[#This Row],[Desc. ciudad]],'Estandar de Rutas'!$C$1:$E$553,2,FALSE)</f>
        <v>6.3</v>
      </c>
      <c r="U974" s="130">
        <f>IFERROR(VLOOKUP(Tabla3[[#This Row],[Referencia]]&amp;Tabla3[[#This Row],[Desc detalle ext 1]],Tabla1[[Referencia-Color]:[Disponibilidad]],3,FALSE),0)</f>
        <v>0</v>
      </c>
      <c r="V974" s="13"/>
      <c r="W974" s="17">
        <f>+Tabla3[[#This Row],[Cant. Programada]]*Tabla3[[#This Row],[Precio unit]]</f>
        <v>0</v>
      </c>
      <c r="X974" s="8"/>
      <c r="Y974" s="8"/>
      <c r="Z974" s="8" t="str">
        <f>+Tabla3[[#This Row],[Referencia]]&amp;Tabla3[[#This Row],[Desc detalle ext 1]]</f>
        <v xml:space="preserve">DIO  110                                          ROJO     </v>
      </c>
      <c r="AA974" s="128" t="e">
        <f>+VLOOKUP(Tabla3[[#This Row],[CODIGO2]],ESTANDAR!$B$3:$C$9,2,FALSE)</f>
        <v>#N/A</v>
      </c>
      <c r="AB974" s="128" t="str">
        <f>+MID(Tabla3[[#This Row],['# Viaje]],10,1)</f>
        <v/>
      </c>
    </row>
    <row r="975" spans="1:28" ht="15" hidden="1" customHeight="1">
      <c r="A975" s="173" t="s">
        <v>1664</v>
      </c>
      <c r="B975" s="174">
        <v>42949</v>
      </c>
      <c r="C975" s="173" t="s">
        <v>1231</v>
      </c>
      <c r="D975" s="173" t="s">
        <v>1237</v>
      </c>
      <c r="E975" s="173" t="s">
        <v>1479</v>
      </c>
      <c r="F975" s="173">
        <v>1</v>
      </c>
      <c r="G975" s="173" t="s">
        <v>116</v>
      </c>
      <c r="H975" s="173">
        <v>1</v>
      </c>
      <c r="I975" s="173" t="s">
        <v>1665</v>
      </c>
      <c r="J975" s="173" t="s">
        <v>1451</v>
      </c>
      <c r="K975" s="173" t="s">
        <v>1452</v>
      </c>
      <c r="L975" s="173"/>
      <c r="M975" s="173" t="s">
        <v>117</v>
      </c>
      <c r="N975" s="173">
        <v>5084051</v>
      </c>
      <c r="O975" s="175">
        <v>3696639</v>
      </c>
      <c r="P975" s="7"/>
      <c r="Q975" s="16">
        <f>+IF(IFERROR(VLOOKUP(Tabla3[[#This Row],[Cliente factura]],Tabla4[[NIT]:[TOTAL CREDITO]],3,FALSE),0)="",0,IFERROR(VLOOKUP(Tabla3[[#This Row],[Cliente factura]],Tabla4[[NIT]:[TOTAL CREDITO]],3,FALSE),0))</f>
        <v>13300000</v>
      </c>
      <c r="R975" s="9">
        <f>+IFERROR(VLOOKUP(Tabla3[[#This Row],[Cliente factura]],Tabla4[[NIT]:[TOTAL CREDITO]],6,FALSE),0)</f>
        <v>217000000</v>
      </c>
      <c r="S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5" s="10" t="str">
        <f>VLOOKUP(Tabla3[[#This Row],[Razón social cliente factura]]&amp;Tabla3[[#This Row],[Desc. ciudad]],'Estandar de Rutas'!$C$1:$E$553,2,FALSE)</f>
        <v>6.3</v>
      </c>
      <c r="U975" s="130">
        <f>IFERROR(VLOOKUP(Tabla3[[#This Row],[Referencia]]&amp;Tabla3[[#This Row],[Desc detalle ext 1]],Tabla1[[Referencia-Color]:[Disponibilidad]],3,FALSE),0)</f>
        <v>21</v>
      </c>
      <c r="V975" s="13"/>
      <c r="W975" s="17">
        <f>+Tabla3[[#This Row],[Cant. Programada]]*Tabla3[[#This Row],[Precio unit]]</f>
        <v>0</v>
      </c>
      <c r="X975" s="8"/>
      <c r="Y975" s="8"/>
      <c r="Z975" s="8" t="str">
        <f>+Tabla3[[#This Row],[Referencia]]&amp;Tabla3[[#This Row],[Desc detalle ext 1]]</f>
        <v xml:space="preserve">CB 110 DLX                                        AZUL     </v>
      </c>
      <c r="AA975" s="128" t="e">
        <f>+VLOOKUP(Tabla3[[#This Row],[CODIGO2]],ESTANDAR!$B$3:$C$9,2,FALSE)</f>
        <v>#N/A</v>
      </c>
      <c r="AB975" s="128" t="str">
        <f>+MID(Tabla3[[#This Row],['# Viaje]],10,1)</f>
        <v/>
      </c>
    </row>
    <row r="976" spans="1:28" ht="15" hidden="1" customHeight="1">
      <c r="A976" s="173" t="s">
        <v>1664</v>
      </c>
      <c r="B976" s="174">
        <v>42949</v>
      </c>
      <c r="C976" s="173" t="s">
        <v>1231</v>
      </c>
      <c r="D976" s="173" t="s">
        <v>1237</v>
      </c>
      <c r="E976" s="173" t="s">
        <v>1479</v>
      </c>
      <c r="F976" s="173">
        <v>2</v>
      </c>
      <c r="G976" s="173" t="s">
        <v>116</v>
      </c>
      <c r="H976" s="173">
        <v>2</v>
      </c>
      <c r="I976" s="173" t="s">
        <v>1665</v>
      </c>
      <c r="J976" s="173" t="s">
        <v>1451</v>
      </c>
      <c r="K976" s="173" t="s">
        <v>16</v>
      </c>
      <c r="L976" s="173"/>
      <c r="M976" s="173" t="s">
        <v>117</v>
      </c>
      <c r="N976" s="173">
        <v>5084051</v>
      </c>
      <c r="O976" s="175">
        <v>3696639</v>
      </c>
      <c r="P976" s="7"/>
      <c r="Q976" s="16">
        <f>+IF(IFERROR(VLOOKUP(Tabla3[[#This Row],[Cliente factura]],Tabla4[[NIT]:[TOTAL CREDITO]],3,FALSE),0)="",0,IFERROR(VLOOKUP(Tabla3[[#This Row],[Cliente factura]],Tabla4[[NIT]:[TOTAL CREDITO]],3,FALSE),0))</f>
        <v>13300000</v>
      </c>
      <c r="R976" s="9">
        <f>+IFERROR(VLOOKUP(Tabla3[[#This Row],[Cliente factura]],Tabla4[[NIT]:[TOTAL CREDITO]],6,FALSE),0)</f>
        <v>217000000</v>
      </c>
      <c r="S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6" s="10" t="str">
        <f>VLOOKUP(Tabla3[[#This Row],[Razón social cliente factura]]&amp;Tabla3[[#This Row],[Desc. ciudad]],'Estandar de Rutas'!$C$1:$E$553,2,FALSE)</f>
        <v>6.3</v>
      </c>
      <c r="U976" s="130">
        <f>IFERROR(VLOOKUP(Tabla3[[#This Row],[Referencia]]&amp;Tabla3[[#This Row],[Desc detalle ext 1]],Tabla1[[Referencia-Color]:[Disponibilidad]],3,FALSE),0)</f>
        <v>3</v>
      </c>
      <c r="V976" s="13"/>
      <c r="W976" s="17">
        <f>+Tabla3[[#This Row],[Cant. Programada]]*Tabla3[[#This Row],[Precio unit]]</f>
        <v>0</v>
      </c>
      <c r="X976" s="8"/>
      <c r="Y976" s="8"/>
      <c r="Z976" s="8" t="str">
        <f>+Tabla3[[#This Row],[Referencia]]&amp;Tabla3[[#This Row],[Desc detalle ext 1]]</f>
        <v xml:space="preserve">CB 110 DLX                                        NEGRO    </v>
      </c>
      <c r="AA976" s="128" t="e">
        <f>+VLOOKUP(Tabla3[[#This Row],[CODIGO2]],ESTANDAR!$B$3:$C$9,2,FALSE)</f>
        <v>#N/A</v>
      </c>
      <c r="AB976" s="128" t="str">
        <f>+MID(Tabla3[[#This Row],['# Viaje]],10,1)</f>
        <v/>
      </c>
    </row>
    <row r="977" spans="1:28" ht="15" hidden="1" customHeight="1">
      <c r="A977" s="173" t="s">
        <v>1666</v>
      </c>
      <c r="B977" s="174">
        <v>42949</v>
      </c>
      <c r="C977" s="173" t="s">
        <v>1231</v>
      </c>
      <c r="D977" s="173" t="s">
        <v>1487</v>
      </c>
      <c r="E977" s="173" t="s">
        <v>1479</v>
      </c>
      <c r="F977" s="173">
        <v>1</v>
      </c>
      <c r="G977" s="173" t="s">
        <v>180</v>
      </c>
      <c r="H977" s="173">
        <v>1</v>
      </c>
      <c r="I977" s="173" t="s">
        <v>180</v>
      </c>
      <c r="J977" s="173" t="s">
        <v>27</v>
      </c>
      <c r="K977" s="173" t="s">
        <v>26</v>
      </c>
      <c r="L977" s="173"/>
      <c r="M977" s="173" t="s">
        <v>181</v>
      </c>
      <c r="N977" s="173">
        <v>900648202</v>
      </c>
      <c r="O977" s="175">
        <v>5789916</v>
      </c>
      <c r="P977" s="7"/>
      <c r="Q977" s="16">
        <f>+IF(IFERROR(VLOOKUP(Tabla3[[#This Row],[Cliente factura]],Tabla4[[NIT]:[TOTAL CREDITO]],3,FALSE),0)="",0,IFERROR(VLOOKUP(Tabla3[[#This Row],[Cliente factura]],Tabla4[[NIT]:[TOTAL CREDITO]],3,FALSE),0))</f>
        <v>15070697</v>
      </c>
      <c r="R977" s="9">
        <f>+IFERROR(VLOOKUP(Tabla3[[#This Row],[Cliente factura]],Tabla4[[NIT]:[TOTAL CREDITO]],6,FALSE),0)</f>
        <v>0</v>
      </c>
      <c r="S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7" s="10" t="str">
        <f>VLOOKUP(Tabla3[[#This Row],[Razón social cliente factura]]&amp;Tabla3[[#This Row],[Desc. ciudad]],'Estandar de Rutas'!$C$1:$E$553,2,FALSE)</f>
        <v>11.2</v>
      </c>
      <c r="U977" s="130">
        <f>IFERROR(VLOOKUP(Tabla3[[#This Row],[Referencia]]&amp;Tabla3[[#This Row],[Desc detalle ext 1]],Tabla1[[Referencia-Color]:[Disponibilidad]],3,FALSE),0)</f>
        <v>59</v>
      </c>
      <c r="V977" s="13"/>
      <c r="W977" s="17">
        <f>+Tabla3[[#This Row],[Cant. Programada]]*Tabla3[[#This Row],[Precio unit]]</f>
        <v>0</v>
      </c>
      <c r="X977" s="130"/>
      <c r="Y977" s="8"/>
      <c r="Z977" s="8" t="str">
        <f>+Tabla3[[#This Row],[Referencia]]&amp;Tabla3[[#This Row],[Desc detalle ext 1]]</f>
        <v>*XR 150L                                          NEGRO BLA</v>
      </c>
      <c r="AA977" s="128" t="e">
        <f>+VLOOKUP(Tabla3[[#This Row],[CODIGO2]],ESTANDAR!$B$3:$C$9,2,FALSE)</f>
        <v>#N/A</v>
      </c>
      <c r="AB977" s="128" t="str">
        <f>+MID(Tabla3[[#This Row],['# Viaje]],10,1)</f>
        <v/>
      </c>
    </row>
    <row r="978" spans="1:28" ht="15" hidden="1" customHeight="1">
      <c r="A978" s="173" t="s">
        <v>1666</v>
      </c>
      <c r="B978" s="174">
        <v>42949</v>
      </c>
      <c r="C978" s="173" t="s">
        <v>1231</v>
      </c>
      <c r="D978" s="173" t="s">
        <v>1487</v>
      </c>
      <c r="E978" s="173" t="s">
        <v>1479</v>
      </c>
      <c r="F978" s="173">
        <v>1</v>
      </c>
      <c r="G978" s="173" t="s">
        <v>180</v>
      </c>
      <c r="H978" s="173">
        <v>1</v>
      </c>
      <c r="I978" s="173" t="s">
        <v>180</v>
      </c>
      <c r="J978" s="173" t="s">
        <v>1425</v>
      </c>
      <c r="K978" s="173" t="s">
        <v>1426</v>
      </c>
      <c r="L978" s="173"/>
      <c r="M978" s="173" t="s">
        <v>181</v>
      </c>
      <c r="N978" s="173">
        <v>900648202</v>
      </c>
      <c r="O978" s="175">
        <v>7730252</v>
      </c>
      <c r="P978" s="7"/>
      <c r="Q978" s="16">
        <f>+IF(IFERROR(VLOOKUP(Tabla3[[#This Row],[Cliente factura]],Tabla4[[NIT]:[TOTAL CREDITO]],3,FALSE),0)="",0,IFERROR(VLOOKUP(Tabla3[[#This Row],[Cliente factura]],Tabla4[[NIT]:[TOTAL CREDITO]],3,FALSE),0))</f>
        <v>15070697</v>
      </c>
      <c r="R978" s="9">
        <f>+IFERROR(VLOOKUP(Tabla3[[#This Row],[Cliente factura]],Tabla4[[NIT]:[TOTAL CREDITO]],6,FALSE),0)</f>
        <v>0</v>
      </c>
      <c r="S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8" s="10" t="str">
        <f>VLOOKUP(Tabla3[[#This Row],[Razón social cliente factura]]&amp;Tabla3[[#This Row],[Desc. ciudad]],'Estandar de Rutas'!$C$1:$E$553,2,FALSE)</f>
        <v>11.2</v>
      </c>
      <c r="U978" s="130">
        <f>IFERROR(VLOOKUP(Tabla3[[#This Row],[Referencia]]&amp;Tabla3[[#This Row],[Desc detalle ext 1]],Tabla1[[Referencia-Color]:[Disponibilidad]],3,FALSE),0)</f>
        <v>104</v>
      </c>
      <c r="V978" s="13"/>
      <c r="W978" s="17">
        <f>+Tabla3[[#This Row],[Cant. Programada]]*Tabla3[[#This Row],[Precio unit]]</f>
        <v>0</v>
      </c>
      <c r="X978" s="130"/>
      <c r="Y978" s="8"/>
      <c r="Z978" s="8" t="str">
        <f>+Tabla3[[#This Row],[Referencia]]&amp;Tabla3[[#This Row],[Desc detalle ext 1]]</f>
        <v>CB 190 REPSOL                                     NARANJA B</v>
      </c>
      <c r="AA978" s="128" t="e">
        <f>+VLOOKUP(Tabla3[[#This Row],[CODIGO2]],ESTANDAR!$B$3:$C$9,2,FALSE)</f>
        <v>#N/A</v>
      </c>
      <c r="AB978" s="128" t="str">
        <f>+MID(Tabla3[[#This Row],['# Viaje]],10,1)</f>
        <v/>
      </c>
    </row>
    <row r="979" spans="1:28" ht="15" hidden="1" customHeight="1">
      <c r="A979" s="173" t="s">
        <v>1666</v>
      </c>
      <c r="B979" s="174">
        <v>42949</v>
      </c>
      <c r="C979" s="173" t="s">
        <v>1231</v>
      </c>
      <c r="D979" s="173" t="s">
        <v>1487</v>
      </c>
      <c r="E979" s="173" t="s">
        <v>1479</v>
      </c>
      <c r="F979" s="173">
        <v>1</v>
      </c>
      <c r="G979" s="173" t="s">
        <v>180</v>
      </c>
      <c r="H979" s="173">
        <v>1</v>
      </c>
      <c r="I979" s="173" t="s">
        <v>180</v>
      </c>
      <c r="J979" s="173" t="s">
        <v>1453</v>
      </c>
      <c r="K979" s="173" t="s">
        <v>11</v>
      </c>
      <c r="L979" s="173"/>
      <c r="M979" s="173" t="s">
        <v>181</v>
      </c>
      <c r="N979" s="173">
        <v>900648202</v>
      </c>
      <c r="O979" s="175">
        <v>7730252</v>
      </c>
      <c r="P979" s="7"/>
      <c r="Q979" s="16">
        <f>+IF(IFERROR(VLOOKUP(Tabla3[[#This Row],[Cliente factura]],Tabla4[[NIT]:[TOTAL CREDITO]],3,FALSE),0)="",0,IFERROR(VLOOKUP(Tabla3[[#This Row],[Cliente factura]],Tabla4[[NIT]:[TOTAL CREDITO]],3,FALSE),0))</f>
        <v>15070697</v>
      </c>
      <c r="R979" s="9">
        <f>+IFERROR(VLOOKUP(Tabla3[[#This Row],[Cliente factura]],Tabla4[[NIT]:[TOTAL CREDITO]],6,FALSE),0)</f>
        <v>0</v>
      </c>
      <c r="S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9" s="10" t="str">
        <f>VLOOKUP(Tabla3[[#This Row],[Razón social cliente factura]]&amp;Tabla3[[#This Row],[Desc. ciudad]],'Estandar de Rutas'!$C$1:$E$553,2,FALSE)</f>
        <v>11.2</v>
      </c>
      <c r="U979" s="130">
        <f>IFERROR(VLOOKUP(Tabla3[[#This Row],[Referencia]]&amp;Tabla3[[#This Row],[Desc detalle ext 1]],Tabla1[[Referencia-Color]:[Disponibilidad]],3,FALSE),0)</f>
        <v>0</v>
      </c>
      <c r="V979" s="13"/>
      <c r="W979" s="17">
        <f>+Tabla3[[#This Row],[Cant. Programada]]*Tabla3[[#This Row],[Precio unit]]</f>
        <v>0</v>
      </c>
      <c r="X979" s="8"/>
      <c r="Y979" s="8"/>
      <c r="Z979" s="8" t="str">
        <f>+Tabla3[[#This Row],[Referencia]]&amp;Tabla3[[#This Row],[Desc detalle ext 1]]</f>
        <v>CB 190R INSTINTO R                                NEGRO ONI</v>
      </c>
      <c r="AA979" s="128" t="e">
        <f>+VLOOKUP(Tabla3[[#This Row],[CODIGO2]],ESTANDAR!$B$3:$C$9,2,FALSE)</f>
        <v>#N/A</v>
      </c>
      <c r="AB979" s="128" t="str">
        <f>+MID(Tabla3[[#This Row],['# Viaje]],10,1)</f>
        <v/>
      </c>
    </row>
    <row r="980" spans="1:28" ht="15" hidden="1" customHeight="1">
      <c r="A980" s="173" t="s">
        <v>1666</v>
      </c>
      <c r="B980" s="174">
        <v>42949</v>
      </c>
      <c r="C980" s="173" t="s">
        <v>1231</v>
      </c>
      <c r="D980" s="173" t="s">
        <v>1487</v>
      </c>
      <c r="E980" s="173" t="s">
        <v>1479</v>
      </c>
      <c r="F980" s="173">
        <v>2</v>
      </c>
      <c r="G980" s="173" t="s">
        <v>180</v>
      </c>
      <c r="H980" s="173">
        <v>2</v>
      </c>
      <c r="I980" s="173" t="s">
        <v>180</v>
      </c>
      <c r="J980" s="173" t="s">
        <v>1428</v>
      </c>
      <c r="K980" s="173" t="s">
        <v>1461</v>
      </c>
      <c r="L980" s="173"/>
      <c r="M980" s="173" t="s">
        <v>181</v>
      </c>
      <c r="N980" s="173">
        <v>900648202</v>
      </c>
      <c r="O980" s="175">
        <v>3067227</v>
      </c>
      <c r="P980" s="7"/>
      <c r="Q980" s="16">
        <f>+IF(IFERROR(VLOOKUP(Tabla3[[#This Row],[Cliente factura]],Tabla4[[NIT]:[TOTAL CREDITO]],3,FALSE),0)="",0,IFERROR(VLOOKUP(Tabla3[[#This Row],[Cliente factura]],Tabla4[[NIT]:[TOTAL CREDITO]],3,FALSE),0))</f>
        <v>15070697</v>
      </c>
      <c r="R980" s="9">
        <f>+IFERROR(VLOOKUP(Tabla3[[#This Row],[Cliente factura]],Tabla4[[NIT]:[TOTAL CREDITO]],6,FALSE),0)</f>
        <v>0</v>
      </c>
      <c r="S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0" s="10" t="str">
        <f>VLOOKUP(Tabla3[[#This Row],[Razón social cliente factura]]&amp;Tabla3[[#This Row],[Desc. ciudad]],'Estandar de Rutas'!$C$1:$E$553,2,FALSE)</f>
        <v>11.2</v>
      </c>
      <c r="U980" s="130">
        <f>IFERROR(VLOOKUP(Tabla3[[#This Row],[Referencia]]&amp;Tabla3[[#This Row],[Desc detalle ext 1]],Tabla1[[Referencia-Color]:[Disponibilidad]],3,FALSE),0)</f>
        <v>0</v>
      </c>
      <c r="V980" s="13"/>
      <c r="W980" s="17">
        <f>+Tabla3[[#This Row],[Cant. Programada]]*Tabla3[[#This Row],[Precio unit]]</f>
        <v>0</v>
      </c>
      <c r="X980" s="8"/>
      <c r="Y980" s="8"/>
      <c r="Z980" s="8" t="str">
        <f>+Tabla3[[#This Row],[Referencia]]&amp;Tabla3[[#This Row],[Desc detalle ext 1]]</f>
        <v>DREAM  NEO                                        ROJO ALFA</v>
      </c>
      <c r="AA980" s="128" t="e">
        <f>+VLOOKUP(Tabla3[[#This Row],[CODIGO2]],ESTANDAR!$B$3:$C$9,2,FALSE)</f>
        <v>#N/A</v>
      </c>
      <c r="AB980" s="128" t="str">
        <f>+MID(Tabla3[[#This Row],['# Viaje]],10,1)</f>
        <v/>
      </c>
    </row>
    <row r="981" spans="1:28" ht="15" hidden="1" customHeight="1">
      <c r="A981" s="173" t="s">
        <v>1666</v>
      </c>
      <c r="B981" s="174">
        <v>42949</v>
      </c>
      <c r="C981" s="173" t="s">
        <v>1231</v>
      </c>
      <c r="D981" s="173" t="s">
        <v>1487</v>
      </c>
      <c r="E981" s="173" t="s">
        <v>1479</v>
      </c>
      <c r="F981" s="173">
        <v>2</v>
      </c>
      <c r="G981" s="173" t="s">
        <v>180</v>
      </c>
      <c r="H981" s="173">
        <v>2</v>
      </c>
      <c r="I981" s="173" t="s">
        <v>180</v>
      </c>
      <c r="J981" s="173" t="s">
        <v>1428</v>
      </c>
      <c r="K981" s="173" t="s">
        <v>1429</v>
      </c>
      <c r="L981" s="173"/>
      <c r="M981" s="173" t="s">
        <v>181</v>
      </c>
      <c r="N981" s="173">
        <v>900648202</v>
      </c>
      <c r="O981" s="175">
        <v>3067227</v>
      </c>
      <c r="P981" s="7"/>
      <c r="Q981" s="16">
        <f>+IF(IFERROR(VLOOKUP(Tabla3[[#This Row],[Cliente factura]],Tabla4[[NIT]:[TOTAL CREDITO]],3,FALSE),0)="",0,IFERROR(VLOOKUP(Tabla3[[#This Row],[Cliente factura]],Tabla4[[NIT]:[TOTAL CREDITO]],3,FALSE),0))</f>
        <v>15070697</v>
      </c>
      <c r="R981" s="9">
        <f>+IFERROR(VLOOKUP(Tabla3[[#This Row],[Cliente factura]],Tabla4[[NIT]:[TOTAL CREDITO]],6,FALSE),0)</f>
        <v>0</v>
      </c>
      <c r="S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1" s="10" t="str">
        <f>VLOOKUP(Tabla3[[#This Row],[Razón social cliente factura]]&amp;Tabla3[[#This Row],[Desc. ciudad]],'Estandar de Rutas'!$C$1:$E$553,2,FALSE)</f>
        <v>11.2</v>
      </c>
      <c r="U981" s="130">
        <f>IFERROR(VLOOKUP(Tabla3[[#This Row],[Referencia]]&amp;Tabla3[[#This Row],[Desc detalle ext 1]],Tabla1[[Referencia-Color]:[Disponibilidad]],3,FALSE),0)</f>
        <v>0</v>
      </c>
      <c r="V981" s="13"/>
      <c r="W981" s="17">
        <f>+Tabla3[[#This Row],[Cant. Programada]]*Tabla3[[#This Row],[Precio unit]]</f>
        <v>0</v>
      </c>
      <c r="X981" s="130"/>
      <c r="Y981" s="8"/>
      <c r="Z981" s="8" t="str">
        <f>+Tabla3[[#This Row],[Referencia]]&amp;Tabla3[[#This Row],[Desc detalle ext 1]]</f>
        <v>DREAM  NEO                                        NEGRO AZU</v>
      </c>
      <c r="AA981" s="128" t="e">
        <f>+VLOOKUP(Tabla3[[#This Row],[CODIGO2]],ESTANDAR!$B$3:$C$9,2,FALSE)</f>
        <v>#N/A</v>
      </c>
      <c r="AB981" s="128" t="str">
        <f>+MID(Tabla3[[#This Row],['# Viaje]],10,1)</f>
        <v/>
      </c>
    </row>
    <row r="982" spans="1:28" ht="15" hidden="1" customHeight="1">
      <c r="A982" s="173" t="s">
        <v>1666</v>
      </c>
      <c r="B982" s="174">
        <v>42949</v>
      </c>
      <c r="C982" s="173" t="s">
        <v>1231</v>
      </c>
      <c r="D982" s="173" t="s">
        <v>1487</v>
      </c>
      <c r="E982" s="173" t="s">
        <v>1479</v>
      </c>
      <c r="F982" s="173">
        <v>1</v>
      </c>
      <c r="G982" s="173" t="s">
        <v>180</v>
      </c>
      <c r="H982" s="173">
        <v>1</v>
      </c>
      <c r="I982" s="173" t="s">
        <v>180</v>
      </c>
      <c r="J982" s="173" t="s">
        <v>1428</v>
      </c>
      <c r="K982" s="173" t="s">
        <v>32</v>
      </c>
      <c r="L982" s="173"/>
      <c r="M982" s="173" t="s">
        <v>181</v>
      </c>
      <c r="N982" s="173">
        <v>900648202</v>
      </c>
      <c r="O982" s="175">
        <v>3067227</v>
      </c>
      <c r="P982" s="7"/>
      <c r="Q982" s="16">
        <f>+IF(IFERROR(VLOOKUP(Tabla3[[#This Row],[Cliente factura]],Tabla4[[NIT]:[TOTAL CREDITO]],3,FALSE),0)="",0,IFERROR(VLOOKUP(Tabla3[[#This Row],[Cliente factura]],Tabla4[[NIT]:[TOTAL CREDITO]],3,FALSE),0))</f>
        <v>15070697</v>
      </c>
      <c r="R982" s="9">
        <f>+IFERROR(VLOOKUP(Tabla3[[#This Row],[Cliente factura]],Tabla4[[NIT]:[TOTAL CREDITO]],6,FALSE),0)</f>
        <v>0</v>
      </c>
      <c r="S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2" s="10" t="str">
        <f>VLOOKUP(Tabla3[[#This Row],[Razón social cliente factura]]&amp;Tabla3[[#This Row],[Desc. ciudad]],'Estandar de Rutas'!$C$1:$E$553,2,FALSE)</f>
        <v>11.2</v>
      </c>
      <c r="U982" s="130">
        <f>IFERROR(VLOOKUP(Tabla3[[#This Row],[Referencia]]&amp;Tabla3[[#This Row],[Desc detalle ext 1]],Tabla1[[Referencia-Color]:[Disponibilidad]],3,FALSE),0)</f>
        <v>0</v>
      </c>
      <c r="V982" s="13"/>
      <c r="W982" s="17">
        <f>+Tabla3[[#This Row],[Cant. Programada]]*Tabla3[[#This Row],[Precio unit]]</f>
        <v>0</v>
      </c>
      <c r="X982" s="130"/>
      <c r="Y982" s="8"/>
      <c r="Z982" s="8" t="str">
        <f>+Tabla3[[#This Row],[Referencia]]&amp;Tabla3[[#This Row],[Desc detalle ext 1]]</f>
        <v>DREAM  NEO                                        NEGRO ROJ</v>
      </c>
      <c r="AA982" s="128" t="e">
        <f>+VLOOKUP(Tabla3[[#This Row],[CODIGO2]],ESTANDAR!$B$3:$C$9,2,FALSE)</f>
        <v>#N/A</v>
      </c>
      <c r="AB982" s="128" t="str">
        <f>+MID(Tabla3[[#This Row],['# Viaje]],10,1)</f>
        <v/>
      </c>
    </row>
    <row r="983" spans="1:28" ht="15" hidden="1" customHeight="1">
      <c r="A983" s="173" t="s">
        <v>1666</v>
      </c>
      <c r="B983" s="174">
        <v>42949</v>
      </c>
      <c r="C983" s="173" t="s">
        <v>1231</v>
      </c>
      <c r="D983" s="173" t="s">
        <v>1487</v>
      </c>
      <c r="E983" s="173" t="s">
        <v>1479</v>
      </c>
      <c r="F983" s="173">
        <v>1</v>
      </c>
      <c r="G983" s="173" t="s">
        <v>180</v>
      </c>
      <c r="H983" s="173">
        <v>1</v>
      </c>
      <c r="I983" s="173" t="s">
        <v>180</v>
      </c>
      <c r="J983" s="173" t="s">
        <v>1430</v>
      </c>
      <c r="K983" s="173" t="s">
        <v>1431</v>
      </c>
      <c r="L983" s="173"/>
      <c r="M983" s="173" t="s">
        <v>181</v>
      </c>
      <c r="N983" s="173">
        <v>900648202</v>
      </c>
      <c r="O983" s="175">
        <v>3941176</v>
      </c>
      <c r="P983" s="7"/>
      <c r="Q983" s="16">
        <f>+IF(IFERROR(VLOOKUP(Tabla3[[#This Row],[Cliente factura]],Tabla4[[NIT]:[TOTAL CREDITO]],3,FALSE),0)="",0,IFERROR(VLOOKUP(Tabla3[[#This Row],[Cliente factura]],Tabla4[[NIT]:[TOTAL CREDITO]],3,FALSE),0))</f>
        <v>15070697</v>
      </c>
      <c r="R983" s="9">
        <f>+IFERROR(VLOOKUP(Tabla3[[#This Row],[Cliente factura]],Tabla4[[NIT]:[TOTAL CREDITO]],6,FALSE),0)</f>
        <v>0</v>
      </c>
      <c r="S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3" s="10" t="str">
        <f>VLOOKUP(Tabla3[[#This Row],[Razón social cliente factura]]&amp;Tabla3[[#This Row],[Desc. ciudad]],'Estandar de Rutas'!$C$1:$E$553,2,FALSE)</f>
        <v>11.2</v>
      </c>
      <c r="U983" s="130">
        <f>IFERROR(VLOOKUP(Tabla3[[#This Row],[Referencia]]&amp;Tabla3[[#This Row],[Desc detalle ext 1]],Tabla1[[Referencia-Color]:[Disponibilidad]],3,FALSE),0)</f>
        <v>0</v>
      </c>
      <c r="V983" s="13"/>
      <c r="W983" s="17">
        <f>+Tabla3[[#This Row],[Cant. Programada]]*Tabla3[[#This Row],[Precio unit]]</f>
        <v>0</v>
      </c>
      <c r="X983" s="8"/>
      <c r="Y983" s="8"/>
      <c r="Z983" s="8" t="str">
        <f>+Tabla3[[#This Row],[Referencia]]&amp;Tabla3[[#This Row],[Desc detalle ext 1]]</f>
        <v xml:space="preserve">WAVE 110S                                         ROJO     </v>
      </c>
      <c r="AA983" s="128" t="e">
        <f>+VLOOKUP(Tabla3[[#This Row],[CODIGO2]],ESTANDAR!$B$3:$C$9,2,FALSE)</f>
        <v>#N/A</v>
      </c>
      <c r="AB983" s="128" t="str">
        <f>+MID(Tabla3[[#This Row],['# Viaje]],10,1)</f>
        <v/>
      </c>
    </row>
    <row r="984" spans="1:28" ht="15" hidden="1" customHeight="1">
      <c r="A984" s="173" t="s">
        <v>1666</v>
      </c>
      <c r="B984" s="174">
        <v>42949</v>
      </c>
      <c r="C984" s="173" t="s">
        <v>1231</v>
      </c>
      <c r="D984" s="173" t="s">
        <v>1487</v>
      </c>
      <c r="E984" s="173" t="s">
        <v>1479</v>
      </c>
      <c r="F984" s="173">
        <v>2</v>
      </c>
      <c r="G984" s="173" t="s">
        <v>180</v>
      </c>
      <c r="H984" s="173">
        <v>2</v>
      </c>
      <c r="I984" s="173" t="s">
        <v>180</v>
      </c>
      <c r="J984" s="173" t="s">
        <v>1451</v>
      </c>
      <c r="K984" s="173" t="s">
        <v>16</v>
      </c>
      <c r="L984" s="173"/>
      <c r="M984" s="173" t="s">
        <v>181</v>
      </c>
      <c r="N984" s="173">
        <v>900648202</v>
      </c>
      <c r="O984" s="175">
        <v>3696639</v>
      </c>
      <c r="P984" s="7"/>
      <c r="Q984" s="16">
        <f>+IF(IFERROR(VLOOKUP(Tabla3[[#This Row],[Cliente factura]],Tabla4[[NIT]:[TOTAL CREDITO]],3,FALSE),0)="",0,IFERROR(VLOOKUP(Tabla3[[#This Row],[Cliente factura]],Tabla4[[NIT]:[TOTAL CREDITO]],3,FALSE),0))</f>
        <v>15070697</v>
      </c>
      <c r="R984" s="9">
        <f>+IFERROR(VLOOKUP(Tabla3[[#This Row],[Cliente factura]],Tabla4[[NIT]:[TOTAL CREDITO]],6,FALSE),0)</f>
        <v>0</v>
      </c>
      <c r="S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4" s="10" t="str">
        <f>VLOOKUP(Tabla3[[#This Row],[Razón social cliente factura]]&amp;Tabla3[[#This Row],[Desc. ciudad]],'Estandar de Rutas'!$C$1:$E$553,2,FALSE)</f>
        <v>11.2</v>
      </c>
      <c r="U984" s="130">
        <f>IFERROR(VLOOKUP(Tabla3[[#This Row],[Referencia]]&amp;Tabla3[[#This Row],[Desc detalle ext 1]],Tabla1[[Referencia-Color]:[Disponibilidad]],3,FALSE),0)</f>
        <v>3</v>
      </c>
      <c r="V984" s="13"/>
      <c r="W984" s="17">
        <f>+Tabla3[[#This Row],[Cant. Programada]]*Tabla3[[#This Row],[Precio unit]]</f>
        <v>0</v>
      </c>
      <c r="X984" s="8"/>
      <c r="Y984" s="8"/>
      <c r="Z984" s="8" t="str">
        <f>+Tabla3[[#This Row],[Referencia]]&amp;Tabla3[[#This Row],[Desc detalle ext 1]]</f>
        <v xml:space="preserve">CB 110 DLX                                        NEGRO    </v>
      </c>
      <c r="AA984" s="128" t="e">
        <f>+VLOOKUP(Tabla3[[#This Row],[CODIGO2]],ESTANDAR!$B$3:$C$9,2,FALSE)</f>
        <v>#N/A</v>
      </c>
      <c r="AB984" s="128" t="str">
        <f>+MID(Tabla3[[#This Row],['# Viaje]],10,1)</f>
        <v/>
      </c>
    </row>
    <row r="985" spans="1:28" ht="15" hidden="1" customHeight="1">
      <c r="A985" s="173" t="s">
        <v>1667</v>
      </c>
      <c r="B985" s="174">
        <v>42949</v>
      </c>
      <c r="C985" s="173" t="s">
        <v>1231</v>
      </c>
      <c r="D985" s="173" t="s">
        <v>1478</v>
      </c>
      <c r="E985" s="173" t="s">
        <v>1479</v>
      </c>
      <c r="F985" s="173">
        <v>2</v>
      </c>
      <c r="G985" s="173" t="s">
        <v>68</v>
      </c>
      <c r="H985" s="173">
        <v>2</v>
      </c>
      <c r="I985" s="173" t="s">
        <v>1668</v>
      </c>
      <c r="J985" s="173" t="s">
        <v>14</v>
      </c>
      <c r="K985" s="173" t="s">
        <v>17</v>
      </c>
      <c r="L985" s="173"/>
      <c r="M985" s="173" t="s">
        <v>67</v>
      </c>
      <c r="N985" s="173">
        <v>9398760</v>
      </c>
      <c r="O985" s="175">
        <v>3360504</v>
      </c>
      <c r="P985" s="7"/>
      <c r="Q985" s="16">
        <f>+IF(IFERROR(VLOOKUP(Tabla3[[#This Row],[Cliente factura]],Tabla4[[NIT]:[TOTAL CREDITO]],3,FALSE),0)="",0,IFERROR(VLOOKUP(Tabla3[[#This Row],[Cliente factura]],Tabla4[[NIT]:[TOTAL CREDITO]],3,FALSE),0))</f>
        <v>954027</v>
      </c>
      <c r="R985" s="9">
        <f>+IFERROR(VLOOKUP(Tabla3[[#This Row],[Cliente factura]],Tabla4[[NIT]:[TOTAL CREDITO]],6,FALSE),0)</f>
        <v>0</v>
      </c>
      <c r="S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5" s="10" t="str">
        <f>VLOOKUP(Tabla3[[#This Row],[Razón social cliente factura]]&amp;Tabla3[[#This Row],[Desc. ciudad]],'Estandar de Rutas'!$C$1:$E$553,2,FALSE)</f>
        <v>7.2.B</v>
      </c>
      <c r="U985" s="130">
        <f>IFERROR(VLOOKUP(Tabla3[[#This Row],[Referencia]]&amp;Tabla3[[#This Row],[Desc detalle ext 1]],Tabla1[[Referencia-Color]:[Disponibilidad]],3,FALSE),0)</f>
        <v>38</v>
      </c>
      <c r="V985" s="13"/>
      <c r="W985" s="17">
        <f>+Tabla3[[#This Row],[Cant. Programada]]*Tabla3[[#This Row],[Precio unit]]</f>
        <v>0</v>
      </c>
      <c r="X985" s="8"/>
      <c r="Y985" s="8"/>
      <c r="Z985" s="8" t="str">
        <f>+Tabla3[[#This Row],[Referencia]]&amp;Tabla3[[#This Row],[Desc detalle ext 1]]</f>
        <v>*CB-110                                           ROJO SPOR</v>
      </c>
      <c r="AA985" s="128" t="e">
        <f>+VLOOKUP(Tabla3[[#This Row],[CODIGO2]],ESTANDAR!$B$3:$C$9,2,FALSE)</f>
        <v>#N/A</v>
      </c>
      <c r="AB985" s="128" t="str">
        <f>+MID(Tabla3[[#This Row],['# Viaje]],10,1)</f>
        <v/>
      </c>
    </row>
    <row r="986" spans="1:28" ht="15" hidden="1" customHeight="1">
      <c r="A986" s="173" t="s">
        <v>1667</v>
      </c>
      <c r="B986" s="174">
        <v>42949</v>
      </c>
      <c r="C986" s="173" t="s">
        <v>1231</v>
      </c>
      <c r="D986" s="173" t="s">
        <v>1478</v>
      </c>
      <c r="E986" s="173" t="s">
        <v>1479</v>
      </c>
      <c r="F986" s="173">
        <v>2</v>
      </c>
      <c r="G986" s="173" t="s">
        <v>68</v>
      </c>
      <c r="H986" s="173">
        <v>2</v>
      </c>
      <c r="I986" s="173" t="s">
        <v>1668</v>
      </c>
      <c r="J986" s="173" t="s">
        <v>14</v>
      </c>
      <c r="K986" s="173" t="s">
        <v>16</v>
      </c>
      <c r="L986" s="173"/>
      <c r="M986" s="173" t="s">
        <v>67</v>
      </c>
      <c r="N986" s="173">
        <v>9398760</v>
      </c>
      <c r="O986" s="175">
        <v>3360504</v>
      </c>
      <c r="P986" s="7"/>
      <c r="Q986" s="16">
        <f>+IF(IFERROR(VLOOKUP(Tabla3[[#This Row],[Cliente factura]],Tabla4[[NIT]:[TOTAL CREDITO]],3,FALSE),0)="",0,IFERROR(VLOOKUP(Tabla3[[#This Row],[Cliente factura]],Tabla4[[NIT]:[TOTAL CREDITO]],3,FALSE),0))</f>
        <v>954027</v>
      </c>
      <c r="R986" s="9">
        <f>+IFERROR(VLOOKUP(Tabla3[[#This Row],[Cliente factura]],Tabla4[[NIT]:[TOTAL CREDITO]],6,FALSE),0)</f>
        <v>0</v>
      </c>
      <c r="S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6" s="10" t="str">
        <f>VLOOKUP(Tabla3[[#This Row],[Razón social cliente factura]]&amp;Tabla3[[#This Row],[Desc. ciudad]],'Estandar de Rutas'!$C$1:$E$553,2,FALSE)</f>
        <v>7.2.B</v>
      </c>
      <c r="U986" s="130">
        <f>IFERROR(VLOOKUP(Tabla3[[#This Row],[Referencia]]&amp;Tabla3[[#This Row],[Desc detalle ext 1]],Tabla1[[Referencia-Color]:[Disponibilidad]],3,FALSE),0)</f>
        <v>83</v>
      </c>
      <c r="V986" s="13"/>
      <c r="W986" s="17">
        <f>+Tabla3[[#This Row],[Cant. Programada]]*Tabla3[[#This Row],[Precio unit]]</f>
        <v>0</v>
      </c>
      <c r="X986" s="8"/>
      <c r="Y986" s="8"/>
      <c r="Z986" s="8" t="str">
        <f>+Tabla3[[#This Row],[Referencia]]&amp;Tabla3[[#This Row],[Desc detalle ext 1]]</f>
        <v xml:space="preserve">*CB-110                                           NEGRO    </v>
      </c>
      <c r="AA986" s="128" t="e">
        <f>+VLOOKUP(Tabla3[[#This Row],[CODIGO2]],ESTANDAR!$B$3:$C$9,2,FALSE)</f>
        <v>#N/A</v>
      </c>
      <c r="AB986" s="128" t="str">
        <f>+MID(Tabla3[[#This Row],['# Viaje]],10,1)</f>
        <v/>
      </c>
    </row>
    <row r="987" spans="1:28" ht="15" hidden="1" customHeight="1">
      <c r="A987" s="173" t="s">
        <v>1667</v>
      </c>
      <c r="B987" s="174">
        <v>42949</v>
      </c>
      <c r="C987" s="173" t="s">
        <v>1231</v>
      </c>
      <c r="D987" s="173" t="s">
        <v>1478</v>
      </c>
      <c r="E987" s="173" t="s">
        <v>1479</v>
      </c>
      <c r="F987" s="173">
        <v>1</v>
      </c>
      <c r="G987" s="173" t="s">
        <v>68</v>
      </c>
      <c r="H987" s="173">
        <v>1</v>
      </c>
      <c r="I987" s="173" t="s">
        <v>1668</v>
      </c>
      <c r="J987" s="173" t="s">
        <v>14</v>
      </c>
      <c r="K987" s="173" t="s">
        <v>1418</v>
      </c>
      <c r="L987" s="173"/>
      <c r="M987" s="173" t="s">
        <v>67</v>
      </c>
      <c r="N987" s="173">
        <v>9398760</v>
      </c>
      <c r="O987" s="175">
        <v>3360504</v>
      </c>
      <c r="P987" s="7"/>
      <c r="Q987" s="16">
        <f>+IF(IFERROR(VLOOKUP(Tabla3[[#This Row],[Cliente factura]],Tabla4[[NIT]:[TOTAL CREDITO]],3,FALSE),0)="",0,IFERROR(VLOOKUP(Tabla3[[#This Row],[Cliente factura]],Tabla4[[NIT]:[TOTAL CREDITO]],3,FALSE),0))</f>
        <v>954027</v>
      </c>
      <c r="R987" s="9">
        <f>+IFERROR(VLOOKUP(Tabla3[[#This Row],[Cliente factura]],Tabla4[[NIT]:[TOTAL CREDITO]],6,FALSE),0)</f>
        <v>0</v>
      </c>
      <c r="S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7" s="10" t="str">
        <f>VLOOKUP(Tabla3[[#This Row],[Razón social cliente factura]]&amp;Tabla3[[#This Row],[Desc. ciudad]],'Estandar de Rutas'!$C$1:$E$553,2,FALSE)</f>
        <v>7.2.B</v>
      </c>
      <c r="U987" s="130">
        <f>IFERROR(VLOOKUP(Tabla3[[#This Row],[Referencia]]&amp;Tabla3[[#This Row],[Desc detalle ext 1]],Tabla1[[Referencia-Color]:[Disponibilidad]],3,FALSE),0)</f>
        <v>0</v>
      </c>
      <c r="V987" s="13"/>
      <c r="W987" s="17">
        <f>+Tabla3[[#This Row],[Cant. Programada]]*Tabla3[[#This Row],[Precio unit]]</f>
        <v>0</v>
      </c>
      <c r="X987" s="8"/>
      <c r="Y987" s="8"/>
      <c r="Z987" s="8" t="str">
        <f>+Tabla3[[#This Row],[Referencia]]&amp;Tabla3[[#This Row],[Desc detalle ext 1]]</f>
        <v>*CB-110                                           VERDE CAN</v>
      </c>
      <c r="AA987" s="128" t="e">
        <f>+VLOOKUP(Tabla3[[#This Row],[CODIGO2]],ESTANDAR!$B$3:$C$9,2,FALSE)</f>
        <v>#N/A</v>
      </c>
      <c r="AB987" s="128" t="str">
        <f>+MID(Tabla3[[#This Row],['# Viaje]],10,1)</f>
        <v/>
      </c>
    </row>
    <row r="988" spans="1:28" ht="15" hidden="1" customHeight="1">
      <c r="A988" s="173" t="s">
        <v>1667</v>
      </c>
      <c r="B988" s="174">
        <v>42949</v>
      </c>
      <c r="C988" s="173" t="s">
        <v>1231</v>
      </c>
      <c r="D988" s="173" t="s">
        <v>1478</v>
      </c>
      <c r="E988" s="173" t="s">
        <v>1479</v>
      </c>
      <c r="F988" s="173">
        <v>2</v>
      </c>
      <c r="G988" s="173" t="s">
        <v>68</v>
      </c>
      <c r="H988" s="173">
        <v>2</v>
      </c>
      <c r="I988" s="173" t="s">
        <v>1668</v>
      </c>
      <c r="J988" s="173" t="s">
        <v>14</v>
      </c>
      <c r="K988" s="173" t="s">
        <v>15</v>
      </c>
      <c r="L988" s="173"/>
      <c r="M988" s="173" t="s">
        <v>67</v>
      </c>
      <c r="N988" s="173">
        <v>9398760</v>
      </c>
      <c r="O988" s="175">
        <v>3360504</v>
      </c>
      <c r="P988" s="7"/>
      <c r="Q988" s="16">
        <f>+IF(IFERROR(VLOOKUP(Tabla3[[#This Row],[Cliente factura]],Tabla4[[NIT]:[TOTAL CREDITO]],3,FALSE),0)="",0,IFERROR(VLOOKUP(Tabla3[[#This Row],[Cliente factura]],Tabla4[[NIT]:[TOTAL CREDITO]],3,FALSE),0))</f>
        <v>954027</v>
      </c>
      <c r="R988" s="9">
        <f>+IFERROR(VLOOKUP(Tabla3[[#This Row],[Cliente factura]],Tabla4[[NIT]:[TOTAL CREDITO]],6,FALSE),0)</f>
        <v>0</v>
      </c>
      <c r="S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8" s="10" t="str">
        <f>VLOOKUP(Tabla3[[#This Row],[Razón social cliente factura]]&amp;Tabla3[[#This Row],[Desc. ciudad]],'Estandar de Rutas'!$C$1:$E$553,2,FALSE)</f>
        <v>7.2.B</v>
      </c>
      <c r="U988" s="130">
        <f>IFERROR(VLOOKUP(Tabla3[[#This Row],[Referencia]]&amp;Tabla3[[#This Row],[Desc detalle ext 1]],Tabla1[[Referencia-Color]:[Disponibilidad]],3,FALSE),0)</f>
        <v>99</v>
      </c>
      <c r="V988" s="13"/>
      <c r="W988" s="17">
        <f>+Tabla3[[#This Row],[Cant. Programada]]*Tabla3[[#This Row],[Precio unit]]</f>
        <v>0</v>
      </c>
      <c r="X988" s="8"/>
      <c r="Y988" s="8"/>
      <c r="Z988" s="8" t="str">
        <f>+Tabla3[[#This Row],[Referencia]]&amp;Tabla3[[#This Row],[Desc detalle ext 1]]</f>
        <v>*CB-110                                           AZUL FIJI</v>
      </c>
      <c r="AA988" s="128" t="e">
        <f>+VLOOKUP(Tabla3[[#This Row],[CODIGO2]],ESTANDAR!$B$3:$C$9,2,FALSE)</f>
        <v>#N/A</v>
      </c>
      <c r="AB988" s="128" t="str">
        <f>+MID(Tabla3[[#This Row],['# Viaje]],10,1)</f>
        <v/>
      </c>
    </row>
    <row r="989" spans="1:28" ht="15" hidden="1" customHeight="1">
      <c r="A989" s="173" t="s">
        <v>1667</v>
      </c>
      <c r="B989" s="174">
        <v>42949</v>
      </c>
      <c r="C989" s="173" t="s">
        <v>1231</v>
      </c>
      <c r="D989" s="173" t="s">
        <v>1478</v>
      </c>
      <c r="E989" s="173" t="s">
        <v>1479</v>
      </c>
      <c r="F989" s="173">
        <v>2</v>
      </c>
      <c r="G989" s="173" t="s">
        <v>68</v>
      </c>
      <c r="H989" s="173">
        <v>2</v>
      </c>
      <c r="I989" s="173" t="s">
        <v>1668</v>
      </c>
      <c r="J989" s="173" t="s">
        <v>27</v>
      </c>
      <c r="K989" s="173" t="s">
        <v>32</v>
      </c>
      <c r="L989" s="173"/>
      <c r="M989" s="173" t="s">
        <v>67</v>
      </c>
      <c r="N989" s="173">
        <v>9398760</v>
      </c>
      <c r="O989" s="175">
        <v>5789916</v>
      </c>
      <c r="P989" s="7"/>
      <c r="Q989" s="16">
        <f>+IF(IFERROR(VLOOKUP(Tabla3[[#This Row],[Cliente factura]],Tabla4[[NIT]:[TOTAL CREDITO]],3,FALSE),0)="",0,IFERROR(VLOOKUP(Tabla3[[#This Row],[Cliente factura]],Tabla4[[NIT]:[TOTAL CREDITO]],3,FALSE),0))</f>
        <v>954027</v>
      </c>
      <c r="R989" s="9">
        <f>+IFERROR(VLOOKUP(Tabla3[[#This Row],[Cliente factura]],Tabla4[[NIT]:[TOTAL CREDITO]],6,FALSE),0)</f>
        <v>0</v>
      </c>
      <c r="S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9" s="10" t="str">
        <f>VLOOKUP(Tabla3[[#This Row],[Razón social cliente factura]]&amp;Tabla3[[#This Row],[Desc. ciudad]],'Estandar de Rutas'!$C$1:$E$553,2,FALSE)</f>
        <v>7.2.B</v>
      </c>
      <c r="U989" s="130">
        <f>IFERROR(VLOOKUP(Tabla3[[#This Row],[Referencia]]&amp;Tabla3[[#This Row],[Desc detalle ext 1]],Tabla1[[Referencia-Color]:[Disponibilidad]],3,FALSE),0)</f>
        <v>7</v>
      </c>
      <c r="V989" s="13"/>
      <c r="W989" s="17">
        <f>+Tabla3[[#This Row],[Cant. Programada]]*Tabla3[[#This Row],[Precio unit]]</f>
        <v>0</v>
      </c>
      <c r="X989" s="8"/>
      <c r="Y989" s="8"/>
      <c r="Z989" s="8" t="str">
        <f>+Tabla3[[#This Row],[Referencia]]&amp;Tabla3[[#This Row],[Desc detalle ext 1]]</f>
        <v>*XR 150L                                          NEGRO ROJ</v>
      </c>
      <c r="AA989" s="128" t="e">
        <f>+VLOOKUP(Tabla3[[#This Row],[CODIGO2]],ESTANDAR!$B$3:$C$9,2,FALSE)</f>
        <v>#N/A</v>
      </c>
      <c r="AB989" s="128" t="str">
        <f>+MID(Tabla3[[#This Row],['# Viaje]],10,1)</f>
        <v/>
      </c>
    </row>
    <row r="990" spans="1:28" ht="15" hidden="1" customHeight="1">
      <c r="A990" s="173" t="s">
        <v>1667</v>
      </c>
      <c r="B990" s="174">
        <v>42949</v>
      </c>
      <c r="C990" s="173" t="s">
        <v>1231</v>
      </c>
      <c r="D990" s="173" t="s">
        <v>1478</v>
      </c>
      <c r="E990" s="173" t="s">
        <v>1479</v>
      </c>
      <c r="F990" s="173">
        <v>2</v>
      </c>
      <c r="G990" s="173" t="s">
        <v>68</v>
      </c>
      <c r="H990" s="173">
        <v>2</v>
      </c>
      <c r="I990" s="173" t="s">
        <v>1668</v>
      </c>
      <c r="J990" s="173" t="s">
        <v>27</v>
      </c>
      <c r="K990" s="173" t="s">
        <v>26</v>
      </c>
      <c r="L990" s="173"/>
      <c r="M990" s="173" t="s">
        <v>67</v>
      </c>
      <c r="N990" s="173">
        <v>9398760</v>
      </c>
      <c r="O990" s="175">
        <v>5789916</v>
      </c>
      <c r="P990" s="7"/>
      <c r="Q990" s="16">
        <f>+IF(IFERROR(VLOOKUP(Tabla3[[#This Row],[Cliente factura]],Tabla4[[NIT]:[TOTAL CREDITO]],3,FALSE),0)="",0,IFERROR(VLOOKUP(Tabla3[[#This Row],[Cliente factura]],Tabla4[[NIT]:[TOTAL CREDITO]],3,FALSE),0))</f>
        <v>954027</v>
      </c>
      <c r="R990" s="9">
        <f>+IFERROR(VLOOKUP(Tabla3[[#This Row],[Cliente factura]],Tabla4[[NIT]:[TOTAL CREDITO]],6,FALSE),0)</f>
        <v>0</v>
      </c>
      <c r="S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0" s="10" t="str">
        <f>VLOOKUP(Tabla3[[#This Row],[Razón social cliente factura]]&amp;Tabla3[[#This Row],[Desc. ciudad]],'Estandar de Rutas'!$C$1:$E$553,2,FALSE)</f>
        <v>7.2.B</v>
      </c>
      <c r="U990" s="130">
        <f>IFERROR(VLOOKUP(Tabla3[[#This Row],[Referencia]]&amp;Tabla3[[#This Row],[Desc detalle ext 1]],Tabla1[[Referencia-Color]:[Disponibilidad]],3,FALSE),0)</f>
        <v>59</v>
      </c>
      <c r="V990" s="13"/>
      <c r="W990" s="17">
        <f>+Tabla3[[#This Row],[Cant. Programada]]*Tabla3[[#This Row],[Precio unit]]</f>
        <v>0</v>
      </c>
      <c r="X990" s="8"/>
      <c r="Y990" s="8"/>
      <c r="Z990" s="8" t="str">
        <f>+Tabla3[[#This Row],[Referencia]]&amp;Tabla3[[#This Row],[Desc detalle ext 1]]</f>
        <v>*XR 150L                                          NEGRO BLA</v>
      </c>
      <c r="AA990" s="128" t="e">
        <f>+VLOOKUP(Tabla3[[#This Row],[CODIGO2]],ESTANDAR!$B$3:$C$9,2,FALSE)</f>
        <v>#N/A</v>
      </c>
      <c r="AB990" s="128" t="str">
        <f>+MID(Tabla3[[#This Row],['# Viaje]],10,1)</f>
        <v/>
      </c>
    </row>
    <row r="991" spans="1:28" ht="15" hidden="1" customHeight="1">
      <c r="A991" s="173" t="s">
        <v>1667</v>
      </c>
      <c r="B991" s="174">
        <v>42949</v>
      </c>
      <c r="C991" s="173" t="s">
        <v>1231</v>
      </c>
      <c r="D991" s="173" t="s">
        <v>1478</v>
      </c>
      <c r="E991" s="173" t="s">
        <v>1479</v>
      </c>
      <c r="F991" s="173">
        <v>2</v>
      </c>
      <c r="G991" s="173" t="s">
        <v>68</v>
      </c>
      <c r="H991" s="173">
        <v>2</v>
      </c>
      <c r="I991" s="173" t="s">
        <v>1668</v>
      </c>
      <c r="J991" s="173" t="s">
        <v>27</v>
      </c>
      <c r="K991" s="173" t="s">
        <v>16</v>
      </c>
      <c r="L991" s="173"/>
      <c r="M991" s="173" t="s">
        <v>67</v>
      </c>
      <c r="N991" s="173">
        <v>9398760</v>
      </c>
      <c r="O991" s="175">
        <v>5789916</v>
      </c>
      <c r="P991" s="7"/>
      <c r="Q991" s="16">
        <f>+IF(IFERROR(VLOOKUP(Tabla3[[#This Row],[Cliente factura]],Tabla4[[NIT]:[TOTAL CREDITO]],3,FALSE),0)="",0,IFERROR(VLOOKUP(Tabla3[[#This Row],[Cliente factura]],Tabla4[[NIT]:[TOTAL CREDITO]],3,FALSE),0))</f>
        <v>954027</v>
      </c>
      <c r="R991" s="9">
        <f>+IFERROR(VLOOKUP(Tabla3[[#This Row],[Cliente factura]],Tabla4[[NIT]:[TOTAL CREDITO]],6,FALSE),0)</f>
        <v>0</v>
      </c>
      <c r="S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1" s="10" t="str">
        <f>VLOOKUP(Tabla3[[#This Row],[Razón social cliente factura]]&amp;Tabla3[[#This Row],[Desc. ciudad]],'Estandar de Rutas'!$C$1:$E$553,2,FALSE)</f>
        <v>7.2.B</v>
      </c>
      <c r="U991" s="130">
        <f>IFERROR(VLOOKUP(Tabla3[[#This Row],[Referencia]]&amp;Tabla3[[#This Row],[Desc detalle ext 1]],Tabla1[[Referencia-Color]:[Disponibilidad]],3,FALSE),0)</f>
        <v>3</v>
      </c>
      <c r="V991" s="13"/>
      <c r="W991" s="17">
        <f>+Tabla3[[#This Row],[Cant. Programada]]*Tabla3[[#This Row],[Precio unit]]</f>
        <v>0</v>
      </c>
      <c r="X991" s="8"/>
      <c r="Y991" s="8"/>
      <c r="Z991" s="8" t="str">
        <f>+Tabla3[[#This Row],[Referencia]]&amp;Tabla3[[#This Row],[Desc detalle ext 1]]</f>
        <v xml:space="preserve">*XR 150L                                          NEGRO    </v>
      </c>
      <c r="AA991" s="128" t="e">
        <f>+VLOOKUP(Tabla3[[#This Row],[CODIGO2]],ESTANDAR!$B$3:$C$9,2,FALSE)</f>
        <v>#N/A</v>
      </c>
      <c r="AB991" s="128" t="str">
        <f>+MID(Tabla3[[#This Row],['# Viaje]],10,1)</f>
        <v/>
      </c>
    </row>
    <row r="992" spans="1:28" ht="15" hidden="1" customHeight="1">
      <c r="A992" s="173" t="s">
        <v>1667</v>
      </c>
      <c r="B992" s="174">
        <v>42949</v>
      </c>
      <c r="C992" s="173" t="s">
        <v>1231</v>
      </c>
      <c r="D992" s="173" t="s">
        <v>1478</v>
      </c>
      <c r="E992" s="173" t="s">
        <v>1479</v>
      </c>
      <c r="F992" s="173">
        <v>1</v>
      </c>
      <c r="G992" s="173" t="s">
        <v>68</v>
      </c>
      <c r="H992" s="173">
        <v>1</v>
      </c>
      <c r="I992" s="173" t="s">
        <v>1668</v>
      </c>
      <c r="J992" s="173" t="s">
        <v>10</v>
      </c>
      <c r="K992" s="173" t="s">
        <v>11</v>
      </c>
      <c r="L992" s="173"/>
      <c r="M992" s="173" t="s">
        <v>67</v>
      </c>
      <c r="N992" s="173">
        <v>9398760</v>
      </c>
      <c r="O992" s="175">
        <v>7554622</v>
      </c>
      <c r="P992" s="7"/>
      <c r="Q992" s="16">
        <f>+IF(IFERROR(VLOOKUP(Tabla3[[#This Row],[Cliente factura]],Tabla4[[NIT]:[TOTAL CREDITO]],3,FALSE),0)="",0,IFERROR(VLOOKUP(Tabla3[[#This Row],[Cliente factura]],Tabla4[[NIT]:[TOTAL CREDITO]],3,FALSE),0))</f>
        <v>954027</v>
      </c>
      <c r="R992" s="9">
        <f>+IFERROR(VLOOKUP(Tabla3[[#This Row],[Cliente factura]],Tabla4[[NIT]:[TOTAL CREDITO]],6,FALSE),0)</f>
        <v>0</v>
      </c>
      <c r="S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2" s="10" t="str">
        <f>VLOOKUP(Tabla3[[#This Row],[Razón social cliente factura]]&amp;Tabla3[[#This Row],[Desc. ciudad]],'Estandar de Rutas'!$C$1:$E$553,2,FALSE)</f>
        <v>7.2.B</v>
      </c>
      <c r="U992" s="130">
        <f>IFERROR(VLOOKUP(Tabla3[[#This Row],[Referencia]]&amp;Tabla3[[#This Row],[Desc detalle ext 1]],Tabla1[[Referencia-Color]:[Disponibilidad]],3,FALSE),0)</f>
        <v>0</v>
      </c>
      <c r="V992" s="13"/>
      <c r="W992" s="17">
        <f>+Tabla3[[#This Row],[Cant. Programada]]*Tabla3[[#This Row],[Precio unit]]</f>
        <v>0</v>
      </c>
      <c r="X992" s="8"/>
      <c r="Y992" s="8"/>
      <c r="Z992" s="8" t="str">
        <f>+Tabla3[[#This Row],[Referencia]]&amp;Tabla3[[#This Row],[Desc detalle ext 1]]</f>
        <v>CB 190R                                           NEGRO ONI</v>
      </c>
      <c r="AA992" s="128" t="e">
        <f>+VLOOKUP(Tabla3[[#This Row],[CODIGO2]],ESTANDAR!$B$3:$C$9,2,FALSE)</f>
        <v>#N/A</v>
      </c>
      <c r="AB992" s="128" t="str">
        <f>+MID(Tabla3[[#This Row],['# Viaje]],10,1)</f>
        <v/>
      </c>
    </row>
    <row r="993" spans="1:28" ht="15" hidden="1" customHeight="1">
      <c r="A993" s="173" t="s">
        <v>1667</v>
      </c>
      <c r="B993" s="174">
        <v>42949</v>
      </c>
      <c r="C993" s="173" t="s">
        <v>1231</v>
      </c>
      <c r="D993" s="173" t="s">
        <v>1478</v>
      </c>
      <c r="E993" s="173" t="s">
        <v>1479</v>
      </c>
      <c r="F993" s="173">
        <v>1</v>
      </c>
      <c r="G993" s="173" t="s">
        <v>68</v>
      </c>
      <c r="H993" s="173">
        <v>1</v>
      </c>
      <c r="I993" s="173" t="s">
        <v>1668</v>
      </c>
      <c r="J993" s="173" t="s">
        <v>1425</v>
      </c>
      <c r="K993" s="173" t="s">
        <v>1426</v>
      </c>
      <c r="L993" s="173"/>
      <c r="M993" s="173" t="s">
        <v>67</v>
      </c>
      <c r="N993" s="173">
        <v>9398760</v>
      </c>
      <c r="O993" s="175">
        <v>7730252</v>
      </c>
      <c r="P993" s="7"/>
      <c r="Q993" s="16">
        <f>+IF(IFERROR(VLOOKUP(Tabla3[[#This Row],[Cliente factura]],Tabla4[[NIT]:[TOTAL CREDITO]],3,FALSE),0)="",0,IFERROR(VLOOKUP(Tabla3[[#This Row],[Cliente factura]],Tabla4[[NIT]:[TOTAL CREDITO]],3,FALSE),0))</f>
        <v>954027</v>
      </c>
      <c r="R993" s="9">
        <f>+IFERROR(VLOOKUP(Tabla3[[#This Row],[Cliente factura]],Tabla4[[NIT]:[TOTAL CREDITO]],6,FALSE),0)</f>
        <v>0</v>
      </c>
      <c r="S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3" s="10" t="str">
        <f>VLOOKUP(Tabla3[[#This Row],[Razón social cliente factura]]&amp;Tabla3[[#This Row],[Desc. ciudad]],'Estandar de Rutas'!$C$1:$E$553,2,FALSE)</f>
        <v>7.2.B</v>
      </c>
      <c r="U993" s="130">
        <f>IFERROR(VLOOKUP(Tabla3[[#This Row],[Referencia]]&amp;Tabla3[[#This Row],[Desc detalle ext 1]],Tabla1[[Referencia-Color]:[Disponibilidad]],3,FALSE),0)</f>
        <v>104</v>
      </c>
      <c r="V993" s="13"/>
      <c r="W993" s="17">
        <f>+Tabla3[[#This Row],[Cant. Programada]]*Tabla3[[#This Row],[Precio unit]]</f>
        <v>0</v>
      </c>
      <c r="X993" s="8"/>
      <c r="Y993" s="8"/>
      <c r="Z993" s="8" t="str">
        <f>+Tabla3[[#This Row],[Referencia]]&amp;Tabla3[[#This Row],[Desc detalle ext 1]]</f>
        <v>CB 190 REPSOL                                     NARANJA B</v>
      </c>
      <c r="AA993" s="128" t="e">
        <f>+VLOOKUP(Tabla3[[#This Row],[CODIGO2]],ESTANDAR!$B$3:$C$9,2,FALSE)</f>
        <v>#N/A</v>
      </c>
      <c r="AB993" s="128" t="str">
        <f>+MID(Tabla3[[#This Row],['# Viaje]],10,1)</f>
        <v/>
      </c>
    </row>
    <row r="994" spans="1:28" ht="15" hidden="1" customHeight="1">
      <c r="A994" s="173" t="s">
        <v>1667</v>
      </c>
      <c r="B994" s="174">
        <v>42949</v>
      </c>
      <c r="C994" s="173" t="s">
        <v>1231</v>
      </c>
      <c r="D994" s="173" t="s">
        <v>1478</v>
      </c>
      <c r="E994" s="173" t="s">
        <v>1479</v>
      </c>
      <c r="F994" s="173">
        <v>1</v>
      </c>
      <c r="G994" s="173" t="s">
        <v>68</v>
      </c>
      <c r="H994" s="173">
        <v>1</v>
      </c>
      <c r="I994" s="173" t="s">
        <v>1668</v>
      </c>
      <c r="J994" s="173" t="s">
        <v>1451</v>
      </c>
      <c r="K994" s="173" t="s">
        <v>1452</v>
      </c>
      <c r="L994" s="173"/>
      <c r="M994" s="173" t="s">
        <v>67</v>
      </c>
      <c r="N994" s="173">
        <v>9398760</v>
      </c>
      <c r="O994" s="175">
        <v>3696639</v>
      </c>
      <c r="P994" s="7"/>
      <c r="Q994" s="16">
        <f>+IF(IFERROR(VLOOKUP(Tabla3[[#This Row],[Cliente factura]],Tabla4[[NIT]:[TOTAL CREDITO]],3,FALSE),0)="",0,IFERROR(VLOOKUP(Tabla3[[#This Row],[Cliente factura]],Tabla4[[NIT]:[TOTAL CREDITO]],3,FALSE),0))</f>
        <v>954027</v>
      </c>
      <c r="R994" s="9">
        <f>+IFERROR(VLOOKUP(Tabla3[[#This Row],[Cliente factura]],Tabla4[[NIT]:[TOTAL CREDITO]],6,FALSE),0)</f>
        <v>0</v>
      </c>
      <c r="S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4" s="10" t="str">
        <f>VLOOKUP(Tabla3[[#This Row],[Razón social cliente factura]]&amp;Tabla3[[#This Row],[Desc. ciudad]],'Estandar de Rutas'!$C$1:$E$553,2,FALSE)</f>
        <v>7.2.B</v>
      </c>
      <c r="U994" s="130">
        <f>IFERROR(VLOOKUP(Tabla3[[#This Row],[Referencia]]&amp;Tabla3[[#This Row],[Desc detalle ext 1]],Tabla1[[Referencia-Color]:[Disponibilidad]],3,FALSE),0)</f>
        <v>21</v>
      </c>
      <c r="V994" s="13"/>
      <c r="W994" s="17">
        <f>+Tabla3[[#This Row],[Cant. Programada]]*Tabla3[[#This Row],[Precio unit]]</f>
        <v>0</v>
      </c>
      <c r="X994" s="8"/>
      <c r="Y994" s="8"/>
      <c r="Z994" s="8" t="str">
        <f>+Tabla3[[#This Row],[Referencia]]&amp;Tabla3[[#This Row],[Desc detalle ext 1]]</f>
        <v xml:space="preserve">CB 110 DLX                                        AZUL     </v>
      </c>
      <c r="AA994" s="128" t="e">
        <f>+VLOOKUP(Tabla3[[#This Row],[CODIGO2]],ESTANDAR!$B$3:$C$9,2,FALSE)</f>
        <v>#N/A</v>
      </c>
      <c r="AB994" s="128" t="str">
        <f>+MID(Tabla3[[#This Row],['# Viaje]],10,1)</f>
        <v/>
      </c>
    </row>
    <row r="995" spans="1:28" ht="15" hidden="1" customHeight="1">
      <c r="A995" s="173" t="s">
        <v>1667</v>
      </c>
      <c r="B995" s="174">
        <v>42949</v>
      </c>
      <c r="C995" s="173" t="s">
        <v>1231</v>
      </c>
      <c r="D995" s="173" t="s">
        <v>1478</v>
      </c>
      <c r="E995" s="173" t="s">
        <v>1479</v>
      </c>
      <c r="F995" s="173">
        <v>1</v>
      </c>
      <c r="G995" s="173" t="s">
        <v>68</v>
      </c>
      <c r="H995" s="173">
        <v>1</v>
      </c>
      <c r="I995" s="173" t="s">
        <v>1668</v>
      </c>
      <c r="J995" s="173" t="s">
        <v>1451</v>
      </c>
      <c r="K995" s="173" t="s">
        <v>1431</v>
      </c>
      <c r="L995" s="173"/>
      <c r="M995" s="173" t="s">
        <v>67</v>
      </c>
      <c r="N995" s="173">
        <v>9398760</v>
      </c>
      <c r="O995" s="175">
        <v>3696639</v>
      </c>
      <c r="P995" s="7"/>
      <c r="Q995" s="16">
        <f>+IF(IFERROR(VLOOKUP(Tabla3[[#This Row],[Cliente factura]],Tabla4[[NIT]:[TOTAL CREDITO]],3,FALSE),0)="",0,IFERROR(VLOOKUP(Tabla3[[#This Row],[Cliente factura]],Tabla4[[NIT]:[TOTAL CREDITO]],3,FALSE),0))</f>
        <v>954027</v>
      </c>
      <c r="R995" s="9">
        <f>+IFERROR(VLOOKUP(Tabla3[[#This Row],[Cliente factura]],Tabla4[[NIT]:[TOTAL CREDITO]],6,FALSE),0)</f>
        <v>0</v>
      </c>
      <c r="S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5" s="10" t="str">
        <f>VLOOKUP(Tabla3[[#This Row],[Razón social cliente factura]]&amp;Tabla3[[#This Row],[Desc. ciudad]],'Estandar de Rutas'!$C$1:$E$553,2,FALSE)</f>
        <v>7.2.B</v>
      </c>
      <c r="U995" s="130">
        <f>IFERROR(VLOOKUP(Tabla3[[#This Row],[Referencia]]&amp;Tabla3[[#This Row],[Desc detalle ext 1]],Tabla1[[Referencia-Color]:[Disponibilidad]],3,FALSE),0)</f>
        <v>21</v>
      </c>
      <c r="V995" s="13"/>
      <c r="W995" s="17">
        <f>+Tabla3[[#This Row],[Cant. Programada]]*Tabla3[[#This Row],[Precio unit]]</f>
        <v>0</v>
      </c>
      <c r="X995" s="8"/>
      <c r="Y995" s="8"/>
      <c r="Z995" s="8" t="str">
        <f>+Tabla3[[#This Row],[Referencia]]&amp;Tabla3[[#This Row],[Desc detalle ext 1]]</f>
        <v xml:space="preserve">CB 110 DLX                                        ROJO     </v>
      </c>
      <c r="AA995" s="128" t="e">
        <f>+VLOOKUP(Tabla3[[#This Row],[CODIGO2]],ESTANDAR!$B$3:$C$9,2,FALSE)</f>
        <v>#N/A</v>
      </c>
      <c r="AB995" s="128" t="str">
        <f>+MID(Tabla3[[#This Row],['# Viaje]],10,1)</f>
        <v/>
      </c>
    </row>
    <row r="996" spans="1:28" ht="15" hidden="1" customHeight="1">
      <c r="A996" s="173" t="s">
        <v>1667</v>
      </c>
      <c r="B996" s="174">
        <v>42949</v>
      </c>
      <c r="C996" s="173" t="s">
        <v>1231</v>
      </c>
      <c r="D996" s="173" t="s">
        <v>1478</v>
      </c>
      <c r="E996" s="173" t="s">
        <v>1479</v>
      </c>
      <c r="F996" s="173">
        <v>1</v>
      </c>
      <c r="G996" s="173" t="s">
        <v>68</v>
      </c>
      <c r="H996" s="173">
        <v>1</v>
      </c>
      <c r="I996" s="173" t="s">
        <v>1668</v>
      </c>
      <c r="J996" s="173" t="s">
        <v>1451</v>
      </c>
      <c r="K996" s="173" t="s">
        <v>16</v>
      </c>
      <c r="L996" s="173"/>
      <c r="M996" s="173" t="s">
        <v>67</v>
      </c>
      <c r="N996" s="173">
        <v>9398760</v>
      </c>
      <c r="O996" s="175">
        <v>3696639</v>
      </c>
      <c r="P996" s="7"/>
      <c r="Q996" s="16">
        <f>+IF(IFERROR(VLOOKUP(Tabla3[[#This Row],[Cliente factura]],Tabla4[[NIT]:[TOTAL CREDITO]],3,FALSE),0)="",0,IFERROR(VLOOKUP(Tabla3[[#This Row],[Cliente factura]],Tabla4[[NIT]:[TOTAL CREDITO]],3,FALSE),0))</f>
        <v>954027</v>
      </c>
      <c r="R996" s="9">
        <f>+IFERROR(VLOOKUP(Tabla3[[#This Row],[Cliente factura]],Tabla4[[NIT]:[TOTAL CREDITO]],6,FALSE),0)</f>
        <v>0</v>
      </c>
      <c r="S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6" s="10" t="str">
        <f>VLOOKUP(Tabla3[[#This Row],[Razón social cliente factura]]&amp;Tabla3[[#This Row],[Desc. ciudad]],'Estandar de Rutas'!$C$1:$E$553,2,FALSE)</f>
        <v>7.2.B</v>
      </c>
      <c r="U996" s="130">
        <f>IFERROR(VLOOKUP(Tabla3[[#This Row],[Referencia]]&amp;Tabla3[[#This Row],[Desc detalle ext 1]],Tabla1[[Referencia-Color]:[Disponibilidad]],3,FALSE),0)</f>
        <v>3</v>
      </c>
      <c r="V996" s="13"/>
      <c r="W996" s="17">
        <f>+Tabla3[[#This Row],[Cant. Programada]]*Tabla3[[#This Row],[Precio unit]]</f>
        <v>0</v>
      </c>
      <c r="X996" s="8"/>
      <c r="Y996" s="8"/>
      <c r="Z996" s="8" t="str">
        <f>+Tabla3[[#This Row],[Referencia]]&amp;Tabla3[[#This Row],[Desc detalle ext 1]]</f>
        <v xml:space="preserve">CB 110 DLX                                        NEGRO    </v>
      </c>
      <c r="AA996" s="128" t="e">
        <f>+VLOOKUP(Tabla3[[#This Row],[CODIGO2]],ESTANDAR!$B$3:$C$9,2,FALSE)</f>
        <v>#N/A</v>
      </c>
      <c r="AB996" s="128" t="str">
        <f>+MID(Tabla3[[#This Row],['# Viaje]],10,1)</f>
        <v/>
      </c>
    </row>
    <row r="997" spans="1:28" ht="15" hidden="1" customHeight="1">
      <c r="A997" s="173" t="s">
        <v>1669</v>
      </c>
      <c r="B997" s="174">
        <v>42949</v>
      </c>
      <c r="C997" s="173" t="s">
        <v>1231</v>
      </c>
      <c r="D997" s="173" t="s">
        <v>1478</v>
      </c>
      <c r="E997" s="173" t="s">
        <v>1479</v>
      </c>
      <c r="F997" s="173">
        <v>1</v>
      </c>
      <c r="G997" s="173" t="s">
        <v>68</v>
      </c>
      <c r="H997" s="173">
        <v>1</v>
      </c>
      <c r="I997" s="173" t="s">
        <v>1670</v>
      </c>
      <c r="J997" s="173" t="s">
        <v>14</v>
      </c>
      <c r="K997" s="173" t="s">
        <v>17</v>
      </c>
      <c r="L997" s="173"/>
      <c r="M997" s="173" t="s">
        <v>205</v>
      </c>
      <c r="N997" s="173">
        <v>9398760</v>
      </c>
      <c r="O997" s="175">
        <v>3360504</v>
      </c>
      <c r="P997" s="7"/>
      <c r="Q997" s="16">
        <f>+IF(IFERROR(VLOOKUP(Tabla3[[#This Row],[Cliente factura]],Tabla4[[NIT]:[TOTAL CREDITO]],3,FALSE),0)="",0,IFERROR(VLOOKUP(Tabla3[[#This Row],[Cliente factura]],Tabla4[[NIT]:[TOTAL CREDITO]],3,FALSE),0))</f>
        <v>954027</v>
      </c>
      <c r="R997" s="9">
        <f>+IFERROR(VLOOKUP(Tabla3[[#This Row],[Cliente factura]],Tabla4[[NIT]:[TOTAL CREDITO]],6,FALSE),0)</f>
        <v>0</v>
      </c>
      <c r="S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7" s="10" t="str">
        <f>VLOOKUP(Tabla3[[#This Row],[Razón social cliente factura]]&amp;Tabla3[[#This Row],[Desc. ciudad]],'Estandar de Rutas'!$C$1:$E$553,2,FALSE)</f>
        <v>7.2.A</v>
      </c>
      <c r="U997" s="130">
        <f>IFERROR(VLOOKUP(Tabla3[[#This Row],[Referencia]]&amp;Tabla3[[#This Row],[Desc detalle ext 1]],Tabla1[[Referencia-Color]:[Disponibilidad]],3,FALSE),0)</f>
        <v>38</v>
      </c>
      <c r="V997" s="13"/>
      <c r="W997" s="17">
        <f>+Tabla3[[#This Row],[Cant. Programada]]*Tabla3[[#This Row],[Precio unit]]</f>
        <v>0</v>
      </c>
      <c r="X997" s="8"/>
      <c r="Y997" s="8"/>
      <c r="Z997" s="8" t="str">
        <f>+Tabla3[[#This Row],[Referencia]]&amp;Tabla3[[#This Row],[Desc detalle ext 1]]</f>
        <v>*CB-110                                           ROJO SPOR</v>
      </c>
      <c r="AA997" s="128" t="e">
        <f>+VLOOKUP(Tabla3[[#This Row],[CODIGO2]],ESTANDAR!$B$3:$C$9,2,FALSE)</f>
        <v>#N/A</v>
      </c>
      <c r="AB997" s="128" t="str">
        <f>+MID(Tabla3[[#This Row],['# Viaje]],10,1)</f>
        <v/>
      </c>
    </row>
    <row r="998" spans="1:28" ht="15" hidden="1" customHeight="1">
      <c r="A998" s="173" t="s">
        <v>1669</v>
      </c>
      <c r="B998" s="174">
        <v>42949</v>
      </c>
      <c r="C998" s="173" t="s">
        <v>1231</v>
      </c>
      <c r="D998" s="173" t="s">
        <v>1478</v>
      </c>
      <c r="E998" s="173" t="s">
        <v>1479</v>
      </c>
      <c r="F998" s="173">
        <v>2</v>
      </c>
      <c r="G998" s="173" t="s">
        <v>68</v>
      </c>
      <c r="H998" s="173">
        <v>2</v>
      </c>
      <c r="I998" s="173" t="s">
        <v>1670</v>
      </c>
      <c r="J998" s="173" t="s">
        <v>14</v>
      </c>
      <c r="K998" s="173" t="s">
        <v>16</v>
      </c>
      <c r="L998" s="173"/>
      <c r="M998" s="173" t="s">
        <v>205</v>
      </c>
      <c r="N998" s="173">
        <v>9398760</v>
      </c>
      <c r="O998" s="175">
        <v>3360504</v>
      </c>
      <c r="P998" s="7"/>
      <c r="Q998" s="16">
        <f>+IF(IFERROR(VLOOKUP(Tabla3[[#This Row],[Cliente factura]],Tabla4[[NIT]:[TOTAL CREDITO]],3,FALSE),0)="",0,IFERROR(VLOOKUP(Tabla3[[#This Row],[Cliente factura]],Tabla4[[NIT]:[TOTAL CREDITO]],3,FALSE),0))</f>
        <v>954027</v>
      </c>
      <c r="R998" s="9">
        <f>+IFERROR(VLOOKUP(Tabla3[[#This Row],[Cliente factura]],Tabla4[[NIT]:[TOTAL CREDITO]],6,FALSE),0)</f>
        <v>0</v>
      </c>
      <c r="S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8" s="10" t="str">
        <f>VLOOKUP(Tabla3[[#This Row],[Razón social cliente factura]]&amp;Tabla3[[#This Row],[Desc. ciudad]],'Estandar de Rutas'!$C$1:$E$553,2,FALSE)</f>
        <v>7.2.A</v>
      </c>
      <c r="U998" s="130">
        <f>IFERROR(VLOOKUP(Tabla3[[#This Row],[Referencia]]&amp;Tabla3[[#This Row],[Desc detalle ext 1]],Tabla1[[Referencia-Color]:[Disponibilidad]],3,FALSE),0)</f>
        <v>83</v>
      </c>
      <c r="V998" s="13"/>
      <c r="W998" s="17">
        <f>+Tabla3[[#This Row],[Cant. Programada]]*Tabla3[[#This Row],[Precio unit]]</f>
        <v>0</v>
      </c>
      <c r="X998" s="8"/>
      <c r="Y998" s="8"/>
      <c r="Z998" s="8" t="str">
        <f>+Tabla3[[#This Row],[Referencia]]&amp;Tabla3[[#This Row],[Desc detalle ext 1]]</f>
        <v xml:space="preserve">*CB-110                                           NEGRO    </v>
      </c>
      <c r="AA998" s="128" t="e">
        <f>+VLOOKUP(Tabla3[[#This Row],[CODIGO2]],ESTANDAR!$B$3:$C$9,2,FALSE)</f>
        <v>#N/A</v>
      </c>
      <c r="AB998" s="128" t="str">
        <f>+MID(Tabla3[[#This Row],['# Viaje]],10,1)</f>
        <v/>
      </c>
    </row>
    <row r="999" spans="1:28" ht="15" hidden="1" customHeight="1">
      <c r="A999" s="173" t="s">
        <v>1669</v>
      </c>
      <c r="B999" s="174">
        <v>42949</v>
      </c>
      <c r="C999" s="173" t="s">
        <v>1231</v>
      </c>
      <c r="D999" s="173" t="s">
        <v>1478</v>
      </c>
      <c r="E999" s="173" t="s">
        <v>1479</v>
      </c>
      <c r="F999" s="173">
        <v>1</v>
      </c>
      <c r="G999" s="173" t="s">
        <v>68</v>
      </c>
      <c r="H999" s="173">
        <v>1</v>
      </c>
      <c r="I999" s="173" t="s">
        <v>1670</v>
      </c>
      <c r="J999" s="173" t="s">
        <v>14</v>
      </c>
      <c r="K999" s="173" t="s">
        <v>1418</v>
      </c>
      <c r="L999" s="173"/>
      <c r="M999" s="173" t="s">
        <v>205</v>
      </c>
      <c r="N999" s="173">
        <v>9398760</v>
      </c>
      <c r="O999" s="175">
        <v>3360504</v>
      </c>
      <c r="P999" s="7"/>
      <c r="Q999" s="16">
        <f>+IF(IFERROR(VLOOKUP(Tabla3[[#This Row],[Cliente factura]],Tabla4[[NIT]:[TOTAL CREDITO]],3,FALSE),0)="",0,IFERROR(VLOOKUP(Tabla3[[#This Row],[Cliente factura]],Tabla4[[NIT]:[TOTAL CREDITO]],3,FALSE),0))</f>
        <v>954027</v>
      </c>
      <c r="R999" s="9">
        <f>+IFERROR(VLOOKUP(Tabla3[[#This Row],[Cliente factura]],Tabla4[[NIT]:[TOTAL CREDITO]],6,FALSE),0)</f>
        <v>0</v>
      </c>
      <c r="S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9" s="10" t="str">
        <f>VLOOKUP(Tabla3[[#This Row],[Razón social cliente factura]]&amp;Tabla3[[#This Row],[Desc. ciudad]],'Estandar de Rutas'!$C$1:$E$553,2,FALSE)</f>
        <v>7.2.A</v>
      </c>
      <c r="U999" s="130">
        <f>IFERROR(VLOOKUP(Tabla3[[#This Row],[Referencia]]&amp;Tabla3[[#This Row],[Desc detalle ext 1]],Tabla1[[Referencia-Color]:[Disponibilidad]],3,FALSE),0)</f>
        <v>0</v>
      </c>
      <c r="V999" s="13"/>
      <c r="W999" s="17">
        <f>+Tabla3[[#This Row],[Cant. Programada]]*Tabla3[[#This Row],[Precio unit]]</f>
        <v>0</v>
      </c>
      <c r="X999" s="8"/>
      <c r="Y999" s="8"/>
      <c r="Z999" s="8" t="str">
        <f>+Tabla3[[#This Row],[Referencia]]&amp;Tabla3[[#This Row],[Desc detalle ext 1]]</f>
        <v>*CB-110                                           VERDE CAN</v>
      </c>
      <c r="AA999" s="128" t="e">
        <f>+VLOOKUP(Tabla3[[#This Row],[CODIGO2]],ESTANDAR!$B$3:$C$9,2,FALSE)</f>
        <v>#N/A</v>
      </c>
      <c r="AB999" s="128" t="str">
        <f>+MID(Tabla3[[#This Row],['# Viaje]],10,1)</f>
        <v/>
      </c>
    </row>
    <row r="1000" spans="1:28" ht="15" hidden="1" customHeight="1">
      <c r="A1000" s="173" t="s">
        <v>1669</v>
      </c>
      <c r="B1000" s="174">
        <v>42949</v>
      </c>
      <c r="C1000" s="173" t="s">
        <v>1231</v>
      </c>
      <c r="D1000" s="173" t="s">
        <v>1478</v>
      </c>
      <c r="E1000" s="173" t="s">
        <v>1479</v>
      </c>
      <c r="F1000" s="173">
        <v>1</v>
      </c>
      <c r="G1000" s="173" t="s">
        <v>68</v>
      </c>
      <c r="H1000" s="173">
        <v>1</v>
      </c>
      <c r="I1000" s="173" t="s">
        <v>1670</v>
      </c>
      <c r="J1000" s="173" t="s">
        <v>14</v>
      </c>
      <c r="K1000" s="173" t="s">
        <v>15</v>
      </c>
      <c r="L1000" s="173"/>
      <c r="M1000" s="173" t="s">
        <v>205</v>
      </c>
      <c r="N1000" s="173">
        <v>9398760</v>
      </c>
      <c r="O1000" s="175">
        <v>3360504</v>
      </c>
      <c r="P1000" s="7"/>
      <c r="Q1000" s="16">
        <f>+IF(IFERROR(VLOOKUP(Tabla3[[#This Row],[Cliente factura]],Tabla4[[NIT]:[TOTAL CREDITO]],3,FALSE),0)="",0,IFERROR(VLOOKUP(Tabla3[[#This Row],[Cliente factura]],Tabla4[[NIT]:[TOTAL CREDITO]],3,FALSE),0))</f>
        <v>954027</v>
      </c>
      <c r="R1000" s="9">
        <f>+IFERROR(VLOOKUP(Tabla3[[#This Row],[Cliente factura]],Tabla4[[NIT]:[TOTAL CREDITO]],6,FALSE),0)</f>
        <v>0</v>
      </c>
      <c r="S1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0" s="10" t="str">
        <f>VLOOKUP(Tabla3[[#This Row],[Razón social cliente factura]]&amp;Tabla3[[#This Row],[Desc. ciudad]],'Estandar de Rutas'!$C$1:$E$553,2,FALSE)</f>
        <v>7.2.A</v>
      </c>
      <c r="U1000" s="130">
        <f>IFERROR(VLOOKUP(Tabla3[[#This Row],[Referencia]]&amp;Tabla3[[#This Row],[Desc detalle ext 1]],Tabla1[[Referencia-Color]:[Disponibilidad]],3,FALSE),0)</f>
        <v>99</v>
      </c>
      <c r="V1000" s="13"/>
      <c r="W1000" s="17">
        <f>+Tabla3[[#This Row],[Cant. Programada]]*Tabla3[[#This Row],[Precio unit]]</f>
        <v>0</v>
      </c>
      <c r="X1000" s="8"/>
      <c r="Y1000" s="8"/>
      <c r="Z1000" s="8" t="str">
        <f>+Tabla3[[#This Row],[Referencia]]&amp;Tabla3[[#This Row],[Desc detalle ext 1]]</f>
        <v>*CB-110                                           AZUL FIJI</v>
      </c>
      <c r="AA1000" s="128" t="e">
        <f>+VLOOKUP(Tabla3[[#This Row],[CODIGO2]],ESTANDAR!$B$3:$C$9,2,FALSE)</f>
        <v>#N/A</v>
      </c>
      <c r="AB1000" s="128" t="str">
        <f>+MID(Tabla3[[#This Row],['# Viaje]],10,1)</f>
        <v/>
      </c>
    </row>
    <row r="1001" spans="1:28" ht="15" hidden="1" customHeight="1">
      <c r="A1001" s="173" t="s">
        <v>1669</v>
      </c>
      <c r="B1001" s="174">
        <v>42949</v>
      </c>
      <c r="C1001" s="173" t="s">
        <v>1231</v>
      </c>
      <c r="D1001" s="173" t="s">
        <v>1478</v>
      </c>
      <c r="E1001" s="173" t="s">
        <v>1479</v>
      </c>
      <c r="F1001" s="173">
        <v>1</v>
      </c>
      <c r="G1001" s="173" t="s">
        <v>68</v>
      </c>
      <c r="H1001" s="173">
        <v>1</v>
      </c>
      <c r="I1001" s="173" t="s">
        <v>1670</v>
      </c>
      <c r="J1001" s="173" t="s">
        <v>27</v>
      </c>
      <c r="K1001" s="173" t="s">
        <v>32</v>
      </c>
      <c r="L1001" s="173"/>
      <c r="M1001" s="173" t="s">
        <v>205</v>
      </c>
      <c r="N1001" s="173">
        <v>9398760</v>
      </c>
      <c r="O1001" s="175">
        <v>5789916</v>
      </c>
      <c r="P1001" s="7"/>
      <c r="Q1001" s="16">
        <f>+IF(IFERROR(VLOOKUP(Tabla3[[#This Row],[Cliente factura]],Tabla4[[NIT]:[TOTAL CREDITO]],3,FALSE),0)="",0,IFERROR(VLOOKUP(Tabla3[[#This Row],[Cliente factura]],Tabla4[[NIT]:[TOTAL CREDITO]],3,FALSE),0))</f>
        <v>954027</v>
      </c>
      <c r="R1001" s="9">
        <f>+IFERROR(VLOOKUP(Tabla3[[#This Row],[Cliente factura]],Tabla4[[NIT]:[TOTAL CREDITO]],6,FALSE),0)</f>
        <v>0</v>
      </c>
      <c r="S1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1" s="10" t="str">
        <f>VLOOKUP(Tabla3[[#This Row],[Razón social cliente factura]]&amp;Tabla3[[#This Row],[Desc. ciudad]],'Estandar de Rutas'!$C$1:$E$553,2,FALSE)</f>
        <v>7.2.A</v>
      </c>
      <c r="U1001" s="130">
        <f>IFERROR(VLOOKUP(Tabla3[[#This Row],[Referencia]]&amp;Tabla3[[#This Row],[Desc detalle ext 1]],Tabla1[[Referencia-Color]:[Disponibilidad]],3,FALSE),0)</f>
        <v>7</v>
      </c>
      <c r="V1001" s="13"/>
      <c r="W1001" s="17">
        <f>+Tabla3[[#This Row],[Cant. Programada]]*Tabla3[[#This Row],[Precio unit]]</f>
        <v>0</v>
      </c>
      <c r="X1001" s="8"/>
      <c r="Y1001" s="8"/>
      <c r="Z1001" s="8" t="str">
        <f>+Tabla3[[#This Row],[Referencia]]&amp;Tabla3[[#This Row],[Desc detalle ext 1]]</f>
        <v>*XR 150L                                          NEGRO ROJ</v>
      </c>
      <c r="AA1001" s="128" t="e">
        <f>+VLOOKUP(Tabla3[[#This Row],[CODIGO2]],ESTANDAR!$B$3:$C$9,2,FALSE)</f>
        <v>#N/A</v>
      </c>
      <c r="AB1001" s="128" t="str">
        <f>+MID(Tabla3[[#This Row],['# Viaje]],10,1)</f>
        <v/>
      </c>
    </row>
    <row r="1002" spans="1:28" ht="15" hidden="1" customHeight="1">
      <c r="A1002" s="173" t="s">
        <v>1669</v>
      </c>
      <c r="B1002" s="174">
        <v>42949</v>
      </c>
      <c r="C1002" s="173" t="s">
        <v>1231</v>
      </c>
      <c r="D1002" s="173" t="s">
        <v>1478</v>
      </c>
      <c r="E1002" s="173" t="s">
        <v>1479</v>
      </c>
      <c r="F1002" s="173">
        <v>1</v>
      </c>
      <c r="G1002" s="173" t="s">
        <v>68</v>
      </c>
      <c r="H1002" s="173">
        <v>1</v>
      </c>
      <c r="I1002" s="173" t="s">
        <v>1670</v>
      </c>
      <c r="J1002" s="173" t="s">
        <v>1425</v>
      </c>
      <c r="K1002" s="173" t="s">
        <v>1426</v>
      </c>
      <c r="L1002" s="173"/>
      <c r="M1002" s="173" t="s">
        <v>205</v>
      </c>
      <c r="N1002" s="173">
        <v>9398760</v>
      </c>
      <c r="O1002" s="175">
        <v>7730252</v>
      </c>
      <c r="P1002" s="7"/>
      <c r="Q1002" s="16">
        <f>+IF(IFERROR(VLOOKUP(Tabla3[[#This Row],[Cliente factura]],Tabla4[[NIT]:[TOTAL CREDITO]],3,FALSE),0)="",0,IFERROR(VLOOKUP(Tabla3[[#This Row],[Cliente factura]],Tabla4[[NIT]:[TOTAL CREDITO]],3,FALSE),0))</f>
        <v>954027</v>
      </c>
      <c r="R1002" s="9">
        <f>+IFERROR(VLOOKUP(Tabla3[[#This Row],[Cliente factura]],Tabla4[[NIT]:[TOTAL CREDITO]],6,FALSE),0)</f>
        <v>0</v>
      </c>
      <c r="S1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2" s="10" t="str">
        <f>VLOOKUP(Tabla3[[#This Row],[Razón social cliente factura]]&amp;Tabla3[[#This Row],[Desc. ciudad]],'Estandar de Rutas'!$C$1:$E$553,2,FALSE)</f>
        <v>7.2.A</v>
      </c>
      <c r="U1002" s="130">
        <f>IFERROR(VLOOKUP(Tabla3[[#This Row],[Referencia]]&amp;Tabla3[[#This Row],[Desc detalle ext 1]],Tabla1[[Referencia-Color]:[Disponibilidad]],3,FALSE),0)</f>
        <v>104</v>
      </c>
      <c r="V1002" s="13"/>
      <c r="W1002" s="17">
        <f>+Tabla3[[#This Row],[Cant. Programada]]*Tabla3[[#This Row],[Precio unit]]</f>
        <v>0</v>
      </c>
      <c r="X1002" s="8"/>
      <c r="Y1002" s="8"/>
      <c r="Z1002" s="8" t="str">
        <f>+Tabla3[[#This Row],[Referencia]]&amp;Tabla3[[#This Row],[Desc detalle ext 1]]</f>
        <v>CB 190 REPSOL                                     NARANJA B</v>
      </c>
      <c r="AA1002" s="128" t="e">
        <f>+VLOOKUP(Tabla3[[#This Row],[CODIGO2]],ESTANDAR!$B$3:$C$9,2,FALSE)</f>
        <v>#N/A</v>
      </c>
      <c r="AB1002" s="128" t="str">
        <f>+MID(Tabla3[[#This Row],['# Viaje]],10,1)</f>
        <v/>
      </c>
    </row>
    <row r="1003" spans="1:28" ht="15" hidden="1" customHeight="1">
      <c r="A1003" s="173" t="s">
        <v>1669</v>
      </c>
      <c r="B1003" s="174">
        <v>42949</v>
      </c>
      <c r="C1003" s="173" t="s">
        <v>1231</v>
      </c>
      <c r="D1003" s="173" t="s">
        <v>1478</v>
      </c>
      <c r="E1003" s="173" t="s">
        <v>1479</v>
      </c>
      <c r="F1003" s="173">
        <v>1</v>
      </c>
      <c r="G1003" s="173" t="s">
        <v>68</v>
      </c>
      <c r="H1003" s="173">
        <v>1</v>
      </c>
      <c r="I1003" s="173" t="s">
        <v>1670</v>
      </c>
      <c r="J1003" s="173" t="s">
        <v>1451</v>
      </c>
      <c r="K1003" s="173" t="s">
        <v>1452</v>
      </c>
      <c r="L1003" s="173"/>
      <c r="M1003" s="173" t="s">
        <v>205</v>
      </c>
      <c r="N1003" s="173">
        <v>9398760</v>
      </c>
      <c r="O1003" s="175">
        <v>3696639</v>
      </c>
      <c r="P1003" s="7"/>
      <c r="Q1003" s="16">
        <f>+IF(IFERROR(VLOOKUP(Tabla3[[#This Row],[Cliente factura]],Tabla4[[NIT]:[TOTAL CREDITO]],3,FALSE),0)="",0,IFERROR(VLOOKUP(Tabla3[[#This Row],[Cliente factura]],Tabla4[[NIT]:[TOTAL CREDITO]],3,FALSE),0))</f>
        <v>954027</v>
      </c>
      <c r="R1003" s="9">
        <f>+IFERROR(VLOOKUP(Tabla3[[#This Row],[Cliente factura]],Tabla4[[NIT]:[TOTAL CREDITO]],6,FALSE),0)</f>
        <v>0</v>
      </c>
      <c r="S1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3" s="10" t="str">
        <f>VLOOKUP(Tabla3[[#This Row],[Razón social cliente factura]]&amp;Tabla3[[#This Row],[Desc. ciudad]],'Estandar de Rutas'!$C$1:$E$553,2,FALSE)</f>
        <v>7.2.A</v>
      </c>
      <c r="U1003" s="130">
        <f>IFERROR(VLOOKUP(Tabla3[[#This Row],[Referencia]]&amp;Tabla3[[#This Row],[Desc detalle ext 1]],Tabla1[[Referencia-Color]:[Disponibilidad]],3,FALSE),0)</f>
        <v>21</v>
      </c>
      <c r="V1003" s="13"/>
      <c r="W1003" s="17">
        <f>+Tabla3[[#This Row],[Cant. Programada]]*Tabla3[[#This Row],[Precio unit]]</f>
        <v>0</v>
      </c>
      <c r="X1003" s="130"/>
      <c r="Y1003" s="8"/>
      <c r="Z1003" s="8" t="str">
        <f>+Tabla3[[#This Row],[Referencia]]&amp;Tabla3[[#This Row],[Desc detalle ext 1]]</f>
        <v xml:space="preserve">CB 110 DLX                                        AZUL     </v>
      </c>
      <c r="AA1003" s="128" t="e">
        <f>+VLOOKUP(Tabla3[[#This Row],[CODIGO2]],ESTANDAR!$B$3:$C$9,2,FALSE)</f>
        <v>#N/A</v>
      </c>
      <c r="AB1003" s="128" t="str">
        <f>+MID(Tabla3[[#This Row],['# Viaje]],10,1)</f>
        <v/>
      </c>
    </row>
    <row r="1004" spans="1:28" ht="15" hidden="1" customHeight="1">
      <c r="A1004" s="173" t="s">
        <v>1669</v>
      </c>
      <c r="B1004" s="174">
        <v>42949</v>
      </c>
      <c r="C1004" s="173" t="s">
        <v>1231</v>
      </c>
      <c r="D1004" s="173" t="s">
        <v>1478</v>
      </c>
      <c r="E1004" s="173" t="s">
        <v>1479</v>
      </c>
      <c r="F1004" s="173">
        <v>1</v>
      </c>
      <c r="G1004" s="173" t="s">
        <v>68</v>
      </c>
      <c r="H1004" s="173">
        <v>1</v>
      </c>
      <c r="I1004" s="173" t="s">
        <v>1670</v>
      </c>
      <c r="J1004" s="173" t="s">
        <v>1451</v>
      </c>
      <c r="K1004" s="173" t="s">
        <v>1431</v>
      </c>
      <c r="L1004" s="173"/>
      <c r="M1004" s="173" t="s">
        <v>205</v>
      </c>
      <c r="N1004" s="173">
        <v>9398760</v>
      </c>
      <c r="O1004" s="175">
        <v>3696639</v>
      </c>
      <c r="P1004" s="7"/>
      <c r="Q1004" s="16">
        <f>+IF(IFERROR(VLOOKUP(Tabla3[[#This Row],[Cliente factura]],Tabla4[[NIT]:[TOTAL CREDITO]],3,FALSE),0)="",0,IFERROR(VLOOKUP(Tabla3[[#This Row],[Cliente factura]],Tabla4[[NIT]:[TOTAL CREDITO]],3,FALSE),0))</f>
        <v>954027</v>
      </c>
      <c r="R1004" s="9">
        <f>+IFERROR(VLOOKUP(Tabla3[[#This Row],[Cliente factura]],Tabla4[[NIT]:[TOTAL CREDITO]],6,FALSE),0)</f>
        <v>0</v>
      </c>
      <c r="S1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4" s="10" t="str">
        <f>VLOOKUP(Tabla3[[#This Row],[Razón social cliente factura]]&amp;Tabla3[[#This Row],[Desc. ciudad]],'Estandar de Rutas'!$C$1:$E$553,2,FALSE)</f>
        <v>7.2.A</v>
      </c>
      <c r="U1004" s="130">
        <f>IFERROR(VLOOKUP(Tabla3[[#This Row],[Referencia]]&amp;Tabla3[[#This Row],[Desc detalle ext 1]],Tabla1[[Referencia-Color]:[Disponibilidad]],3,FALSE),0)</f>
        <v>21</v>
      </c>
      <c r="V1004" s="13"/>
      <c r="W1004" s="17">
        <f>+Tabla3[[#This Row],[Cant. Programada]]*Tabla3[[#This Row],[Precio unit]]</f>
        <v>0</v>
      </c>
      <c r="X1004" s="130"/>
      <c r="Y1004" s="8"/>
      <c r="Z1004" s="8" t="str">
        <f>+Tabla3[[#This Row],[Referencia]]&amp;Tabla3[[#This Row],[Desc detalle ext 1]]</f>
        <v xml:space="preserve">CB 110 DLX                                        ROJO     </v>
      </c>
      <c r="AA1004" s="128" t="e">
        <f>+VLOOKUP(Tabla3[[#This Row],[CODIGO2]],ESTANDAR!$B$3:$C$9,2,FALSE)</f>
        <v>#N/A</v>
      </c>
      <c r="AB1004" s="128" t="str">
        <f>+MID(Tabla3[[#This Row],['# Viaje]],10,1)</f>
        <v/>
      </c>
    </row>
    <row r="1005" spans="1:28" ht="15" hidden="1" customHeight="1">
      <c r="A1005" s="173" t="s">
        <v>1669</v>
      </c>
      <c r="B1005" s="174">
        <v>42949</v>
      </c>
      <c r="C1005" s="173" t="s">
        <v>1231</v>
      </c>
      <c r="D1005" s="173" t="s">
        <v>1478</v>
      </c>
      <c r="E1005" s="173" t="s">
        <v>1479</v>
      </c>
      <c r="F1005" s="173">
        <v>1</v>
      </c>
      <c r="G1005" s="173" t="s">
        <v>68</v>
      </c>
      <c r="H1005" s="173">
        <v>1</v>
      </c>
      <c r="I1005" s="173" t="s">
        <v>1670</v>
      </c>
      <c r="J1005" s="173" t="s">
        <v>1451</v>
      </c>
      <c r="K1005" s="173" t="s">
        <v>16</v>
      </c>
      <c r="L1005" s="173"/>
      <c r="M1005" s="173" t="s">
        <v>205</v>
      </c>
      <c r="N1005" s="173">
        <v>9398760</v>
      </c>
      <c r="O1005" s="175">
        <v>3696639</v>
      </c>
      <c r="P1005" s="7"/>
      <c r="Q1005" s="16">
        <f>+IF(IFERROR(VLOOKUP(Tabla3[[#This Row],[Cliente factura]],Tabla4[[NIT]:[TOTAL CREDITO]],3,FALSE),0)="",0,IFERROR(VLOOKUP(Tabla3[[#This Row],[Cliente factura]],Tabla4[[NIT]:[TOTAL CREDITO]],3,FALSE),0))</f>
        <v>954027</v>
      </c>
      <c r="R1005" s="9">
        <f>+IFERROR(VLOOKUP(Tabla3[[#This Row],[Cliente factura]],Tabla4[[NIT]:[TOTAL CREDITO]],6,FALSE),0)</f>
        <v>0</v>
      </c>
      <c r="S1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5" s="10" t="str">
        <f>VLOOKUP(Tabla3[[#This Row],[Razón social cliente factura]]&amp;Tabla3[[#This Row],[Desc. ciudad]],'Estandar de Rutas'!$C$1:$E$553,2,FALSE)</f>
        <v>7.2.A</v>
      </c>
      <c r="U1005" s="130">
        <f>IFERROR(VLOOKUP(Tabla3[[#This Row],[Referencia]]&amp;Tabla3[[#This Row],[Desc detalle ext 1]],Tabla1[[Referencia-Color]:[Disponibilidad]],3,FALSE),0)</f>
        <v>3</v>
      </c>
      <c r="V1005" s="13"/>
      <c r="W1005" s="17">
        <f>+Tabla3[[#This Row],[Cant. Programada]]*Tabla3[[#This Row],[Precio unit]]</f>
        <v>0</v>
      </c>
      <c r="X1005" s="8"/>
      <c r="Y1005" s="8"/>
      <c r="Z1005" s="8" t="str">
        <f>+Tabla3[[#This Row],[Referencia]]&amp;Tabla3[[#This Row],[Desc detalle ext 1]]</f>
        <v xml:space="preserve">CB 110 DLX                                        NEGRO    </v>
      </c>
      <c r="AA1005" s="128" t="e">
        <f>+VLOOKUP(Tabla3[[#This Row],[CODIGO2]],ESTANDAR!$B$3:$C$9,2,FALSE)</f>
        <v>#N/A</v>
      </c>
      <c r="AB1005" s="128" t="str">
        <f>+MID(Tabla3[[#This Row],['# Viaje]],10,1)</f>
        <v/>
      </c>
    </row>
    <row r="1006" spans="1:28" ht="15" hidden="1" customHeight="1">
      <c r="A1006" s="173" t="s">
        <v>1671</v>
      </c>
      <c r="B1006" s="174">
        <v>42949</v>
      </c>
      <c r="C1006" s="173" t="s">
        <v>1231</v>
      </c>
      <c r="D1006" s="173" t="s">
        <v>1487</v>
      </c>
      <c r="E1006" s="173" t="s">
        <v>1479</v>
      </c>
      <c r="F1006" s="173">
        <v>8</v>
      </c>
      <c r="G1006" s="173" t="s">
        <v>156</v>
      </c>
      <c r="H1006" s="173">
        <v>2</v>
      </c>
      <c r="I1006" s="173" t="s">
        <v>1647</v>
      </c>
      <c r="J1006" s="173" t="s">
        <v>27</v>
      </c>
      <c r="K1006" s="173" t="s">
        <v>32</v>
      </c>
      <c r="L1006" s="173">
        <v>42950</v>
      </c>
      <c r="M1006" s="173" t="s">
        <v>157</v>
      </c>
      <c r="N1006" s="173">
        <v>900593566</v>
      </c>
      <c r="O1006" s="175">
        <v>5789916</v>
      </c>
      <c r="P1006" s="7"/>
      <c r="Q1006" s="16">
        <f>+IF(IFERROR(VLOOKUP(Tabla3[[#This Row],[Cliente factura]],Tabla4[[NIT]:[TOTAL CREDITO]],3,FALSE),0)="",0,IFERROR(VLOOKUP(Tabla3[[#This Row],[Cliente factura]],Tabla4[[NIT]:[TOTAL CREDITO]],3,FALSE),0))</f>
        <v>0</v>
      </c>
      <c r="R1006" s="9">
        <f>+IFERROR(VLOOKUP(Tabla3[[#This Row],[Cliente factura]],Tabla4[[NIT]:[TOTAL CREDITO]],6,FALSE),0)</f>
        <v>17808541</v>
      </c>
      <c r="S1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6" s="10" t="str">
        <f>VLOOKUP(Tabla3[[#This Row],[Razón social cliente factura]]&amp;Tabla3[[#This Row],[Desc. ciudad]],'Estandar de Rutas'!$C$1:$E$553,2,FALSE)</f>
        <v>9.1</v>
      </c>
      <c r="U1006" s="130">
        <f>IFERROR(VLOOKUP(Tabla3[[#This Row],[Referencia]]&amp;Tabla3[[#This Row],[Desc detalle ext 1]],Tabla1[[Referencia-Color]:[Disponibilidad]],3,FALSE),0)</f>
        <v>7</v>
      </c>
      <c r="V1006" s="13"/>
      <c r="W1006" s="17">
        <f>+Tabla3[[#This Row],[Cant. Programada]]*Tabla3[[#This Row],[Precio unit]]</f>
        <v>0</v>
      </c>
      <c r="X1006" s="8"/>
      <c r="Y1006" s="8"/>
      <c r="Z1006" s="8" t="str">
        <f>+Tabla3[[#This Row],[Referencia]]&amp;Tabla3[[#This Row],[Desc detalle ext 1]]</f>
        <v>*XR 150L                                          NEGRO ROJ</v>
      </c>
      <c r="AA1006" s="128" t="e">
        <f>+VLOOKUP(Tabla3[[#This Row],[CODIGO2]],ESTANDAR!$B$3:$C$9,2,FALSE)</f>
        <v>#N/A</v>
      </c>
      <c r="AB1006" s="128" t="str">
        <f>+MID(Tabla3[[#This Row],['# Viaje]],10,1)</f>
        <v/>
      </c>
    </row>
    <row r="1007" spans="1:28" ht="15" hidden="1" customHeight="1">
      <c r="A1007" s="173" t="s">
        <v>1672</v>
      </c>
      <c r="B1007" s="174">
        <v>42949</v>
      </c>
      <c r="C1007" s="173" t="s">
        <v>1231</v>
      </c>
      <c r="D1007" s="173" t="s">
        <v>1487</v>
      </c>
      <c r="E1007" s="173" t="s">
        <v>1232</v>
      </c>
      <c r="F1007" s="173">
        <v>3</v>
      </c>
      <c r="G1007" s="173" t="s">
        <v>149</v>
      </c>
      <c r="H1007" s="173">
        <v>3</v>
      </c>
      <c r="I1007" s="173" t="s">
        <v>1673</v>
      </c>
      <c r="J1007" s="173" t="s">
        <v>1421</v>
      </c>
      <c r="K1007" s="173" t="s">
        <v>1434</v>
      </c>
      <c r="L1007" s="173"/>
      <c r="M1007" s="173" t="s">
        <v>150</v>
      </c>
      <c r="N1007" s="173">
        <v>890924996</v>
      </c>
      <c r="O1007" s="175">
        <v>11496063</v>
      </c>
      <c r="P1007" s="7"/>
      <c r="Q10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7" s="9">
        <f>+IFERROR(VLOOKUP(Tabla3[[#This Row],[Cliente factura]],Tabla4[[NIT]:[TOTAL CREDITO]],6,FALSE),0)</f>
        <v>0</v>
      </c>
      <c r="S1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7" s="10" t="str">
        <f>VLOOKUP(Tabla3[[#This Row],[Razón social cliente factura]]&amp;Tabla3[[#This Row],[Desc. ciudad]],'Estandar de Rutas'!$C$1:$E$553,2,FALSE)</f>
        <v>8.1</v>
      </c>
      <c r="U1007" s="130">
        <f>IFERROR(VLOOKUP(Tabla3[[#This Row],[Referencia]]&amp;Tabla3[[#This Row],[Desc detalle ext 1]],Tabla1[[Referencia-Color]:[Disponibilidad]],3,FALSE),0)</f>
        <v>0</v>
      </c>
      <c r="V1007" s="13"/>
      <c r="W1007" s="17">
        <f>+Tabla3[[#This Row],[Cant. Programada]]*Tabla3[[#This Row],[Precio unit]]</f>
        <v>0</v>
      </c>
      <c r="X1007" s="8"/>
      <c r="Y1007" s="8"/>
      <c r="Z1007" s="8" t="str">
        <f>+Tabla3[[#This Row],[Referencia]]&amp;Tabla3[[#This Row],[Desc detalle ext 1]]</f>
        <v>*XR-250 TORNADO pt MD34                           BLANCO NE</v>
      </c>
      <c r="AA1007" s="128" t="e">
        <f>+VLOOKUP(Tabla3[[#This Row],[CODIGO2]],ESTANDAR!$B$3:$C$9,2,FALSE)</f>
        <v>#N/A</v>
      </c>
      <c r="AB1007" s="128" t="str">
        <f>+MID(Tabla3[[#This Row],['# Viaje]],10,1)</f>
        <v/>
      </c>
    </row>
    <row r="1008" spans="1:28" ht="15" hidden="1" customHeight="1">
      <c r="A1008" s="173" t="s">
        <v>1672</v>
      </c>
      <c r="B1008" s="174">
        <v>42949</v>
      </c>
      <c r="C1008" s="173" t="s">
        <v>1231</v>
      </c>
      <c r="D1008" s="173" t="s">
        <v>1487</v>
      </c>
      <c r="E1008" s="173" t="s">
        <v>1232</v>
      </c>
      <c r="F1008" s="173">
        <v>3</v>
      </c>
      <c r="G1008" s="173" t="s">
        <v>149</v>
      </c>
      <c r="H1008" s="173">
        <v>3</v>
      </c>
      <c r="I1008" s="173" t="s">
        <v>1673</v>
      </c>
      <c r="J1008" s="173" t="s">
        <v>1421</v>
      </c>
      <c r="K1008" s="173" t="s">
        <v>16</v>
      </c>
      <c r="L1008" s="173"/>
      <c r="M1008" s="173" t="s">
        <v>150</v>
      </c>
      <c r="N1008" s="173">
        <v>890924996</v>
      </c>
      <c r="O1008" s="175">
        <v>11496063</v>
      </c>
      <c r="P1008" s="7"/>
      <c r="Q10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8" s="9">
        <f>+IFERROR(VLOOKUP(Tabla3[[#This Row],[Cliente factura]],Tabla4[[NIT]:[TOTAL CREDITO]],6,FALSE),0)</f>
        <v>0</v>
      </c>
      <c r="S1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8" s="10" t="str">
        <f>VLOOKUP(Tabla3[[#This Row],[Razón social cliente factura]]&amp;Tabla3[[#This Row],[Desc. ciudad]],'Estandar de Rutas'!$C$1:$E$553,2,FALSE)</f>
        <v>8.1</v>
      </c>
      <c r="U1008" s="130">
        <f>IFERROR(VLOOKUP(Tabla3[[#This Row],[Referencia]]&amp;Tabla3[[#This Row],[Desc detalle ext 1]],Tabla1[[Referencia-Color]:[Disponibilidad]],3,FALSE),0)</f>
        <v>0</v>
      </c>
      <c r="V1008" s="13"/>
      <c r="W1008" s="17">
        <f>+Tabla3[[#This Row],[Cant. Programada]]*Tabla3[[#This Row],[Precio unit]]</f>
        <v>0</v>
      </c>
      <c r="X1008" s="8"/>
      <c r="Y1008" s="8"/>
      <c r="Z1008" s="8" t="str">
        <f>+Tabla3[[#This Row],[Referencia]]&amp;Tabla3[[#This Row],[Desc detalle ext 1]]</f>
        <v xml:space="preserve">*XR-250 TORNADO pt MD34                           NEGRO    </v>
      </c>
      <c r="AA1008" s="128" t="e">
        <f>+VLOOKUP(Tabla3[[#This Row],[CODIGO2]],ESTANDAR!$B$3:$C$9,2,FALSE)</f>
        <v>#N/A</v>
      </c>
      <c r="AB1008" s="128" t="str">
        <f>+MID(Tabla3[[#This Row],['# Viaje]],10,1)</f>
        <v/>
      </c>
    </row>
    <row r="1009" spans="1:28" ht="15" hidden="1" customHeight="1">
      <c r="A1009" s="173" t="s">
        <v>1672</v>
      </c>
      <c r="B1009" s="174">
        <v>42949</v>
      </c>
      <c r="C1009" s="173" t="s">
        <v>1231</v>
      </c>
      <c r="D1009" s="173" t="s">
        <v>1487</v>
      </c>
      <c r="E1009" s="173" t="s">
        <v>1232</v>
      </c>
      <c r="F1009" s="173">
        <v>9</v>
      </c>
      <c r="G1009" s="173" t="s">
        <v>149</v>
      </c>
      <c r="H1009" s="173">
        <v>9</v>
      </c>
      <c r="I1009" s="173" t="s">
        <v>1673</v>
      </c>
      <c r="J1009" s="173" t="s">
        <v>27</v>
      </c>
      <c r="K1009" s="173" t="s">
        <v>32</v>
      </c>
      <c r="L1009" s="173"/>
      <c r="M1009" s="173" t="s">
        <v>150</v>
      </c>
      <c r="N1009" s="173">
        <v>890924996</v>
      </c>
      <c r="O1009" s="175">
        <v>5789916</v>
      </c>
      <c r="P1009" s="7"/>
      <c r="Q10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9" s="9">
        <f>+IFERROR(VLOOKUP(Tabla3[[#This Row],[Cliente factura]],Tabla4[[NIT]:[TOTAL CREDITO]],6,FALSE),0)</f>
        <v>0</v>
      </c>
      <c r="S1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9" s="10" t="str">
        <f>VLOOKUP(Tabla3[[#This Row],[Razón social cliente factura]]&amp;Tabla3[[#This Row],[Desc. ciudad]],'Estandar de Rutas'!$C$1:$E$553,2,FALSE)</f>
        <v>8.1</v>
      </c>
      <c r="U1009" s="130">
        <f>IFERROR(VLOOKUP(Tabla3[[#This Row],[Referencia]]&amp;Tabla3[[#This Row],[Desc detalle ext 1]],Tabla1[[Referencia-Color]:[Disponibilidad]],3,FALSE),0)</f>
        <v>7</v>
      </c>
      <c r="V1009" s="13"/>
      <c r="W1009" s="17">
        <f>+Tabla3[[#This Row],[Cant. Programada]]*Tabla3[[#This Row],[Precio unit]]</f>
        <v>0</v>
      </c>
      <c r="X1009" s="8"/>
      <c r="Y1009" s="8"/>
      <c r="Z1009" s="8" t="str">
        <f>+Tabla3[[#This Row],[Referencia]]&amp;Tabla3[[#This Row],[Desc detalle ext 1]]</f>
        <v>*XR 150L                                          NEGRO ROJ</v>
      </c>
      <c r="AA1009" s="128" t="e">
        <f>+VLOOKUP(Tabla3[[#This Row],[CODIGO2]],ESTANDAR!$B$3:$C$9,2,FALSE)</f>
        <v>#N/A</v>
      </c>
      <c r="AB1009" s="128" t="str">
        <f>+MID(Tabla3[[#This Row],['# Viaje]],10,1)</f>
        <v/>
      </c>
    </row>
    <row r="1010" spans="1:28" ht="15" hidden="1" customHeight="1">
      <c r="A1010" s="173" t="s">
        <v>1672</v>
      </c>
      <c r="B1010" s="174">
        <v>42949</v>
      </c>
      <c r="C1010" s="173" t="s">
        <v>1231</v>
      </c>
      <c r="D1010" s="173" t="s">
        <v>1487</v>
      </c>
      <c r="E1010" s="173" t="s">
        <v>1232</v>
      </c>
      <c r="F1010" s="173">
        <v>13</v>
      </c>
      <c r="G1010" s="173" t="s">
        <v>149</v>
      </c>
      <c r="H1010" s="173">
        <v>13</v>
      </c>
      <c r="I1010" s="173" t="s">
        <v>1673</v>
      </c>
      <c r="J1010" s="173" t="s">
        <v>27</v>
      </c>
      <c r="K1010" s="173" t="s">
        <v>26</v>
      </c>
      <c r="L1010" s="173"/>
      <c r="M1010" s="173" t="s">
        <v>150</v>
      </c>
      <c r="N1010" s="173">
        <v>890924996</v>
      </c>
      <c r="O1010" s="175">
        <v>5789916</v>
      </c>
      <c r="P1010" s="7"/>
      <c r="Q10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0" s="9">
        <f>+IFERROR(VLOOKUP(Tabla3[[#This Row],[Cliente factura]],Tabla4[[NIT]:[TOTAL CREDITO]],6,FALSE),0)</f>
        <v>0</v>
      </c>
      <c r="S1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0" s="10" t="str">
        <f>VLOOKUP(Tabla3[[#This Row],[Razón social cliente factura]]&amp;Tabla3[[#This Row],[Desc. ciudad]],'Estandar de Rutas'!$C$1:$E$553,2,FALSE)</f>
        <v>8.1</v>
      </c>
      <c r="U1010" s="130">
        <f>IFERROR(VLOOKUP(Tabla3[[#This Row],[Referencia]]&amp;Tabla3[[#This Row],[Desc detalle ext 1]],Tabla1[[Referencia-Color]:[Disponibilidad]],3,FALSE),0)</f>
        <v>59</v>
      </c>
      <c r="V1010" s="13"/>
      <c r="W1010" s="17">
        <f>+Tabla3[[#This Row],[Cant. Programada]]*Tabla3[[#This Row],[Precio unit]]</f>
        <v>0</v>
      </c>
      <c r="X1010" s="8"/>
      <c r="Y1010" s="8"/>
      <c r="Z1010" s="8" t="str">
        <f>+Tabla3[[#This Row],[Referencia]]&amp;Tabla3[[#This Row],[Desc detalle ext 1]]</f>
        <v>*XR 150L                                          NEGRO BLA</v>
      </c>
      <c r="AA1010" s="128" t="e">
        <f>+VLOOKUP(Tabla3[[#This Row],[CODIGO2]],ESTANDAR!$B$3:$C$9,2,FALSE)</f>
        <v>#N/A</v>
      </c>
      <c r="AB1010" s="128" t="str">
        <f>+MID(Tabla3[[#This Row],['# Viaje]],10,1)</f>
        <v/>
      </c>
    </row>
    <row r="1011" spans="1:28" ht="15" hidden="1" customHeight="1">
      <c r="A1011" s="173" t="s">
        <v>1672</v>
      </c>
      <c r="B1011" s="174">
        <v>42949</v>
      </c>
      <c r="C1011" s="173" t="s">
        <v>1231</v>
      </c>
      <c r="D1011" s="173" t="s">
        <v>1487</v>
      </c>
      <c r="E1011" s="173" t="s">
        <v>1232</v>
      </c>
      <c r="F1011" s="173">
        <v>13</v>
      </c>
      <c r="G1011" s="173" t="s">
        <v>149</v>
      </c>
      <c r="H1011" s="173">
        <v>13</v>
      </c>
      <c r="I1011" s="173" t="s">
        <v>1673</v>
      </c>
      <c r="J1011" s="173" t="s">
        <v>27</v>
      </c>
      <c r="K1011" s="173" t="s">
        <v>16</v>
      </c>
      <c r="L1011" s="173"/>
      <c r="M1011" s="173" t="s">
        <v>150</v>
      </c>
      <c r="N1011" s="173">
        <v>890924996</v>
      </c>
      <c r="O1011" s="175">
        <v>5789916</v>
      </c>
      <c r="P1011" s="7"/>
      <c r="Q10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1" s="9">
        <f>+IFERROR(VLOOKUP(Tabla3[[#This Row],[Cliente factura]],Tabla4[[NIT]:[TOTAL CREDITO]],6,FALSE),0)</f>
        <v>0</v>
      </c>
      <c r="S1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1" s="10" t="str">
        <f>VLOOKUP(Tabla3[[#This Row],[Razón social cliente factura]]&amp;Tabla3[[#This Row],[Desc. ciudad]],'Estandar de Rutas'!$C$1:$E$553,2,FALSE)</f>
        <v>8.1</v>
      </c>
      <c r="U1011" s="130">
        <f>IFERROR(VLOOKUP(Tabla3[[#This Row],[Referencia]]&amp;Tabla3[[#This Row],[Desc detalle ext 1]],Tabla1[[Referencia-Color]:[Disponibilidad]],3,FALSE),0)</f>
        <v>3</v>
      </c>
      <c r="V1011" s="13"/>
      <c r="W1011" s="17">
        <f>+Tabla3[[#This Row],[Cant. Programada]]*Tabla3[[#This Row],[Precio unit]]</f>
        <v>0</v>
      </c>
      <c r="X1011" s="8"/>
      <c r="Y1011" s="8"/>
      <c r="Z1011" s="8" t="str">
        <f>+Tabla3[[#This Row],[Referencia]]&amp;Tabla3[[#This Row],[Desc detalle ext 1]]</f>
        <v xml:space="preserve">*XR 150L                                          NEGRO    </v>
      </c>
      <c r="AA1011" s="128" t="e">
        <f>+VLOOKUP(Tabla3[[#This Row],[CODIGO2]],ESTANDAR!$B$3:$C$9,2,FALSE)</f>
        <v>#N/A</v>
      </c>
      <c r="AB1011" s="128" t="str">
        <f>+MID(Tabla3[[#This Row],['# Viaje]],10,1)</f>
        <v/>
      </c>
    </row>
    <row r="1012" spans="1:28" ht="15" hidden="1" customHeight="1">
      <c r="A1012" s="173" t="s">
        <v>1672</v>
      </c>
      <c r="B1012" s="174">
        <v>42949</v>
      </c>
      <c r="C1012" s="173" t="s">
        <v>1231</v>
      </c>
      <c r="D1012" s="173" t="s">
        <v>1487</v>
      </c>
      <c r="E1012" s="173" t="s">
        <v>1232</v>
      </c>
      <c r="F1012" s="173">
        <v>10</v>
      </c>
      <c r="G1012" s="173" t="s">
        <v>149</v>
      </c>
      <c r="H1012" s="173">
        <v>10</v>
      </c>
      <c r="I1012" s="173" t="s">
        <v>1673</v>
      </c>
      <c r="J1012" s="173" t="s">
        <v>10</v>
      </c>
      <c r="K1012" s="173" t="s">
        <v>13</v>
      </c>
      <c r="L1012" s="173"/>
      <c r="M1012" s="173" t="s">
        <v>150</v>
      </c>
      <c r="N1012" s="173">
        <v>890924996</v>
      </c>
      <c r="O1012" s="175">
        <v>7554622</v>
      </c>
      <c r="P1012" s="7"/>
      <c r="Q10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2" s="9">
        <f>+IFERROR(VLOOKUP(Tabla3[[#This Row],[Cliente factura]],Tabla4[[NIT]:[TOTAL CREDITO]],6,FALSE),0)</f>
        <v>0</v>
      </c>
      <c r="S1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2" s="10" t="str">
        <f>VLOOKUP(Tabla3[[#This Row],[Razón social cliente factura]]&amp;Tabla3[[#This Row],[Desc. ciudad]],'Estandar de Rutas'!$C$1:$E$553,2,FALSE)</f>
        <v>8.1</v>
      </c>
      <c r="U1012" s="130">
        <f>IFERROR(VLOOKUP(Tabla3[[#This Row],[Referencia]]&amp;Tabla3[[#This Row],[Desc detalle ext 1]],Tabla1[[Referencia-Color]:[Disponibilidad]],3,FALSE),0)</f>
        <v>75</v>
      </c>
      <c r="V1012" s="13"/>
      <c r="W1012" s="17">
        <f>+Tabla3[[#This Row],[Cant. Programada]]*Tabla3[[#This Row],[Precio unit]]</f>
        <v>0</v>
      </c>
      <c r="X1012" s="8"/>
      <c r="Y1012" s="8"/>
      <c r="Z1012" s="8" t="str">
        <f>+Tabla3[[#This Row],[Referencia]]&amp;Tabla3[[#This Row],[Desc detalle ext 1]]</f>
        <v>CB 190R                                           ROJO NEGR</v>
      </c>
      <c r="AA1012" s="128" t="e">
        <f>+VLOOKUP(Tabla3[[#This Row],[CODIGO2]],ESTANDAR!$B$3:$C$9,2,FALSE)</f>
        <v>#N/A</v>
      </c>
      <c r="AB1012" s="128" t="str">
        <f>+MID(Tabla3[[#This Row],['# Viaje]],10,1)</f>
        <v/>
      </c>
    </row>
    <row r="1013" spans="1:28" ht="15" hidden="1" customHeight="1">
      <c r="A1013" s="173" t="s">
        <v>1672</v>
      </c>
      <c r="B1013" s="174">
        <v>42949</v>
      </c>
      <c r="C1013" s="173" t="s">
        <v>1231</v>
      </c>
      <c r="D1013" s="173" t="s">
        <v>1487</v>
      </c>
      <c r="E1013" s="173" t="s">
        <v>1232</v>
      </c>
      <c r="F1013" s="173">
        <v>11</v>
      </c>
      <c r="G1013" s="173" t="s">
        <v>149</v>
      </c>
      <c r="H1013" s="173">
        <v>11</v>
      </c>
      <c r="I1013" s="173" t="s">
        <v>1673</v>
      </c>
      <c r="J1013" s="173" t="s">
        <v>10</v>
      </c>
      <c r="K1013" s="173" t="s">
        <v>11</v>
      </c>
      <c r="L1013" s="173"/>
      <c r="M1013" s="173" t="s">
        <v>150</v>
      </c>
      <c r="N1013" s="173">
        <v>890924996</v>
      </c>
      <c r="O1013" s="175">
        <v>7554622</v>
      </c>
      <c r="P1013" s="7"/>
      <c r="Q10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3" s="9">
        <f>+IFERROR(VLOOKUP(Tabla3[[#This Row],[Cliente factura]],Tabla4[[NIT]:[TOTAL CREDITO]],6,FALSE),0)</f>
        <v>0</v>
      </c>
      <c r="S1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3" s="10" t="str">
        <f>VLOOKUP(Tabla3[[#This Row],[Razón social cliente factura]]&amp;Tabla3[[#This Row],[Desc. ciudad]],'Estandar de Rutas'!$C$1:$E$553,2,FALSE)</f>
        <v>8.1</v>
      </c>
      <c r="U1013" s="130">
        <f>IFERROR(VLOOKUP(Tabla3[[#This Row],[Referencia]]&amp;Tabla3[[#This Row],[Desc detalle ext 1]],Tabla1[[Referencia-Color]:[Disponibilidad]],3,FALSE),0)</f>
        <v>0</v>
      </c>
      <c r="V1013" s="13"/>
      <c r="W1013" s="17">
        <f>+Tabla3[[#This Row],[Cant. Programada]]*Tabla3[[#This Row],[Precio unit]]</f>
        <v>0</v>
      </c>
      <c r="X1013" s="8"/>
      <c r="Y1013" s="8"/>
      <c r="Z1013" s="8" t="str">
        <f>+Tabla3[[#This Row],[Referencia]]&amp;Tabla3[[#This Row],[Desc detalle ext 1]]</f>
        <v>CB 190R                                           NEGRO ONI</v>
      </c>
      <c r="AA1013" s="128" t="e">
        <f>+VLOOKUP(Tabla3[[#This Row],[CODIGO2]],ESTANDAR!$B$3:$C$9,2,FALSE)</f>
        <v>#N/A</v>
      </c>
      <c r="AB1013" s="128" t="str">
        <f>+MID(Tabla3[[#This Row],['# Viaje]],10,1)</f>
        <v/>
      </c>
    </row>
    <row r="1014" spans="1:28" ht="15" hidden="1" customHeight="1">
      <c r="A1014" s="173" t="s">
        <v>1672</v>
      </c>
      <c r="B1014" s="174">
        <v>42949</v>
      </c>
      <c r="C1014" s="173" t="s">
        <v>1231</v>
      </c>
      <c r="D1014" s="173" t="s">
        <v>1487</v>
      </c>
      <c r="E1014" s="173" t="s">
        <v>1232</v>
      </c>
      <c r="F1014" s="173">
        <v>10</v>
      </c>
      <c r="G1014" s="173" t="s">
        <v>149</v>
      </c>
      <c r="H1014" s="173">
        <v>10</v>
      </c>
      <c r="I1014" s="173" t="s">
        <v>1673</v>
      </c>
      <c r="J1014" s="173" t="s">
        <v>1425</v>
      </c>
      <c r="K1014" s="173" t="s">
        <v>1426</v>
      </c>
      <c r="L1014" s="173"/>
      <c r="M1014" s="173" t="s">
        <v>150</v>
      </c>
      <c r="N1014" s="173">
        <v>890924996</v>
      </c>
      <c r="O1014" s="175">
        <v>7730252</v>
      </c>
      <c r="P1014" s="7"/>
      <c r="Q10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4" s="9">
        <f>+IFERROR(VLOOKUP(Tabla3[[#This Row],[Cliente factura]],Tabla4[[NIT]:[TOTAL CREDITO]],6,FALSE),0)</f>
        <v>0</v>
      </c>
      <c r="S1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4" s="10" t="str">
        <f>VLOOKUP(Tabla3[[#This Row],[Razón social cliente factura]]&amp;Tabla3[[#This Row],[Desc. ciudad]],'Estandar de Rutas'!$C$1:$E$553,2,FALSE)</f>
        <v>8.1</v>
      </c>
      <c r="U1014" s="130">
        <f>IFERROR(VLOOKUP(Tabla3[[#This Row],[Referencia]]&amp;Tabla3[[#This Row],[Desc detalle ext 1]],Tabla1[[Referencia-Color]:[Disponibilidad]],3,FALSE),0)</f>
        <v>104</v>
      </c>
      <c r="V1014" s="13"/>
      <c r="W1014" s="17">
        <f>+Tabla3[[#This Row],[Cant. Programada]]*Tabla3[[#This Row],[Precio unit]]</f>
        <v>0</v>
      </c>
      <c r="X1014" s="8"/>
      <c r="Y1014" s="8"/>
      <c r="Z1014" s="8" t="str">
        <f>+Tabla3[[#This Row],[Referencia]]&amp;Tabla3[[#This Row],[Desc detalle ext 1]]</f>
        <v>CB 190 REPSOL                                     NARANJA B</v>
      </c>
      <c r="AA1014" s="128" t="e">
        <f>+VLOOKUP(Tabla3[[#This Row],[CODIGO2]],ESTANDAR!$B$3:$C$9,2,FALSE)</f>
        <v>#N/A</v>
      </c>
      <c r="AB1014" s="128" t="str">
        <f>+MID(Tabla3[[#This Row],['# Viaje]],10,1)</f>
        <v/>
      </c>
    </row>
    <row r="1015" spans="1:28" ht="15" hidden="1" customHeight="1">
      <c r="A1015" s="173" t="s">
        <v>1672</v>
      </c>
      <c r="B1015" s="174">
        <v>42949</v>
      </c>
      <c r="C1015" s="173" t="s">
        <v>1231</v>
      </c>
      <c r="D1015" s="173" t="s">
        <v>1487</v>
      </c>
      <c r="E1015" s="173" t="s">
        <v>1232</v>
      </c>
      <c r="F1015" s="173">
        <v>3</v>
      </c>
      <c r="G1015" s="173" t="s">
        <v>149</v>
      </c>
      <c r="H1015" s="173">
        <v>3</v>
      </c>
      <c r="I1015" s="173" t="s">
        <v>1673</v>
      </c>
      <c r="J1015" s="173" t="s">
        <v>354</v>
      </c>
      <c r="K1015" s="173" t="s">
        <v>355</v>
      </c>
      <c r="L1015" s="173"/>
      <c r="M1015" s="173" t="s">
        <v>150</v>
      </c>
      <c r="N1015" s="173">
        <v>890924996</v>
      </c>
      <c r="O1015" s="175">
        <v>6133613</v>
      </c>
      <c r="P1015" s="7"/>
      <c r="Q10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5" s="9">
        <f>+IFERROR(VLOOKUP(Tabla3[[#This Row],[Cliente factura]],Tabla4[[NIT]:[TOTAL CREDITO]],6,FALSE),0)</f>
        <v>0</v>
      </c>
      <c r="S1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5" s="10" t="str">
        <f>VLOOKUP(Tabla3[[#This Row],[Razón social cliente factura]]&amp;Tabla3[[#This Row],[Desc. ciudad]],'Estandar de Rutas'!$C$1:$E$553,2,FALSE)</f>
        <v>8.1</v>
      </c>
      <c r="U1015" s="130">
        <f>IFERROR(VLOOKUP(Tabla3[[#This Row],[Referencia]]&amp;Tabla3[[#This Row],[Desc detalle ext 1]],Tabla1[[Referencia-Color]:[Disponibilidad]],3,FALSE),0)</f>
        <v>0</v>
      </c>
      <c r="V1015" s="13"/>
      <c r="W1015" s="17">
        <f>+Tabla3[[#This Row],[Cant. Programada]]*Tabla3[[#This Row],[Precio unit]]</f>
        <v>0</v>
      </c>
      <c r="X1015" s="8"/>
      <c r="Y1015" s="8"/>
      <c r="Z1015" s="8" t="str">
        <f>+Tabla3[[#This Row],[Referencia]]&amp;Tabla3[[#This Row],[Desc detalle ext 1]]</f>
        <v>CB 160F DLX                                       NEGRO PER</v>
      </c>
      <c r="AA1015" s="128" t="e">
        <f>+VLOOKUP(Tabla3[[#This Row],[CODIGO2]],ESTANDAR!$B$3:$C$9,2,FALSE)</f>
        <v>#N/A</v>
      </c>
      <c r="AB1015" s="128" t="str">
        <f>+MID(Tabla3[[#This Row],['# Viaje]],10,1)</f>
        <v/>
      </c>
    </row>
    <row r="1016" spans="1:28" ht="15" hidden="1" customHeight="1">
      <c r="A1016" s="173" t="s">
        <v>1672</v>
      </c>
      <c r="B1016" s="174">
        <v>42949</v>
      </c>
      <c r="C1016" s="173" t="s">
        <v>1231</v>
      </c>
      <c r="D1016" s="173" t="s">
        <v>1487</v>
      </c>
      <c r="E1016" s="173" t="s">
        <v>1232</v>
      </c>
      <c r="F1016" s="173">
        <v>5</v>
      </c>
      <c r="G1016" s="173" t="s">
        <v>149</v>
      </c>
      <c r="H1016" s="173">
        <v>5</v>
      </c>
      <c r="I1016" s="173" t="s">
        <v>1673</v>
      </c>
      <c r="J1016" s="173" t="s">
        <v>354</v>
      </c>
      <c r="K1016" s="173" t="s">
        <v>17</v>
      </c>
      <c r="L1016" s="173"/>
      <c r="M1016" s="173" t="s">
        <v>150</v>
      </c>
      <c r="N1016" s="173">
        <v>890924996</v>
      </c>
      <c r="O1016" s="175">
        <v>6133613</v>
      </c>
      <c r="P1016" s="7"/>
      <c r="Q10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6" s="9">
        <f>+IFERROR(VLOOKUP(Tabla3[[#This Row],[Cliente factura]],Tabla4[[NIT]:[TOTAL CREDITO]],6,FALSE),0)</f>
        <v>0</v>
      </c>
      <c r="S1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6" s="10" t="str">
        <f>VLOOKUP(Tabla3[[#This Row],[Razón social cliente factura]]&amp;Tabla3[[#This Row],[Desc. ciudad]],'Estandar de Rutas'!$C$1:$E$553,2,FALSE)</f>
        <v>8.1</v>
      </c>
      <c r="U1016" s="130">
        <f>IFERROR(VLOOKUP(Tabla3[[#This Row],[Referencia]]&amp;Tabla3[[#This Row],[Desc detalle ext 1]],Tabla1[[Referencia-Color]:[Disponibilidad]],3,FALSE),0)</f>
        <v>48</v>
      </c>
      <c r="V1016" s="13"/>
      <c r="W1016" s="17">
        <f>+Tabla3[[#This Row],[Cant. Programada]]*Tabla3[[#This Row],[Precio unit]]</f>
        <v>0</v>
      </c>
      <c r="X1016" s="8"/>
      <c r="Y1016" s="8"/>
      <c r="Z1016" s="8" t="str">
        <f>+Tabla3[[#This Row],[Referencia]]&amp;Tabla3[[#This Row],[Desc detalle ext 1]]</f>
        <v>CB 160F DLX                                       ROJO SPOR</v>
      </c>
      <c r="AA1016" s="128" t="e">
        <f>+VLOOKUP(Tabla3[[#This Row],[CODIGO2]],ESTANDAR!$B$3:$C$9,2,FALSE)</f>
        <v>#N/A</v>
      </c>
      <c r="AB1016" s="128" t="str">
        <f>+MID(Tabla3[[#This Row],['# Viaje]],10,1)</f>
        <v/>
      </c>
    </row>
    <row r="1017" spans="1:28" ht="15" hidden="1" customHeight="1">
      <c r="A1017" s="173" t="s">
        <v>1672</v>
      </c>
      <c r="B1017" s="174">
        <v>42949</v>
      </c>
      <c r="C1017" s="173" t="s">
        <v>1231</v>
      </c>
      <c r="D1017" s="173" t="s">
        <v>1487</v>
      </c>
      <c r="E1017" s="173" t="s">
        <v>1232</v>
      </c>
      <c r="F1017" s="173">
        <v>3</v>
      </c>
      <c r="G1017" s="173" t="s">
        <v>149</v>
      </c>
      <c r="H1017" s="173">
        <v>3</v>
      </c>
      <c r="I1017" s="173" t="s">
        <v>1673</v>
      </c>
      <c r="J1017" s="173" t="s">
        <v>1433</v>
      </c>
      <c r="K1017" s="173" t="s">
        <v>1452</v>
      </c>
      <c r="L1017" s="173"/>
      <c r="M1017" s="173" t="s">
        <v>150</v>
      </c>
      <c r="N1017" s="173">
        <v>890924996</v>
      </c>
      <c r="O1017" s="175">
        <v>3521008</v>
      </c>
      <c r="P1017" s="7"/>
      <c r="Q10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7" s="9">
        <f>+IFERROR(VLOOKUP(Tabla3[[#This Row],[Cliente factura]],Tabla4[[NIT]:[TOTAL CREDITO]],6,FALSE),0)</f>
        <v>0</v>
      </c>
      <c r="S1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7" s="10" t="str">
        <f>VLOOKUP(Tabla3[[#This Row],[Razón social cliente factura]]&amp;Tabla3[[#This Row],[Desc. ciudad]],'Estandar de Rutas'!$C$1:$E$553,2,FALSE)</f>
        <v>8.1</v>
      </c>
      <c r="U1017" s="130">
        <f>IFERROR(VLOOKUP(Tabla3[[#This Row],[Referencia]]&amp;Tabla3[[#This Row],[Desc detalle ext 1]],Tabla1[[Referencia-Color]:[Disponibilidad]],3,FALSE),0)</f>
        <v>0</v>
      </c>
      <c r="V1017" s="13"/>
      <c r="W1017" s="17">
        <f>+Tabla3[[#This Row],[Cant. Programada]]*Tabla3[[#This Row],[Precio unit]]</f>
        <v>0</v>
      </c>
      <c r="X1017" s="8"/>
      <c r="Y1017" s="8"/>
      <c r="Z1017" s="8" t="str">
        <f>+Tabla3[[#This Row],[Referencia]]&amp;Tabla3[[#This Row],[Desc detalle ext 1]]</f>
        <v xml:space="preserve">DIO  110                                          AZUL     </v>
      </c>
      <c r="AA1017" s="128" t="e">
        <f>+VLOOKUP(Tabla3[[#This Row],[CODIGO2]],ESTANDAR!$B$3:$C$9,2,FALSE)</f>
        <v>#N/A</v>
      </c>
      <c r="AB1017" s="128" t="str">
        <f>+MID(Tabla3[[#This Row],['# Viaje]],10,1)</f>
        <v/>
      </c>
    </row>
    <row r="1018" spans="1:28" ht="15" hidden="1" customHeight="1">
      <c r="A1018" s="173" t="s">
        <v>1672</v>
      </c>
      <c r="B1018" s="174">
        <v>42949</v>
      </c>
      <c r="C1018" s="173" t="s">
        <v>1231</v>
      </c>
      <c r="D1018" s="173" t="s">
        <v>1487</v>
      </c>
      <c r="E1018" s="173" t="s">
        <v>1232</v>
      </c>
      <c r="F1018" s="173">
        <v>2</v>
      </c>
      <c r="G1018" s="173" t="s">
        <v>149</v>
      </c>
      <c r="H1018" s="173">
        <v>2</v>
      </c>
      <c r="I1018" s="173" t="s">
        <v>1673</v>
      </c>
      <c r="J1018" s="173" t="s">
        <v>1433</v>
      </c>
      <c r="K1018" s="173" t="s">
        <v>1434</v>
      </c>
      <c r="L1018" s="173"/>
      <c r="M1018" s="173" t="s">
        <v>150</v>
      </c>
      <c r="N1018" s="173">
        <v>890924996</v>
      </c>
      <c r="O1018" s="175">
        <v>3521008</v>
      </c>
      <c r="P1018" s="7"/>
      <c r="Q10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8" s="9">
        <f>+IFERROR(VLOOKUP(Tabla3[[#This Row],[Cliente factura]],Tabla4[[NIT]:[TOTAL CREDITO]],6,FALSE),0)</f>
        <v>0</v>
      </c>
      <c r="S1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8" s="10" t="str">
        <f>VLOOKUP(Tabla3[[#This Row],[Razón social cliente factura]]&amp;Tabla3[[#This Row],[Desc. ciudad]],'Estandar de Rutas'!$C$1:$E$553,2,FALSE)</f>
        <v>8.1</v>
      </c>
      <c r="U1018" s="130">
        <f>IFERROR(VLOOKUP(Tabla3[[#This Row],[Referencia]]&amp;Tabla3[[#This Row],[Desc detalle ext 1]],Tabla1[[Referencia-Color]:[Disponibilidad]],3,FALSE),0)</f>
        <v>23</v>
      </c>
      <c r="V1018" s="13"/>
      <c r="W1018" s="17">
        <f>+Tabla3[[#This Row],[Cant. Programada]]*Tabla3[[#This Row],[Precio unit]]</f>
        <v>0</v>
      </c>
      <c r="X1018" s="8"/>
      <c r="Y1018" s="8"/>
      <c r="Z1018" s="8" t="str">
        <f>+Tabla3[[#This Row],[Referencia]]&amp;Tabla3[[#This Row],[Desc detalle ext 1]]</f>
        <v>DIO  110                                          BLANCO NE</v>
      </c>
      <c r="AA1018" s="128" t="e">
        <f>+VLOOKUP(Tabla3[[#This Row],[CODIGO2]],ESTANDAR!$B$3:$C$9,2,FALSE)</f>
        <v>#N/A</v>
      </c>
      <c r="AB1018" s="128" t="str">
        <f>+MID(Tabla3[[#This Row],['# Viaje]],10,1)</f>
        <v/>
      </c>
    </row>
    <row r="1019" spans="1:28" ht="15" hidden="1" customHeight="1">
      <c r="A1019" s="173" t="s">
        <v>1672</v>
      </c>
      <c r="B1019" s="174">
        <v>42949</v>
      </c>
      <c r="C1019" s="173" t="s">
        <v>1231</v>
      </c>
      <c r="D1019" s="173" t="s">
        <v>1487</v>
      </c>
      <c r="E1019" s="173" t="s">
        <v>1232</v>
      </c>
      <c r="F1019" s="173">
        <v>10</v>
      </c>
      <c r="G1019" s="173" t="s">
        <v>149</v>
      </c>
      <c r="H1019" s="173">
        <v>10</v>
      </c>
      <c r="I1019" s="173" t="s">
        <v>1673</v>
      </c>
      <c r="J1019" s="173" t="s">
        <v>1453</v>
      </c>
      <c r="K1019" s="173" t="s">
        <v>11</v>
      </c>
      <c r="L1019" s="173"/>
      <c r="M1019" s="173" t="s">
        <v>150</v>
      </c>
      <c r="N1019" s="173">
        <v>890924996</v>
      </c>
      <c r="O1019" s="175">
        <v>7730252</v>
      </c>
      <c r="P1019" s="7"/>
      <c r="Q10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9" s="9">
        <f>+IFERROR(VLOOKUP(Tabla3[[#This Row],[Cliente factura]],Tabla4[[NIT]:[TOTAL CREDITO]],6,FALSE),0)</f>
        <v>0</v>
      </c>
      <c r="S1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9" s="10" t="str">
        <f>VLOOKUP(Tabla3[[#This Row],[Razón social cliente factura]]&amp;Tabla3[[#This Row],[Desc. ciudad]],'Estandar de Rutas'!$C$1:$E$553,2,FALSE)</f>
        <v>8.1</v>
      </c>
      <c r="U1019" s="130">
        <f>IFERROR(VLOOKUP(Tabla3[[#This Row],[Referencia]]&amp;Tabla3[[#This Row],[Desc detalle ext 1]],Tabla1[[Referencia-Color]:[Disponibilidad]],3,FALSE),0)</f>
        <v>0</v>
      </c>
      <c r="V1019" s="13"/>
      <c r="W1019" s="17">
        <f>+Tabla3[[#This Row],[Cant. Programada]]*Tabla3[[#This Row],[Precio unit]]</f>
        <v>0</v>
      </c>
      <c r="X1019" s="8"/>
      <c r="Y1019" s="8"/>
      <c r="Z1019" s="8" t="str">
        <f>+Tabla3[[#This Row],[Referencia]]&amp;Tabla3[[#This Row],[Desc detalle ext 1]]</f>
        <v>CB 190R INSTINTO R                                NEGRO ONI</v>
      </c>
      <c r="AA1019" s="128" t="e">
        <f>+VLOOKUP(Tabla3[[#This Row],[CODIGO2]],ESTANDAR!$B$3:$C$9,2,FALSE)</f>
        <v>#N/A</v>
      </c>
      <c r="AB1019" s="128" t="str">
        <f>+MID(Tabla3[[#This Row],['# Viaje]],10,1)</f>
        <v/>
      </c>
    </row>
    <row r="1020" spans="1:28" ht="15" hidden="1" customHeight="1">
      <c r="A1020" s="173" t="s">
        <v>1672</v>
      </c>
      <c r="B1020" s="174">
        <v>42949</v>
      </c>
      <c r="C1020" s="173" t="s">
        <v>1231</v>
      </c>
      <c r="D1020" s="173" t="s">
        <v>1487</v>
      </c>
      <c r="E1020" s="173" t="s">
        <v>1232</v>
      </c>
      <c r="F1020" s="173">
        <v>3</v>
      </c>
      <c r="G1020" s="173" t="s">
        <v>149</v>
      </c>
      <c r="H1020" s="173">
        <v>3</v>
      </c>
      <c r="I1020" s="173" t="s">
        <v>1673</v>
      </c>
      <c r="J1020" s="173" t="s">
        <v>1428</v>
      </c>
      <c r="K1020" s="173" t="s">
        <v>1461</v>
      </c>
      <c r="L1020" s="173"/>
      <c r="M1020" s="173" t="s">
        <v>150</v>
      </c>
      <c r="N1020" s="173">
        <v>890924996</v>
      </c>
      <c r="O1020" s="175">
        <v>3067227</v>
      </c>
      <c r="P1020" s="7"/>
      <c r="Q10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0" s="9">
        <f>+IFERROR(VLOOKUP(Tabla3[[#This Row],[Cliente factura]],Tabla4[[NIT]:[TOTAL CREDITO]],6,FALSE),0)</f>
        <v>0</v>
      </c>
      <c r="S1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0" s="10" t="str">
        <f>VLOOKUP(Tabla3[[#This Row],[Razón social cliente factura]]&amp;Tabla3[[#This Row],[Desc. ciudad]],'Estandar de Rutas'!$C$1:$E$553,2,FALSE)</f>
        <v>8.1</v>
      </c>
      <c r="U1020" s="130">
        <f>IFERROR(VLOOKUP(Tabla3[[#This Row],[Referencia]]&amp;Tabla3[[#This Row],[Desc detalle ext 1]],Tabla1[[Referencia-Color]:[Disponibilidad]],3,FALSE),0)</f>
        <v>0</v>
      </c>
      <c r="V1020" s="13"/>
      <c r="W1020" s="17">
        <f>+Tabla3[[#This Row],[Cant. Programada]]*Tabla3[[#This Row],[Precio unit]]</f>
        <v>0</v>
      </c>
      <c r="X1020" s="8"/>
      <c r="Y1020" s="8"/>
      <c r="Z1020" s="8" t="str">
        <f>+Tabla3[[#This Row],[Referencia]]&amp;Tabla3[[#This Row],[Desc detalle ext 1]]</f>
        <v>DREAM  NEO                                        ROJO ALFA</v>
      </c>
      <c r="AA1020" s="128" t="e">
        <f>+VLOOKUP(Tabla3[[#This Row],[CODIGO2]],ESTANDAR!$B$3:$C$9,2,FALSE)</f>
        <v>#N/A</v>
      </c>
      <c r="AB1020" s="128" t="str">
        <f>+MID(Tabla3[[#This Row],['# Viaje]],10,1)</f>
        <v/>
      </c>
    </row>
    <row r="1021" spans="1:28" ht="15" hidden="1" customHeight="1">
      <c r="A1021" s="173" t="s">
        <v>1672</v>
      </c>
      <c r="B1021" s="174">
        <v>42949</v>
      </c>
      <c r="C1021" s="173" t="s">
        <v>1231</v>
      </c>
      <c r="D1021" s="173" t="s">
        <v>1487</v>
      </c>
      <c r="E1021" s="173" t="s">
        <v>1232</v>
      </c>
      <c r="F1021" s="173">
        <v>18</v>
      </c>
      <c r="G1021" s="173" t="s">
        <v>149</v>
      </c>
      <c r="H1021" s="173">
        <v>18</v>
      </c>
      <c r="I1021" s="173" t="s">
        <v>1673</v>
      </c>
      <c r="J1021" s="173" t="s">
        <v>1428</v>
      </c>
      <c r="K1021" s="173" t="s">
        <v>1429</v>
      </c>
      <c r="L1021" s="173"/>
      <c r="M1021" s="173" t="s">
        <v>150</v>
      </c>
      <c r="N1021" s="173">
        <v>890924996</v>
      </c>
      <c r="O1021" s="175">
        <v>3067227</v>
      </c>
      <c r="P1021" s="7"/>
      <c r="Q10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1" s="9">
        <f>+IFERROR(VLOOKUP(Tabla3[[#This Row],[Cliente factura]],Tabla4[[NIT]:[TOTAL CREDITO]],6,FALSE),0)</f>
        <v>0</v>
      </c>
      <c r="S1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1" s="10" t="str">
        <f>VLOOKUP(Tabla3[[#This Row],[Razón social cliente factura]]&amp;Tabla3[[#This Row],[Desc. ciudad]],'Estandar de Rutas'!$C$1:$E$553,2,FALSE)</f>
        <v>8.1</v>
      </c>
      <c r="U1021" s="130">
        <f>IFERROR(VLOOKUP(Tabla3[[#This Row],[Referencia]]&amp;Tabla3[[#This Row],[Desc detalle ext 1]],Tabla1[[Referencia-Color]:[Disponibilidad]],3,FALSE),0)</f>
        <v>0</v>
      </c>
      <c r="V1021" s="13"/>
      <c r="W1021" s="17">
        <f>+Tabla3[[#This Row],[Cant. Programada]]*Tabla3[[#This Row],[Precio unit]]</f>
        <v>0</v>
      </c>
      <c r="X1021" s="8"/>
      <c r="Y1021" s="8"/>
      <c r="Z1021" s="8" t="str">
        <f>+Tabla3[[#This Row],[Referencia]]&amp;Tabla3[[#This Row],[Desc detalle ext 1]]</f>
        <v>DREAM  NEO                                        NEGRO AZU</v>
      </c>
      <c r="AA1021" s="128" t="e">
        <f>+VLOOKUP(Tabla3[[#This Row],[CODIGO2]],ESTANDAR!$B$3:$C$9,2,FALSE)</f>
        <v>#N/A</v>
      </c>
      <c r="AB1021" s="128" t="str">
        <f>+MID(Tabla3[[#This Row],['# Viaje]],10,1)</f>
        <v/>
      </c>
    </row>
    <row r="1022" spans="1:28" ht="15" hidden="1" customHeight="1">
      <c r="A1022" s="173" t="s">
        <v>1672</v>
      </c>
      <c r="B1022" s="174">
        <v>42949</v>
      </c>
      <c r="C1022" s="173" t="s">
        <v>1231</v>
      </c>
      <c r="D1022" s="173" t="s">
        <v>1487</v>
      </c>
      <c r="E1022" s="173" t="s">
        <v>1232</v>
      </c>
      <c r="F1022" s="173">
        <v>2</v>
      </c>
      <c r="G1022" s="173" t="s">
        <v>149</v>
      </c>
      <c r="H1022" s="173">
        <v>2</v>
      </c>
      <c r="I1022" s="173" t="s">
        <v>1673</v>
      </c>
      <c r="J1022" s="173" t="s">
        <v>1430</v>
      </c>
      <c r="K1022" s="173" t="s">
        <v>1431</v>
      </c>
      <c r="L1022" s="173"/>
      <c r="M1022" s="173" t="s">
        <v>150</v>
      </c>
      <c r="N1022" s="173">
        <v>890924996</v>
      </c>
      <c r="O1022" s="175">
        <v>3941176</v>
      </c>
      <c r="P1022" s="7"/>
      <c r="Q10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2" s="9">
        <f>+IFERROR(VLOOKUP(Tabla3[[#This Row],[Cliente factura]],Tabla4[[NIT]:[TOTAL CREDITO]],6,FALSE),0)</f>
        <v>0</v>
      </c>
      <c r="S1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2" s="10" t="str">
        <f>VLOOKUP(Tabla3[[#This Row],[Razón social cliente factura]]&amp;Tabla3[[#This Row],[Desc. ciudad]],'Estandar de Rutas'!$C$1:$E$553,2,FALSE)</f>
        <v>8.1</v>
      </c>
      <c r="U1022" s="130">
        <f>IFERROR(VLOOKUP(Tabla3[[#This Row],[Referencia]]&amp;Tabla3[[#This Row],[Desc detalle ext 1]],Tabla1[[Referencia-Color]:[Disponibilidad]],3,FALSE),0)</f>
        <v>0</v>
      </c>
      <c r="V1022" s="13"/>
      <c r="W1022" s="17">
        <f>+Tabla3[[#This Row],[Cant. Programada]]*Tabla3[[#This Row],[Precio unit]]</f>
        <v>0</v>
      </c>
      <c r="X1022" s="8"/>
      <c r="Y1022" s="8"/>
      <c r="Z1022" s="8" t="str">
        <f>+Tabla3[[#This Row],[Referencia]]&amp;Tabla3[[#This Row],[Desc detalle ext 1]]</f>
        <v xml:space="preserve">WAVE 110S                                         ROJO     </v>
      </c>
      <c r="AA1022" s="128" t="e">
        <f>+VLOOKUP(Tabla3[[#This Row],[CODIGO2]],ESTANDAR!$B$3:$C$9,2,FALSE)</f>
        <v>#N/A</v>
      </c>
      <c r="AB1022" s="128" t="str">
        <f>+MID(Tabla3[[#This Row],['# Viaje]],10,1)</f>
        <v/>
      </c>
    </row>
    <row r="1023" spans="1:28" ht="15" hidden="1" customHeight="1">
      <c r="A1023" s="173" t="s">
        <v>1672</v>
      </c>
      <c r="B1023" s="174">
        <v>42949</v>
      </c>
      <c r="C1023" s="173" t="s">
        <v>1231</v>
      </c>
      <c r="D1023" s="173" t="s">
        <v>1487</v>
      </c>
      <c r="E1023" s="173" t="s">
        <v>1232</v>
      </c>
      <c r="F1023" s="173">
        <v>7</v>
      </c>
      <c r="G1023" s="173" t="s">
        <v>149</v>
      </c>
      <c r="H1023" s="173">
        <v>7</v>
      </c>
      <c r="I1023" s="173" t="s">
        <v>1673</v>
      </c>
      <c r="J1023" s="173" t="s">
        <v>1234</v>
      </c>
      <c r="K1023" s="173" t="s">
        <v>17</v>
      </c>
      <c r="L1023" s="173"/>
      <c r="M1023" s="173" t="s">
        <v>150</v>
      </c>
      <c r="N1023" s="173">
        <v>890924996</v>
      </c>
      <c r="O1023" s="175">
        <v>5453782</v>
      </c>
      <c r="P1023" s="7"/>
      <c r="Q10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3" s="9">
        <f>+IFERROR(VLOOKUP(Tabla3[[#This Row],[Cliente factura]],Tabla4[[NIT]:[TOTAL CREDITO]],6,FALSE),0)</f>
        <v>0</v>
      </c>
      <c r="S1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3" s="10" t="str">
        <f>VLOOKUP(Tabla3[[#This Row],[Razón social cliente factura]]&amp;Tabla3[[#This Row],[Desc. ciudad]],'Estandar de Rutas'!$C$1:$E$553,2,FALSE)</f>
        <v>8.1</v>
      </c>
      <c r="U1023" s="130">
        <f>IFERROR(VLOOKUP(Tabla3[[#This Row],[Referencia]]&amp;Tabla3[[#This Row],[Desc detalle ext 1]],Tabla1[[Referencia-Color]:[Disponibilidad]],3,FALSE),0)</f>
        <v>0</v>
      </c>
      <c r="V1023" s="13"/>
      <c r="W1023" s="17">
        <f>+Tabla3[[#This Row],[Cant. Programada]]*Tabla3[[#This Row],[Precio unit]]</f>
        <v>0</v>
      </c>
      <c r="X1023" s="8"/>
      <c r="Y1023" s="8"/>
      <c r="Z1023" s="8" t="str">
        <f>+Tabla3[[#This Row],[Referencia]]&amp;Tabla3[[#This Row],[Desc detalle ext 1]]</f>
        <v>CB 160F STD                                       ROJO SPOR</v>
      </c>
      <c r="AA1023" s="128" t="e">
        <f>+VLOOKUP(Tabla3[[#This Row],[CODIGO2]],ESTANDAR!$B$3:$C$9,2,FALSE)</f>
        <v>#N/A</v>
      </c>
      <c r="AB1023" s="128" t="str">
        <f>+MID(Tabla3[[#This Row],['# Viaje]],10,1)</f>
        <v/>
      </c>
    </row>
    <row r="1024" spans="1:28" ht="15" hidden="1" customHeight="1">
      <c r="A1024" s="173" t="s">
        <v>1672</v>
      </c>
      <c r="B1024" s="174">
        <v>42949</v>
      </c>
      <c r="C1024" s="173" t="s">
        <v>1231</v>
      </c>
      <c r="D1024" s="173" t="s">
        <v>1487</v>
      </c>
      <c r="E1024" s="173" t="s">
        <v>1232</v>
      </c>
      <c r="F1024" s="173">
        <v>7</v>
      </c>
      <c r="G1024" s="173" t="s">
        <v>149</v>
      </c>
      <c r="H1024" s="173">
        <v>7</v>
      </c>
      <c r="I1024" s="173" t="s">
        <v>1673</v>
      </c>
      <c r="J1024" s="173" t="s">
        <v>1234</v>
      </c>
      <c r="K1024" s="173" t="s">
        <v>44</v>
      </c>
      <c r="L1024" s="173"/>
      <c r="M1024" s="173" t="s">
        <v>150</v>
      </c>
      <c r="N1024" s="173">
        <v>890924996</v>
      </c>
      <c r="O1024" s="175">
        <v>5453782</v>
      </c>
      <c r="P1024" s="7"/>
      <c r="Q10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4" s="9">
        <f>+IFERROR(VLOOKUP(Tabla3[[#This Row],[Cliente factura]],Tabla4[[NIT]:[TOTAL CREDITO]],6,FALSE),0)</f>
        <v>0</v>
      </c>
      <c r="S1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4" s="10" t="str">
        <f>VLOOKUP(Tabla3[[#This Row],[Razón social cliente factura]]&amp;Tabla3[[#This Row],[Desc. ciudad]],'Estandar de Rutas'!$C$1:$E$553,2,FALSE)</f>
        <v>8.1</v>
      </c>
      <c r="U1024" s="130">
        <f>IFERROR(VLOOKUP(Tabla3[[#This Row],[Referencia]]&amp;Tabla3[[#This Row],[Desc detalle ext 1]],Tabla1[[Referencia-Color]:[Disponibilidad]],3,FALSE),0)</f>
        <v>1</v>
      </c>
      <c r="V1024" s="13"/>
      <c r="W1024" s="17">
        <f>+Tabla3[[#This Row],[Cant. Programada]]*Tabla3[[#This Row],[Precio unit]]</f>
        <v>0</v>
      </c>
      <c r="X1024" s="8"/>
      <c r="Y1024" s="8"/>
      <c r="Z1024" s="8" t="str">
        <f>+Tabla3[[#This Row],[Referencia]]&amp;Tabla3[[#This Row],[Desc detalle ext 1]]</f>
        <v>CB 160F STD                                       BLANCO PE</v>
      </c>
      <c r="AA1024" s="128" t="e">
        <f>+VLOOKUP(Tabla3[[#This Row],[CODIGO2]],ESTANDAR!$B$3:$C$9,2,FALSE)</f>
        <v>#N/A</v>
      </c>
      <c r="AB1024" s="128" t="str">
        <f>+MID(Tabla3[[#This Row],['# Viaje]],10,1)</f>
        <v/>
      </c>
    </row>
    <row r="1025" spans="1:28" ht="15" hidden="1" customHeight="1">
      <c r="A1025" s="173" t="s">
        <v>1672</v>
      </c>
      <c r="B1025" s="174">
        <v>42949</v>
      </c>
      <c r="C1025" s="173" t="s">
        <v>1231</v>
      </c>
      <c r="D1025" s="173" t="s">
        <v>1487</v>
      </c>
      <c r="E1025" s="173" t="s">
        <v>1232</v>
      </c>
      <c r="F1025" s="173">
        <v>19</v>
      </c>
      <c r="G1025" s="173" t="s">
        <v>149</v>
      </c>
      <c r="H1025" s="173">
        <v>19</v>
      </c>
      <c r="I1025" s="173" t="s">
        <v>1673</v>
      </c>
      <c r="J1025" s="173" t="s">
        <v>1234</v>
      </c>
      <c r="K1025" s="173" t="s">
        <v>355</v>
      </c>
      <c r="L1025" s="173"/>
      <c r="M1025" s="173" t="s">
        <v>150</v>
      </c>
      <c r="N1025" s="173">
        <v>890924996</v>
      </c>
      <c r="O1025" s="175">
        <v>5453782</v>
      </c>
      <c r="P1025" s="7"/>
      <c r="Q10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5" s="9">
        <f>+IFERROR(VLOOKUP(Tabla3[[#This Row],[Cliente factura]],Tabla4[[NIT]:[TOTAL CREDITO]],6,FALSE),0)</f>
        <v>0</v>
      </c>
      <c r="S1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5" s="10" t="str">
        <f>VLOOKUP(Tabla3[[#This Row],[Razón social cliente factura]]&amp;Tabla3[[#This Row],[Desc. ciudad]],'Estandar de Rutas'!$C$1:$E$553,2,FALSE)</f>
        <v>8.1</v>
      </c>
      <c r="U1025" s="130">
        <f>IFERROR(VLOOKUP(Tabla3[[#This Row],[Referencia]]&amp;Tabla3[[#This Row],[Desc detalle ext 1]],Tabla1[[Referencia-Color]:[Disponibilidad]],3,FALSE),0)</f>
        <v>0</v>
      </c>
      <c r="V1025" s="13"/>
      <c r="W1025" s="17">
        <f>+Tabla3[[#This Row],[Cant. Programada]]*Tabla3[[#This Row],[Precio unit]]</f>
        <v>0</v>
      </c>
      <c r="X1025" s="8"/>
      <c r="Y1025" s="8"/>
      <c r="Z1025" s="8" t="str">
        <f>+Tabla3[[#This Row],[Referencia]]&amp;Tabla3[[#This Row],[Desc detalle ext 1]]</f>
        <v>CB 160F STD                                       NEGRO PER</v>
      </c>
      <c r="AA1025" s="128" t="e">
        <f>+VLOOKUP(Tabla3[[#This Row],[CODIGO2]],ESTANDAR!$B$3:$C$9,2,FALSE)</f>
        <v>#N/A</v>
      </c>
      <c r="AB1025" s="128" t="str">
        <f>+MID(Tabla3[[#This Row],['# Viaje]],10,1)</f>
        <v/>
      </c>
    </row>
    <row r="1026" spans="1:28" ht="15" hidden="1" customHeight="1">
      <c r="A1026" s="173" t="s">
        <v>1672</v>
      </c>
      <c r="B1026" s="174">
        <v>42949</v>
      </c>
      <c r="C1026" s="173" t="s">
        <v>1231</v>
      </c>
      <c r="D1026" s="173" t="s">
        <v>1487</v>
      </c>
      <c r="E1026" s="173" t="s">
        <v>1232</v>
      </c>
      <c r="F1026" s="173">
        <v>4</v>
      </c>
      <c r="G1026" s="173" t="s">
        <v>149</v>
      </c>
      <c r="H1026" s="173">
        <v>4</v>
      </c>
      <c r="I1026" s="173" t="s">
        <v>1673</v>
      </c>
      <c r="J1026" s="173" t="s">
        <v>1451</v>
      </c>
      <c r="K1026" s="173" t="s">
        <v>1449</v>
      </c>
      <c r="L1026" s="173"/>
      <c r="M1026" s="173" t="s">
        <v>150</v>
      </c>
      <c r="N1026" s="173">
        <v>890924996</v>
      </c>
      <c r="O1026" s="175">
        <v>3696639</v>
      </c>
      <c r="P1026" s="7"/>
      <c r="Q10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6" s="9">
        <f>+IFERROR(VLOOKUP(Tabla3[[#This Row],[Cliente factura]],Tabla4[[NIT]:[TOTAL CREDITO]],6,FALSE),0)</f>
        <v>0</v>
      </c>
      <c r="S1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6" s="10" t="str">
        <f>VLOOKUP(Tabla3[[#This Row],[Razón social cliente factura]]&amp;Tabla3[[#This Row],[Desc. ciudad]],'Estandar de Rutas'!$C$1:$E$553,2,FALSE)</f>
        <v>8.1</v>
      </c>
      <c r="U1026" s="130">
        <f>IFERROR(VLOOKUP(Tabla3[[#This Row],[Referencia]]&amp;Tabla3[[#This Row],[Desc detalle ext 1]],Tabla1[[Referencia-Color]:[Disponibilidad]],3,FALSE),0)</f>
        <v>24</v>
      </c>
      <c r="V1026" s="13"/>
      <c r="W1026" s="17">
        <f>+Tabla3[[#This Row],[Cant. Programada]]*Tabla3[[#This Row],[Precio unit]]</f>
        <v>0</v>
      </c>
      <c r="X1026" s="8"/>
      <c r="Y1026" s="8"/>
      <c r="Z1026" s="8" t="str">
        <f>+Tabla3[[#This Row],[Referencia]]&amp;Tabla3[[#This Row],[Desc detalle ext 1]]</f>
        <v xml:space="preserve">CB 110 DLX                                        GRIS     </v>
      </c>
      <c r="AA1026" s="128" t="e">
        <f>+VLOOKUP(Tabla3[[#This Row],[CODIGO2]],ESTANDAR!$B$3:$C$9,2,FALSE)</f>
        <v>#N/A</v>
      </c>
      <c r="AB1026" s="128" t="str">
        <f>+MID(Tabla3[[#This Row],['# Viaje]],10,1)</f>
        <v/>
      </c>
    </row>
    <row r="1027" spans="1:28" ht="15" hidden="1" customHeight="1">
      <c r="A1027" s="173" t="s">
        <v>1672</v>
      </c>
      <c r="B1027" s="174">
        <v>42949</v>
      </c>
      <c r="C1027" s="173" t="s">
        <v>1231</v>
      </c>
      <c r="D1027" s="173" t="s">
        <v>1487</v>
      </c>
      <c r="E1027" s="173" t="s">
        <v>1232</v>
      </c>
      <c r="F1027" s="173">
        <v>2</v>
      </c>
      <c r="G1027" s="173" t="s">
        <v>149</v>
      </c>
      <c r="H1027" s="173">
        <v>2</v>
      </c>
      <c r="I1027" s="173" t="s">
        <v>1673</v>
      </c>
      <c r="J1027" s="173" t="s">
        <v>1451</v>
      </c>
      <c r="K1027" s="173" t="s">
        <v>1452</v>
      </c>
      <c r="L1027" s="173"/>
      <c r="M1027" s="173" t="s">
        <v>150</v>
      </c>
      <c r="N1027" s="173">
        <v>890924996</v>
      </c>
      <c r="O1027" s="175">
        <v>3696639</v>
      </c>
      <c r="P1027" s="7"/>
      <c r="Q10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7" s="9">
        <f>+IFERROR(VLOOKUP(Tabla3[[#This Row],[Cliente factura]],Tabla4[[NIT]:[TOTAL CREDITO]],6,FALSE),0)</f>
        <v>0</v>
      </c>
      <c r="S1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7" s="10" t="str">
        <f>VLOOKUP(Tabla3[[#This Row],[Razón social cliente factura]]&amp;Tabla3[[#This Row],[Desc. ciudad]],'Estandar de Rutas'!$C$1:$E$553,2,FALSE)</f>
        <v>8.1</v>
      </c>
      <c r="U1027" s="130">
        <f>IFERROR(VLOOKUP(Tabla3[[#This Row],[Referencia]]&amp;Tabla3[[#This Row],[Desc detalle ext 1]],Tabla1[[Referencia-Color]:[Disponibilidad]],3,FALSE),0)</f>
        <v>21</v>
      </c>
      <c r="V1027" s="13"/>
      <c r="W1027" s="17">
        <f>+Tabla3[[#This Row],[Cant. Programada]]*Tabla3[[#This Row],[Precio unit]]</f>
        <v>0</v>
      </c>
      <c r="X1027" s="8"/>
      <c r="Y1027" s="8"/>
      <c r="Z1027" s="8" t="str">
        <f>+Tabla3[[#This Row],[Referencia]]&amp;Tabla3[[#This Row],[Desc detalle ext 1]]</f>
        <v xml:space="preserve">CB 110 DLX                                        AZUL     </v>
      </c>
      <c r="AA1027" s="128" t="e">
        <f>+VLOOKUP(Tabla3[[#This Row],[CODIGO2]],ESTANDAR!$B$3:$C$9,2,FALSE)</f>
        <v>#N/A</v>
      </c>
      <c r="AB1027" s="128" t="str">
        <f>+MID(Tabla3[[#This Row],['# Viaje]],10,1)</f>
        <v/>
      </c>
    </row>
    <row r="1028" spans="1:28" ht="15" hidden="1" customHeight="1">
      <c r="A1028" s="173" t="s">
        <v>1672</v>
      </c>
      <c r="B1028" s="174">
        <v>42949</v>
      </c>
      <c r="C1028" s="173" t="s">
        <v>1231</v>
      </c>
      <c r="D1028" s="173" t="s">
        <v>1487</v>
      </c>
      <c r="E1028" s="173" t="s">
        <v>1232</v>
      </c>
      <c r="F1028" s="173">
        <v>3</v>
      </c>
      <c r="G1028" s="173" t="s">
        <v>149</v>
      </c>
      <c r="H1028" s="173">
        <v>3</v>
      </c>
      <c r="I1028" s="173" t="s">
        <v>1673</v>
      </c>
      <c r="J1028" s="173" t="s">
        <v>1451</v>
      </c>
      <c r="K1028" s="173" t="s">
        <v>16</v>
      </c>
      <c r="L1028" s="173"/>
      <c r="M1028" s="173" t="s">
        <v>150</v>
      </c>
      <c r="N1028" s="173">
        <v>890924996</v>
      </c>
      <c r="O1028" s="175">
        <v>3696639</v>
      </c>
      <c r="P1028" s="7"/>
      <c r="Q10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8" s="9">
        <f>+IFERROR(VLOOKUP(Tabla3[[#This Row],[Cliente factura]],Tabla4[[NIT]:[TOTAL CREDITO]],6,FALSE),0)</f>
        <v>0</v>
      </c>
      <c r="S1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8" s="10" t="str">
        <f>VLOOKUP(Tabla3[[#This Row],[Razón social cliente factura]]&amp;Tabla3[[#This Row],[Desc. ciudad]],'Estandar de Rutas'!$C$1:$E$553,2,FALSE)</f>
        <v>8.1</v>
      </c>
      <c r="U1028" s="130">
        <f>IFERROR(VLOOKUP(Tabla3[[#This Row],[Referencia]]&amp;Tabla3[[#This Row],[Desc detalle ext 1]],Tabla1[[Referencia-Color]:[Disponibilidad]],3,FALSE),0)</f>
        <v>3</v>
      </c>
      <c r="V1028" s="13"/>
      <c r="W1028" s="17">
        <f>+Tabla3[[#This Row],[Cant. Programada]]*Tabla3[[#This Row],[Precio unit]]</f>
        <v>0</v>
      </c>
      <c r="X1028" s="8"/>
      <c r="Y1028" s="8"/>
      <c r="Z1028" s="8" t="str">
        <f>+Tabla3[[#This Row],[Referencia]]&amp;Tabla3[[#This Row],[Desc detalle ext 1]]</f>
        <v xml:space="preserve">CB 110 DLX                                        NEGRO    </v>
      </c>
      <c r="AA1028" s="128" t="e">
        <f>+VLOOKUP(Tabla3[[#This Row],[CODIGO2]],ESTANDAR!$B$3:$C$9,2,FALSE)</f>
        <v>#N/A</v>
      </c>
      <c r="AB1028" s="128" t="str">
        <f>+MID(Tabla3[[#This Row],['# Viaje]],10,1)</f>
        <v/>
      </c>
    </row>
    <row r="1029" spans="1:28" ht="15" hidden="1" customHeight="1">
      <c r="A1029" s="173" t="s">
        <v>1674</v>
      </c>
      <c r="B1029" s="174">
        <v>42949</v>
      </c>
      <c r="C1029" s="173" t="s">
        <v>1231</v>
      </c>
      <c r="D1029" s="173" t="s">
        <v>1478</v>
      </c>
      <c r="E1029" s="173" t="s">
        <v>1232</v>
      </c>
      <c r="F1029" s="173">
        <v>2</v>
      </c>
      <c r="G1029" s="173" t="s">
        <v>45</v>
      </c>
      <c r="H1029" s="173">
        <v>2</v>
      </c>
      <c r="I1029" s="173" t="s">
        <v>1675</v>
      </c>
      <c r="J1029" s="173" t="s">
        <v>14</v>
      </c>
      <c r="K1029" s="173" t="s">
        <v>1417</v>
      </c>
      <c r="L1029" s="173"/>
      <c r="M1029" s="173" t="s">
        <v>42</v>
      </c>
      <c r="N1029" s="173">
        <v>900181404</v>
      </c>
      <c r="O1029" s="175">
        <v>3360504</v>
      </c>
      <c r="P1029" s="7"/>
      <c r="Q10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9" s="9">
        <f>+IFERROR(VLOOKUP(Tabla3[[#This Row],[Cliente factura]],Tabla4[[NIT]:[TOTAL CREDITO]],6,FALSE),0)</f>
        <v>0</v>
      </c>
      <c r="S1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9" s="10" t="str">
        <f>VLOOKUP(Tabla3[[#This Row],[Razón social cliente factura]]&amp;Tabla3[[#This Row],[Desc. ciudad]],'Estandar de Rutas'!$C$1:$E$553,2,FALSE)</f>
        <v>1.3</v>
      </c>
      <c r="U1029" s="130">
        <f>IFERROR(VLOOKUP(Tabla3[[#This Row],[Referencia]]&amp;Tabla3[[#This Row],[Desc detalle ext 1]],Tabla1[[Referencia-Color]:[Disponibilidad]],3,FALSE),0)</f>
        <v>24</v>
      </c>
      <c r="V1029" s="13"/>
      <c r="W1029" s="17">
        <f>+Tabla3[[#This Row],[Cant. Programada]]*Tabla3[[#This Row],[Precio unit]]</f>
        <v>0</v>
      </c>
      <c r="X1029" s="8"/>
      <c r="Y1029" s="8"/>
      <c r="Z1029" s="8" t="str">
        <f>+Tabla3[[#This Row],[Referencia]]&amp;Tabla3[[#This Row],[Desc detalle ext 1]]</f>
        <v xml:space="preserve">*CB-110                                           GRIS MET </v>
      </c>
      <c r="AA1029" s="128" t="e">
        <f>+VLOOKUP(Tabla3[[#This Row],[CODIGO2]],ESTANDAR!$B$3:$C$9,2,FALSE)</f>
        <v>#N/A</v>
      </c>
      <c r="AB1029" s="128" t="str">
        <f>+MID(Tabla3[[#This Row],['# Viaje]],10,1)</f>
        <v/>
      </c>
    </row>
    <row r="1030" spans="1:28" ht="15" hidden="1" customHeight="1">
      <c r="A1030" s="173" t="s">
        <v>1674</v>
      </c>
      <c r="B1030" s="174">
        <v>42949</v>
      </c>
      <c r="C1030" s="173" t="s">
        <v>1231</v>
      </c>
      <c r="D1030" s="173" t="s">
        <v>1478</v>
      </c>
      <c r="E1030" s="173" t="s">
        <v>1232</v>
      </c>
      <c r="F1030" s="173">
        <v>8</v>
      </c>
      <c r="G1030" s="173" t="s">
        <v>45</v>
      </c>
      <c r="H1030" s="173">
        <v>8</v>
      </c>
      <c r="I1030" s="173" t="s">
        <v>1675</v>
      </c>
      <c r="J1030" s="173" t="s">
        <v>14</v>
      </c>
      <c r="K1030" s="173" t="s">
        <v>16</v>
      </c>
      <c r="L1030" s="173"/>
      <c r="M1030" s="173" t="s">
        <v>42</v>
      </c>
      <c r="N1030" s="173">
        <v>900181404</v>
      </c>
      <c r="O1030" s="175">
        <v>3360504</v>
      </c>
      <c r="P1030" s="7"/>
      <c r="Q10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0" s="9">
        <f>+IFERROR(VLOOKUP(Tabla3[[#This Row],[Cliente factura]],Tabla4[[NIT]:[TOTAL CREDITO]],6,FALSE),0)</f>
        <v>0</v>
      </c>
      <c r="S1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0" s="10" t="str">
        <f>VLOOKUP(Tabla3[[#This Row],[Razón social cliente factura]]&amp;Tabla3[[#This Row],[Desc. ciudad]],'Estandar de Rutas'!$C$1:$E$553,2,FALSE)</f>
        <v>1.3</v>
      </c>
      <c r="U1030" s="130">
        <f>IFERROR(VLOOKUP(Tabla3[[#This Row],[Referencia]]&amp;Tabla3[[#This Row],[Desc detalle ext 1]],Tabla1[[Referencia-Color]:[Disponibilidad]],3,FALSE),0)</f>
        <v>83</v>
      </c>
      <c r="V1030" s="13"/>
      <c r="W1030" s="17">
        <f>+Tabla3[[#This Row],[Cant. Programada]]*Tabla3[[#This Row],[Precio unit]]</f>
        <v>0</v>
      </c>
      <c r="X1030" s="8"/>
      <c r="Y1030" s="8"/>
      <c r="Z1030" s="8" t="str">
        <f>+Tabla3[[#This Row],[Referencia]]&amp;Tabla3[[#This Row],[Desc detalle ext 1]]</f>
        <v xml:space="preserve">*CB-110                                           NEGRO    </v>
      </c>
      <c r="AA1030" s="128" t="e">
        <f>+VLOOKUP(Tabla3[[#This Row],[CODIGO2]],ESTANDAR!$B$3:$C$9,2,FALSE)</f>
        <v>#N/A</v>
      </c>
      <c r="AB1030" s="128" t="str">
        <f>+MID(Tabla3[[#This Row],['# Viaje]],10,1)</f>
        <v/>
      </c>
    </row>
    <row r="1031" spans="1:28" ht="15" hidden="1" customHeight="1">
      <c r="A1031" s="173" t="s">
        <v>1674</v>
      </c>
      <c r="B1031" s="174">
        <v>42949</v>
      </c>
      <c r="C1031" s="173" t="s">
        <v>1231</v>
      </c>
      <c r="D1031" s="173" t="s">
        <v>1478</v>
      </c>
      <c r="E1031" s="173" t="s">
        <v>1232</v>
      </c>
      <c r="F1031" s="173">
        <v>5</v>
      </c>
      <c r="G1031" s="173" t="s">
        <v>45</v>
      </c>
      <c r="H1031" s="173">
        <v>5</v>
      </c>
      <c r="I1031" s="173" t="s">
        <v>1675</v>
      </c>
      <c r="J1031" s="173" t="s">
        <v>14</v>
      </c>
      <c r="K1031" s="173" t="s">
        <v>15</v>
      </c>
      <c r="L1031" s="173"/>
      <c r="M1031" s="173" t="s">
        <v>42</v>
      </c>
      <c r="N1031" s="173">
        <v>900181404</v>
      </c>
      <c r="O1031" s="175">
        <v>3360504</v>
      </c>
      <c r="P1031" s="7"/>
      <c r="Q10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1" s="9">
        <f>+IFERROR(VLOOKUP(Tabla3[[#This Row],[Cliente factura]],Tabla4[[NIT]:[TOTAL CREDITO]],6,FALSE),0)</f>
        <v>0</v>
      </c>
      <c r="S1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1" s="10" t="str">
        <f>VLOOKUP(Tabla3[[#This Row],[Razón social cliente factura]]&amp;Tabla3[[#This Row],[Desc. ciudad]],'Estandar de Rutas'!$C$1:$E$553,2,FALSE)</f>
        <v>1.3</v>
      </c>
      <c r="U1031" s="130">
        <f>IFERROR(VLOOKUP(Tabla3[[#This Row],[Referencia]]&amp;Tabla3[[#This Row],[Desc detalle ext 1]],Tabla1[[Referencia-Color]:[Disponibilidad]],3,FALSE),0)</f>
        <v>99</v>
      </c>
      <c r="V1031" s="13"/>
      <c r="W1031" s="17">
        <f>+Tabla3[[#This Row],[Cant. Programada]]*Tabla3[[#This Row],[Precio unit]]</f>
        <v>0</v>
      </c>
      <c r="X1031" s="8"/>
      <c r="Y1031" s="8"/>
      <c r="Z1031" s="8" t="str">
        <f>+Tabla3[[#This Row],[Referencia]]&amp;Tabla3[[#This Row],[Desc detalle ext 1]]</f>
        <v>*CB-110                                           AZUL FIJI</v>
      </c>
      <c r="AA1031" s="128" t="e">
        <f>+VLOOKUP(Tabla3[[#This Row],[CODIGO2]],ESTANDAR!$B$3:$C$9,2,FALSE)</f>
        <v>#N/A</v>
      </c>
      <c r="AB1031" s="128" t="str">
        <f>+MID(Tabla3[[#This Row],['# Viaje]],10,1)</f>
        <v/>
      </c>
    </row>
    <row r="1032" spans="1:28" ht="15" hidden="1" customHeight="1">
      <c r="A1032" s="173" t="s">
        <v>1674</v>
      </c>
      <c r="B1032" s="174">
        <v>42949</v>
      </c>
      <c r="C1032" s="173" t="s">
        <v>1231</v>
      </c>
      <c r="D1032" s="173" t="s">
        <v>1478</v>
      </c>
      <c r="E1032" s="173" t="s">
        <v>1232</v>
      </c>
      <c r="F1032" s="173">
        <v>2</v>
      </c>
      <c r="G1032" s="173" t="s">
        <v>45</v>
      </c>
      <c r="H1032" s="173">
        <v>2</v>
      </c>
      <c r="I1032" s="173" t="s">
        <v>1675</v>
      </c>
      <c r="J1032" s="173" t="s">
        <v>14</v>
      </c>
      <c r="K1032" s="173" t="s">
        <v>17</v>
      </c>
      <c r="L1032" s="173"/>
      <c r="M1032" s="173" t="s">
        <v>42</v>
      </c>
      <c r="N1032" s="173">
        <v>900181404</v>
      </c>
      <c r="O1032" s="175">
        <v>3360504</v>
      </c>
      <c r="P1032" s="7"/>
      <c r="Q10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2" s="9">
        <f>+IFERROR(VLOOKUP(Tabla3[[#This Row],[Cliente factura]],Tabla4[[NIT]:[TOTAL CREDITO]],6,FALSE),0)</f>
        <v>0</v>
      </c>
      <c r="S1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2" s="10" t="str">
        <f>VLOOKUP(Tabla3[[#This Row],[Razón social cliente factura]]&amp;Tabla3[[#This Row],[Desc. ciudad]],'Estandar de Rutas'!$C$1:$E$553,2,FALSE)</f>
        <v>1.3</v>
      </c>
      <c r="U1032" s="130">
        <f>IFERROR(VLOOKUP(Tabla3[[#This Row],[Referencia]]&amp;Tabla3[[#This Row],[Desc detalle ext 1]],Tabla1[[Referencia-Color]:[Disponibilidad]],3,FALSE),0)</f>
        <v>38</v>
      </c>
      <c r="V1032" s="13"/>
      <c r="W1032" s="17">
        <f>+Tabla3[[#This Row],[Cant. Programada]]*Tabla3[[#This Row],[Precio unit]]</f>
        <v>0</v>
      </c>
      <c r="X1032" s="8"/>
      <c r="Y1032" s="8"/>
      <c r="Z1032" s="8" t="str">
        <f>+Tabla3[[#This Row],[Referencia]]&amp;Tabla3[[#This Row],[Desc detalle ext 1]]</f>
        <v>*CB-110                                           ROJO SPOR</v>
      </c>
      <c r="AA1032" s="128" t="e">
        <f>+VLOOKUP(Tabla3[[#This Row],[CODIGO2]],ESTANDAR!$B$3:$C$9,2,FALSE)</f>
        <v>#N/A</v>
      </c>
      <c r="AB1032" s="128" t="str">
        <f>+MID(Tabla3[[#This Row],['# Viaje]],10,1)</f>
        <v/>
      </c>
    </row>
    <row r="1033" spans="1:28" ht="15" hidden="1" customHeight="1">
      <c r="A1033" s="173" t="s">
        <v>1674</v>
      </c>
      <c r="B1033" s="174">
        <v>42949</v>
      </c>
      <c r="C1033" s="173" t="s">
        <v>1231</v>
      </c>
      <c r="D1033" s="173" t="s">
        <v>1478</v>
      </c>
      <c r="E1033" s="173" t="s">
        <v>1232</v>
      </c>
      <c r="F1033" s="173">
        <v>5</v>
      </c>
      <c r="G1033" s="173" t="s">
        <v>45</v>
      </c>
      <c r="H1033" s="173">
        <v>5</v>
      </c>
      <c r="I1033" s="173" t="s">
        <v>1675</v>
      </c>
      <c r="J1033" s="173" t="s">
        <v>27</v>
      </c>
      <c r="K1033" s="173" t="s">
        <v>32</v>
      </c>
      <c r="L1033" s="173"/>
      <c r="M1033" s="173" t="s">
        <v>42</v>
      </c>
      <c r="N1033" s="173">
        <v>900181404</v>
      </c>
      <c r="O1033" s="175">
        <v>5789916</v>
      </c>
      <c r="P1033" s="7"/>
      <c r="Q10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3" s="9">
        <f>+IFERROR(VLOOKUP(Tabla3[[#This Row],[Cliente factura]],Tabla4[[NIT]:[TOTAL CREDITO]],6,FALSE),0)</f>
        <v>0</v>
      </c>
      <c r="S1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3" s="10" t="str">
        <f>VLOOKUP(Tabla3[[#This Row],[Razón social cliente factura]]&amp;Tabla3[[#This Row],[Desc. ciudad]],'Estandar de Rutas'!$C$1:$E$553,2,FALSE)</f>
        <v>1.3</v>
      </c>
      <c r="U1033" s="130">
        <f>IFERROR(VLOOKUP(Tabla3[[#This Row],[Referencia]]&amp;Tabla3[[#This Row],[Desc detalle ext 1]],Tabla1[[Referencia-Color]:[Disponibilidad]],3,FALSE),0)</f>
        <v>7</v>
      </c>
      <c r="V1033" s="13"/>
      <c r="W1033" s="17">
        <f>+Tabla3[[#This Row],[Cant. Programada]]*Tabla3[[#This Row],[Precio unit]]</f>
        <v>0</v>
      </c>
      <c r="X1033" s="8"/>
      <c r="Y1033" s="8"/>
      <c r="Z1033" s="8" t="str">
        <f>+Tabla3[[#This Row],[Referencia]]&amp;Tabla3[[#This Row],[Desc detalle ext 1]]</f>
        <v>*XR 150L                                          NEGRO ROJ</v>
      </c>
      <c r="AA1033" s="128" t="e">
        <f>+VLOOKUP(Tabla3[[#This Row],[CODIGO2]],ESTANDAR!$B$3:$C$9,2,FALSE)</f>
        <v>#N/A</v>
      </c>
      <c r="AB1033" s="128" t="str">
        <f>+MID(Tabla3[[#This Row],['# Viaje]],10,1)</f>
        <v/>
      </c>
    </row>
    <row r="1034" spans="1:28" ht="15" hidden="1" customHeight="1">
      <c r="A1034" s="173" t="s">
        <v>1674</v>
      </c>
      <c r="B1034" s="174">
        <v>42949</v>
      </c>
      <c r="C1034" s="173" t="s">
        <v>1231</v>
      </c>
      <c r="D1034" s="173" t="s">
        <v>1478</v>
      </c>
      <c r="E1034" s="173" t="s">
        <v>1232</v>
      </c>
      <c r="F1034" s="173">
        <v>5</v>
      </c>
      <c r="G1034" s="173" t="s">
        <v>45</v>
      </c>
      <c r="H1034" s="173">
        <v>5</v>
      </c>
      <c r="I1034" s="173" t="s">
        <v>1675</v>
      </c>
      <c r="J1034" s="173" t="s">
        <v>27</v>
      </c>
      <c r="K1034" s="173" t="s">
        <v>26</v>
      </c>
      <c r="L1034" s="173"/>
      <c r="M1034" s="173" t="s">
        <v>42</v>
      </c>
      <c r="N1034" s="173">
        <v>900181404</v>
      </c>
      <c r="O1034" s="175">
        <v>5789916</v>
      </c>
      <c r="P1034" s="7"/>
      <c r="Q10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4" s="9">
        <f>+IFERROR(VLOOKUP(Tabla3[[#This Row],[Cliente factura]],Tabla4[[NIT]:[TOTAL CREDITO]],6,FALSE),0)</f>
        <v>0</v>
      </c>
      <c r="S1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4" s="10" t="str">
        <f>VLOOKUP(Tabla3[[#This Row],[Razón social cliente factura]]&amp;Tabla3[[#This Row],[Desc. ciudad]],'Estandar de Rutas'!$C$1:$E$553,2,FALSE)</f>
        <v>1.3</v>
      </c>
      <c r="U1034" s="130">
        <f>IFERROR(VLOOKUP(Tabla3[[#This Row],[Referencia]]&amp;Tabla3[[#This Row],[Desc detalle ext 1]],Tabla1[[Referencia-Color]:[Disponibilidad]],3,FALSE),0)</f>
        <v>59</v>
      </c>
      <c r="V1034" s="13"/>
      <c r="W1034" s="17">
        <f>+Tabla3[[#This Row],[Cant. Programada]]*Tabla3[[#This Row],[Precio unit]]</f>
        <v>0</v>
      </c>
      <c r="X1034" s="8"/>
      <c r="Y1034" s="8"/>
      <c r="Z1034" s="8" t="str">
        <f>+Tabla3[[#This Row],[Referencia]]&amp;Tabla3[[#This Row],[Desc detalle ext 1]]</f>
        <v>*XR 150L                                          NEGRO BLA</v>
      </c>
      <c r="AA1034" s="128" t="e">
        <f>+VLOOKUP(Tabla3[[#This Row],[CODIGO2]],ESTANDAR!$B$3:$C$9,2,FALSE)</f>
        <v>#N/A</v>
      </c>
      <c r="AB1034" s="128" t="str">
        <f>+MID(Tabla3[[#This Row],['# Viaje]],10,1)</f>
        <v/>
      </c>
    </row>
    <row r="1035" spans="1:28" ht="15" hidden="1" customHeight="1">
      <c r="A1035" s="173" t="s">
        <v>1674</v>
      </c>
      <c r="B1035" s="174">
        <v>42949</v>
      </c>
      <c r="C1035" s="173" t="s">
        <v>1231</v>
      </c>
      <c r="D1035" s="173" t="s">
        <v>1478</v>
      </c>
      <c r="E1035" s="173" t="s">
        <v>1232</v>
      </c>
      <c r="F1035" s="173">
        <v>10</v>
      </c>
      <c r="G1035" s="173" t="s">
        <v>45</v>
      </c>
      <c r="H1035" s="173">
        <v>10</v>
      </c>
      <c r="I1035" s="173" t="s">
        <v>1675</v>
      </c>
      <c r="J1035" s="173" t="s">
        <v>27</v>
      </c>
      <c r="K1035" s="173" t="s">
        <v>16</v>
      </c>
      <c r="L1035" s="173"/>
      <c r="M1035" s="173" t="s">
        <v>42</v>
      </c>
      <c r="N1035" s="173">
        <v>900181404</v>
      </c>
      <c r="O1035" s="175">
        <v>5789916</v>
      </c>
      <c r="P1035" s="7"/>
      <c r="Q10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5" s="9">
        <f>+IFERROR(VLOOKUP(Tabla3[[#This Row],[Cliente factura]],Tabla4[[NIT]:[TOTAL CREDITO]],6,FALSE),0)</f>
        <v>0</v>
      </c>
      <c r="S1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5" s="10" t="str">
        <f>VLOOKUP(Tabla3[[#This Row],[Razón social cliente factura]]&amp;Tabla3[[#This Row],[Desc. ciudad]],'Estandar de Rutas'!$C$1:$E$553,2,FALSE)</f>
        <v>1.3</v>
      </c>
      <c r="U1035" s="130">
        <f>IFERROR(VLOOKUP(Tabla3[[#This Row],[Referencia]]&amp;Tabla3[[#This Row],[Desc detalle ext 1]],Tabla1[[Referencia-Color]:[Disponibilidad]],3,FALSE),0)</f>
        <v>3</v>
      </c>
      <c r="V1035" s="13"/>
      <c r="W1035" s="17">
        <f>+Tabla3[[#This Row],[Cant. Programada]]*Tabla3[[#This Row],[Precio unit]]</f>
        <v>0</v>
      </c>
      <c r="X1035" s="8"/>
      <c r="Y1035" s="8"/>
      <c r="Z1035" s="8" t="str">
        <f>+Tabla3[[#This Row],[Referencia]]&amp;Tabla3[[#This Row],[Desc detalle ext 1]]</f>
        <v xml:space="preserve">*XR 150L                                          NEGRO    </v>
      </c>
      <c r="AA1035" s="128" t="e">
        <f>+VLOOKUP(Tabla3[[#This Row],[CODIGO2]],ESTANDAR!$B$3:$C$9,2,FALSE)</f>
        <v>#N/A</v>
      </c>
      <c r="AB1035" s="128" t="str">
        <f>+MID(Tabla3[[#This Row],['# Viaje]],10,1)</f>
        <v/>
      </c>
    </row>
    <row r="1036" spans="1:28" ht="15" hidden="1" customHeight="1">
      <c r="A1036" s="173" t="s">
        <v>1674</v>
      </c>
      <c r="B1036" s="174">
        <v>42949</v>
      </c>
      <c r="C1036" s="173" t="s">
        <v>1231</v>
      </c>
      <c r="D1036" s="173" t="s">
        <v>1478</v>
      </c>
      <c r="E1036" s="173" t="s">
        <v>1232</v>
      </c>
      <c r="F1036" s="173">
        <v>1</v>
      </c>
      <c r="G1036" s="173" t="s">
        <v>45</v>
      </c>
      <c r="H1036" s="173">
        <v>1</v>
      </c>
      <c r="I1036" s="173" t="s">
        <v>1675</v>
      </c>
      <c r="J1036" s="173" t="s">
        <v>354</v>
      </c>
      <c r="K1036" s="173" t="s">
        <v>474</v>
      </c>
      <c r="L1036" s="173"/>
      <c r="M1036" s="173" t="s">
        <v>42</v>
      </c>
      <c r="N1036" s="173">
        <v>900181404</v>
      </c>
      <c r="O1036" s="175">
        <v>6133613</v>
      </c>
      <c r="P1036" s="7"/>
      <c r="Q10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6" s="9">
        <f>+IFERROR(VLOOKUP(Tabla3[[#This Row],[Cliente factura]],Tabla4[[NIT]:[TOTAL CREDITO]],6,FALSE),0)</f>
        <v>0</v>
      </c>
      <c r="S1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6" s="10" t="str">
        <f>VLOOKUP(Tabla3[[#This Row],[Razón social cliente factura]]&amp;Tabla3[[#This Row],[Desc. ciudad]],'Estandar de Rutas'!$C$1:$E$553,2,FALSE)</f>
        <v>1.3</v>
      </c>
      <c r="U1036" s="130">
        <f>IFERROR(VLOOKUP(Tabla3[[#This Row],[Referencia]]&amp;Tabla3[[#This Row],[Desc detalle ext 1]],Tabla1[[Referencia-Color]:[Disponibilidad]],3,FALSE),0)</f>
        <v>3</v>
      </c>
      <c r="V1036" s="13"/>
      <c r="W1036" s="17">
        <f>+Tabla3[[#This Row],[Cant. Programada]]*Tabla3[[#This Row],[Precio unit]]</f>
        <v>0</v>
      </c>
      <c r="X1036" s="8"/>
      <c r="Y1036" s="8"/>
      <c r="Z1036" s="8" t="str">
        <f>+Tabla3[[#This Row],[Referencia]]&amp;Tabla3[[#This Row],[Desc detalle ext 1]]</f>
        <v>CB 160F DLX                                       NARANJA N</v>
      </c>
      <c r="AA1036" s="128" t="e">
        <f>+VLOOKUP(Tabla3[[#This Row],[CODIGO2]],ESTANDAR!$B$3:$C$9,2,FALSE)</f>
        <v>#N/A</v>
      </c>
      <c r="AB1036" s="128" t="str">
        <f>+MID(Tabla3[[#This Row],['# Viaje]],10,1)</f>
        <v/>
      </c>
    </row>
    <row r="1037" spans="1:28" ht="15" hidden="1" customHeight="1">
      <c r="A1037" s="173" t="s">
        <v>1674</v>
      </c>
      <c r="B1037" s="174">
        <v>42949</v>
      </c>
      <c r="C1037" s="173" t="s">
        <v>1231</v>
      </c>
      <c r="D1037" s="173" t="s">
        <v>1478</v>
      </c>
      <c r="E1037" s="173" t="s">
        <v>1232</v>
      </c>
      <c r="F1037" s="173">
        <v>2</v>
      </c>
      <c r="G1037" s="173" t="s">
        <v>45</v>
      </c>
      <c r="H1037" s="173">
        <v>2</v>
      </c>
      <c r="I1037" s="173" t="s">
        <v>1675</v>
      </c>
      <c r="J1037" s="173" t="s">
        <v>354</v>
      </c>
      <c r="K1037" s="173" t="s">
        <v>17</v>
      </c>
      <c r="L1037" s="173"/>
      <c r="M1037" s="173" t="s">
        <v>42</v>
      </c>
      <c r="N1037" s="173">
        <v>900181404</v>
      </c>
      <c r="O1037" s="175">
        <v>6133613</v>
      </c>
      <c r="P1037" s="7"/>
      <c r="Q10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7" s="9">
        <f>+IFERROR(VLOOKUP(Tabla3[[#This Row],[Cliente factura]],Tabla4[[NIT]:[TOTAL CREDITO]],6,FALSE),0)</f>
        <v>0</v>
      </c>
      <c r="S1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7" s="10" t="str">
        <f>VLOOKUP(Tabla3[[#This Row],[Razón social cliente factura]]&amp;Tabla3[[#This Row],[Desc. ciudad]],'Estandar de Rutas'!$C$1:$E$553,2,FALSE)</f>
        <v>1.3</v>
      </c>
      <c r="U1037" s="130">
        <f>IFERROR(VLOOKUP(Tabla3[[#This Row],[Referencia]]&amp;Tabla3[[#This Row],[Desc detalle ext 1]],Tabla1[[Referencia-Color]:[Disponibilidad]],3,FALSE),0)</f>
        <v>48</v>
      </c>
      <c r="V1037" s="13"/>
      <c r="W1037" s="17">
        <f>+Tabla3[[#This Row],[Cant. Programada]]*Tabla3[[#This Row],[Precio unit]]</f>
        <v>0</v>
      </c>
      <c r="X1037" s="8"/>
      <c r="Y1037" s="8"/>
      <c r="Z1037" s="8" t="str">
        <f>+Tabla3[[#This Row],[Referencia]]&amp;Tabla3[[#This Row],[Desc detalle ext 1]]</f>
        <v>CB 160F DLX                                       ROJO SPOR</v>
      </c>
      <c r="AA1037" s="128" t="e">
        <f>+VLOOKUP(Tabla3[[#This Row],[CODIGO2]],ESTANDAR!$B$3:$C$9,2,FALSE)</f>
        <v>#N/A</v>
      </c>
      <c r="AB1037" s="128" t="str">
        <f>+MID(Tabla3[[#This Row],['# Viaje]],10,1)</f>
        <v/>
      </c>
    </row>
    <row r="1038" spans="1:28" ht="15" hidden="1" customHeight="1">
      <c r="A1038" s="173" t="s">
        <v>1674</v>
      </c>
      <c r="B1038" s="174">
        <v>42949</v>
      </c>
      <c r="C1038" s="173" t="s">
        <v>1231</v>
      </c>
      <c r="D1038" s="173" t="s">
        <v>1478</v>
      </c>
      <c r="E1038" s="173" t="s">
        <v>1232</v>
      </c>
      <c r="F1038" s="173">
        <v>10</v>
      </c>
      <c r="G1038" s="173" t="s">
        <v>45</v>
      </c>
      <c r="H1038" s="173">
        <v>10</v>
      </c>
      <c r="I1038" s="173" t="s">
        <v>1675</v>
      </c>
      <c r="J1038" s="173" t="s">
        <v>354</v>
      </c>
      <c r="K1038" s="173" t="s">
        <v>355</v>
      </c>
      <c r="L1038" s="173"/>
      <c r="M1038" s="173" t="s">
        <v>42</v>
      </c>
      <c r="N1038" s="173">
        <v>900181404</v>
      </c>
      <c r="O1038" s="175">
        <v>6133613</v>
      </c>
      <c r="P1038" s="7"/>
      <c r="Q10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8" s="9">
        <f>+IFERROR(VLOOKUP(Tabla3[[#This Row],[Cliente factura]],Tabla4[[NIT]:[TOTAL CREDITO]],6,FALSE),0)</f>
        <v>0</v>
      </c>
      <c r="S1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8" s="10" t="str">
        <f>VLOOKUP(Tabla3[[#This Row],[Razón social cliente factura]]&amp;Tabla3[[#This Row],[Desc. ciudad]],'Estandar de Rutas'!$C$1:$E$553,2,FALSE)</f>
        <v>1.3</v>
      </c>
      <c r="U1038" s="130">
        <f>IFERROR(VLOOKUP(Tabla3[[#This Row],[Referencia]]&amp;Tabla3[[#This Row],[Desc detalle ext 1]],Tabla1[[Referencia-Color]:[Disponibilidad]],3,FALSE),0)</f>
        <v>0</v>
      </c>
      <c r="V1038" s="13"/>
      <c r="W1038" s="17">
        <f>+Tabla3[[#This Row],[Cant. Programada]]*Tabla3[[#This Row],[Precio unit]]</f>
        <v>0</v>
      </c>
      <c r="X1038" s="8"/>
      <c r="Y1038" s="8"/>
      <c r="Z1038" s="8" t="str">
        <f>+Tabla3[[#This Row],[Referencia]]&amp;Tabla3[[#This Row],[Desc detalle ext 1]]</f>
        <v>CB 160F DLX                                       NEGRO PER</v>
      </c>
      <c r="AA1038" s="128" t="e">
        <f>+VLOOKUP(Tabla3[[#This Row],[CODIGO2]],ESTANDAR!$B$3:$C$9,2,FALSE)</f>
        <v>#N/A</v>
      </c>
      <c r="AB1038" s="128" t="str">
        <f>+MID(Tabla3[[#This Row],['# Viaje]],10,1)</f>
        <v/>
      </c>
    </row>
    <row r="1039" spans="1:28" ht="15" hidden="1" customHeight="1">
      <c r="A1039" s="173" t="s">
        <v>1674</v>
      </c>
      <c r="B1039" s="174">
        <v>42949</v>
      </c>
      <c r="C1039" s="173" t="s">
        <v>1231</v>
      </c>
      <c r="D1039" s="173" t="s">
        <v>1478</v>
      </c>
      <c r="E1039" s="173" t="s">
        <v>1232</v>
      </c>
      <c r="F1039" s="173">
        <v>6</v>
      </c>
      <c r="G1039" s="173" t="s">
        <v>45</v>
      </c>
      <c r="H1039" s="173">
        <v>6</v>
      </c>
      <c r="I1039" s="173" t="s">
        <v>1675</v>
      </c>
      <c r="J1039" s="173" t="s">
        <v>354</v>
      </c>
      <c r="K1039" s="173" t="s">
        <v>44</v>
      </c>
      <c r="L1039" s="173"/>
      <c r="M1039" s="173" t="s">
        <v>42</v>
      </c>
      <c r="N1039" s="173">
        <v>900181404</v>
      </c>
      <c r="O1039" s="175">
        <v>6133613</v>
      </c>
      <c r="P1039" s="7"/>
      <c r="Q10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9" s="9">
        <f>+IFERROR(VLOOKUP(Tabla3[[#This Row],[Cliente factura]],Tabla4[[NIT]:[TOTAL CREDITO]],6,FALSE),0)</f>
        <v>0</v>
      </c>
      <c r="S1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9" s="10" t="str">
        <f>VLOOKUP(Tabla3[[#This Row],[Razón social cliente factura]]&amp;Tabla3[[#This Row],[Desc. ciudad]],'Estandar de Rutas'!$C$1:$E$553,2,FALSE)</f>
        <v>1.3</v>
      </c>
      <c r="U1039" s="130">
        <f>IFERROR(VLOOKUP(Tabla3[[#This Row],[Referencia]]&amp;Tabla3[[#This Row],[Desc detalle ext 1]],Tabla1[[Referencia-Color]:[Disponibilidad]],3,FALSE),0)</f>
        <v>6</v>
      </c>
      <c r="V1039" s="13"/>
      <c r="W1039" s="17">
        <f>+Tabla3[[#This Row],[Cant. Programada]]*Tabla3[[#This Row],[Precio unit]]</f>
        <v>0</v>
      </c>
      <c r="X1039" s="8"/>
      <c r="Y1039" s="8"/>
      <c r="Z1039" s="8" t="str">
        <f>+Tabla3[[#This Row],[Referencia]]&amp;Tabla3[[#This Row],[Desc detalle ext 1]]</f>
        <v>CB 160F DLX                                       BLANCO PE</v>
      </c>
      <c r="AA1039" s="128" t="e">
        <f>+VLOOKUP(Tabla3[[#This Row],[CODIGO2]],ESTANDAR!$B$3:$C$9,2,FALSE)</f>
        <v>#N/A</v>
      </c>
      <c r="AB1039" s="128" t="str">
        <f>+MID(Tabla3[[#This Row],['# Viaje]],10,1)</f>
        <v/>
      </c>
    </row>
    <row r="1040" spans="1:28" ht="15" hidden="1" customHeight="1">
      <c r="A1040" s="173" t="s">
        <v>1674</v>
      </c>
      <c r="B1040" s="174">
        <v>42949</v>
      </c>
      <c r="C1040" s="173" t="s">
        <v>1231</v>
      </c>
      <c r="D1040" s="173" t="s">
        <v>1478</v>
      </c>
      <c r="E1040" s="173" t="s">
        <v>1232</v>
      </c>
      <c r="F1040" s="173">
        <v>4</v>
      </c>
      <c r="G1040" s="173" t="s">
        <v>45</v>
      </c>
      <c r="H1040" s="173">
        <v>4</v>
      </c>
      <c r="I1040" s="173" t="s">
        <v>1675</v>
      </c>
      <c r="J1040" s="173" t="s">
        <v>1433</v>
      </c>
      <c r="K1040" s="173" t="s">
        <v>1431</v>
      </c>
      <c r="L1040" s="173"/>
      <c r="M1040" s="173" t="s">
        <v>42</v>
      </c>
      <c r="N1040" s="173">
        <v>900181404</v>
      </c>
      <c r="O1040" s="175">
        <v>3521008</v>
      </c>
      <c r="P1040" s="7"/>
      <c r="Q10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0" s="9">
        <f>+IFERROR(VLOOKUP(Tabla3[[#This Row],[Cliente factura]],Tabla4[[NIT]:[TOTAL CREDITO]],6,FALSE),0)</f>
        <v>0</v>
      </c>
      <c r="S1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0" s="10" t="str">
        <f>VLOOKUP(Tabla3[[#This Row],[Razón social cliente factura]]&amp;Tabla3[[#This Row],[Desc. ciudad]],'Estandar de Rutas'!$C$1:$E$553,2,FALSE)</f>
        <v>1.3</v>
      </c>
      <c r="U1040" s="130">
        <f>IFERROR(VLOOKUP(Tabla3[[#This Row],[Referencia]]&amp;Tabla3[[#This Row],[Desc detalle ext 1]],Tabla1[[Referencia-Color]:[Disponibilidad]],3,FALSE),0)</f>
        <v>0</v>
      </c>
      <c r="V1040" s="13"/>
      <c r="W1040" s="17">
        <f>+Tabla3[[#This Row],[Cant. Programada]]*Tabla3[[#This Row],[Precio unit]]</f>
        <v>0</v>
      </c>
      <c r="X1040" s="8"/>
      <c r="Y1040" s="8"/>
      <c r="Z1040" s="8" t="str">
        <f>+Tabla3[[#This Row],[Referencia]]&amp;Tabla3[[#This Row],[Desc detalle ext 1]]</f>
        <v xml:space="preserve">DIO  110                                          ROJO     </v>
      </c>
      <c r="AA1040" s="128" t="e">
        <f>+VLOOKUP(Tabla3[[#This Row],[CODIGO2]],ESTANDAR!$B$3:$C$9,2,FALSE)</f>
        <v>#N/A</v>
      </c>
      <c r="AB1040" s="128" t="str">
        <f>+MID(Tabla3[[#This Row],['# Viaje]],10,1)</f>
        <v/>
      </c>
    </row>
    <row r="1041" spans="1:28" ht="15" hidden="1" customHeight="1">
      <c r="A1041" s="173" t="s">
        <v>1674</v>
      </c>
      <c r="B1041" s="174">
        <v>42949</v>
      </c>
      <c r="C1041" s="173" t="s">
        <v>1231</v>
      </c>
      <c r="D1041" s="173" t="s">
        <v>1478</v>
      </c>
      <c r="E1041" s="173" t="s">
        <v>1232</v>
      </c>
      <c r="F1041" s="173">
        <v>4</v>
      </c>
      <c r="G1041" s="173" t="s">
        <v>45</v>
      </c>
      <c r="H1041" s="173">
        <v>4</v>
      </c>
      <c r="I1041" s="173" t="s">
        <v>1675</v>
      </c>
      <c r="J1041" s="173" t="s">
        <v>1433</v>
      </c>
      <c r="K1041" s="173" t="s">
        <v>1434</v>
      </c>
      <c r="L1041" s="173"/>
      <c r="M1041" s="173" t="s">
        <v>42</v>
      </c>
      <c r="N1041" s="173">
        <v>900181404</v>
      </c>
      <c r="O1041" s="175">
        <v>3521008</v>
      </c>
      <c r="P1041" s="7"/>
      <c r="Q10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1" s="9">
        <f>+IFERROR(VLOOKUP(Tabla3[[#This Row],[Cliente factura]],Tabla4[[NIT]:[TOTAL CREDITO]],6,FALSE),0)</f>
        <v>0</v>
      </c>
      <c r="S1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1" s="10" t="str">
        <f>VLOOKUP(Tabla3[[#This Row],[Razón social cliente factura]]&amp;Tabla3[[#This Row],[Desc. ciudad]],'Estandar de Rutas'!$C$1:$E$553,2,FALSE)</f>
        <v>1.3</v>
      </c>
      <c r="U1041" s="130">
        <f>IFERROR(VLOOKUP(Tabla3[[#This Row],[Referencia]]&amp;Tabla3[[#This Row],[Desc detalle ext 1]],Tabla1[[Referencia-Color]:[Disponibilidad]],3,FALSE),0)</f>
        <v>23</v>
      </c>
      <c r="V1041" s="13"/>
      <c r="W1041" s="17">
        <f>+Tabla3[[#This Row],[Cant. Programada]]*Tabla3[[#This Row],[Precio unit]]</f>
        <v>0</v>
      </c>
      <c r="X1041" s="8"/>
      <c r="Y1041" s="8"/>
      <c r="Z1041" s="8" t="str">
        <f>+Tabla3[[#This Row],[Referencia]]&amp;Tabla3[[#This Row],[Desc detalle ext 1]]</f>
        <v>DIO  110                                          BLANCO NE</v>
      </c>
      <c r="AA1041" s="128" t="e">
        <f>+VLOOKUP(Tabla3[[#This Row],[CODIGO2]],ESTANDAR!$B$3:$C$9,2,FALSE)</f>
        <v>#N/A</v>
      </c>
      <c r="AB1041" s="128" t="str">
        <f>+MID(Tabla3[[#This Row],['# Viaje]],10,1)</f>
        <v/>
      </c>
    </row>
    <row r="1042" spans="1:28" ht="15" hidden="1" customHeight="1">
      <c r="A1042" s="173" t="s">
        <v>1674</v>
      </c>
      <c r="B1042" s="174">
        <v>42949</v>
      </c>
      <c r="C1042" s="173" t="s">
        <v>1231</v>
      </c>
      <c r="D1042" s="173" t="s">
        <v>1478</v>
      </c>
      <c r="E1042" s="173" t="s">
        <v>1232</v>
      </c>
      <c r="F1042" s="173">
        <v>4</v>
      </c>
      <c r="G1042" s="173" t="s">
        <v>45</v>
      </c>
      <c r="H1042" s="173">
        <v>4</v>
      </c>
      <c r="I1042" s="173" t="s">
        <v>1675</v>
      </c>
      <c r="J1042" s="173" t="s">
        <v>1433</v>
      </c>
      <c r="K1042" s="173" t="s">
        <v>1452</v>
      </c>
      <c r="L1042" s="173"/>
      <c r="M1042" s="173" t="s">
        <v>42</v>
      </c>
      <c r="N1042" s="173">
        <v>900181404</v>
      </c>
      <c r="O1042" s="175">
        <v>3521008</v>
      </c>
      <c r="P1042" s="7"/>
      <c r="Q10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2" s="9">
        <f>+IFERROR(VLOOKUP(Tabla3[[#This Row],[Cliente factura]],Tabla4[[NIT]:[TOTAL CREDITO]],6,FALSE),0)</f>
        <v>0</v>
      </c>
      <c r="S1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2" s="10" t="str">
        <f>VLOOKUP(Tabla3[[#This Row],[Razón social cliente factura]]&amp;Tabla3[[#This Row],[Desc. ciudad]],'Estandar de Rutas'!$C$1:$E$553,2,FALSE)</f>
        <v>1.3</v>
      </c>
      <c r="U1042" s="130">
        <f>IFERROR(VLOOKUP(Tabla3[[#This Row],[Referencia]]&amp;Tabla3[[#This Row],[Desc detalle ext 1]],Tabla1[[Referencia-Color]:[Disponibilidad]],3,FALSE),0)</f>
        <v>0</v>
      </c>
      <c r="V1042" s="13"/>
      <c r="W1042" s="17">
        <f>+Tabla3[[#This Row],[Cant. Programada]]*Tabla3[[#This Row],[Precio unit]]</f>
        <v>0</v>
      </c>
      <c r="X1042" s="8"/>
      <c r="Y1042" s="8"/>
      <c r="Z1042" s="8" t="str">
        <f>+Tabla3[[#This Row],[Referencia]]&amp;Tabla3[[#This Row],[Desc detalle ext 1]]</f>
        <v xml:space="preserve">DIO  110                                          AZUL     </v>
      </c>
      <c r="AA1042" s="128" t="e">
        <f>+VLOOKUP(Tabla3[[#This Row],[CODIGO2]],ESTANDAR!$B$3:$C$9,2,FALSE)</f>
        <v>#N/A</v>
      </c>
      <c r="AB1042" s="128" t="str">
        <f>+MID(Tabla3[[#This Row],['# Viaje]],10,1)</f>
        <v/>
      </c>
    </row>
    <row r="1043" spans="1:28" ht="15" hidden="1" customHeight="1">
      <c r="A1043" s="173" t="s">
        <v>1674</v>
      </c>
      <c r="B1043" s="174">
        <v>42949</v>
      </c>
      <c r="C1043" s="173" t="s">
        <v>1231</v>
      </c>
      <c r="D1043" s="173" t="s">
        <v>1478</v>
      </c>
      <c r="E1043" s="173" t="s">
        <v>1232</v>
      </c>
      <c r="F1043" s="173">
        <v>8</v>
      </c>
      <c r="G1043" s="173" t="s">
        <v>45</v>
      </c>
      <c r="H1043" s="173">
        <v>8</v>
      </c>
      <c r="I1043" s="173" t="s">
        <v>1675</v>
      </c>
      <c r="J1043" s="173" t="s">
        <v>1428</v>
      </c>
      <c r="K1043" s="173" t="s">
        <v>1429</v>
      </c>
      <c r="L1043" s="173"/>
      <c r="M1043" s="173" t="s">
        <v>42</v>
      </c>
      <c r="N1043" s="173">
        <v>900181404</v>
      </c>
      <c r="O1043" s="175">
        <v>3067227</v>
      </c>
      <c r="P1043" s="7"/>
      <c r="Q10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3" s="9">
        <f>+IFERROR(VLOOKUP(Tabla3[[#This Row],[Cliente factura]],Tabla4[[NIT]:[TOTAL CREDITO]],6,FALSE),0)</f>
        <v>0</v>
      </c>
      <c r="S1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3" s="10" t="str">
        <f>VLOOKUP(Tabla3[[#This Row],[Razón social cliente factura]]&amp;Tabla3[[#This Row],[Desc. ciudad]],'Estandar de Rutas'!$C$1:$E$553,2,FALSE)</f>
        <v>1.3</v>
      </c>
      <c r="U1043" s="130">
        <f>IFERROR(VLOOKUP(Tabla3[[#This Row],[Referencia]]&amp;Tabla3[[#This Row],[Desc detalle ext 1]],Tabla1[[Referencia-Color]:[Disponibilidad]],3,FALSE),0)</f>
        <v>0</v>
      </c>
      <c r="V1043" s="13"/>
      <c r="W1043" s="17">
        <f>+Tabla3[[#This Row],[Cant. Programada]]*Tabla3[[#This Row],[Precio unit]]</f>
        <v>0</v>
      </c>
      <c r="X1043" s="129"/>
      <c r="Y1043" s="129"/>
      <c r="Z1043" s="8" t="str">
        <f>+Tabla3[[#This Row],[Referencia]]&amp;Tabla3[[#This Row],[Desc detalle ext 1]]</f>
        <v>DREAM  NEO                                        NEGRO AZU</v>
      </c>
      <c r="AA1043" s="128" t="e">
        <f>+VLOOKUP(Tabla3[[#This Row],[CODIGO2]],ESTANDAR!$B$3:$C$9,2,FALSE)</f>
        <v>#N/A</v>
      </c>
      <c r="AB1043" s="128" t="str">
        <f>+MID(Tabla3[[#This Row],['# Viaje]],10,1)</f>
        <v/>
      </c>
    </row>
    <row r="1044" spans="1:28" ht="15" hidden="1" customHeight="1">
      <c r="A1044" s="173" t="s">
        <v>1674</v>
      </c>
      <c r="B1044" s="174">
        <v>42949</v>
      </c>
      <c r="C1044" s="173" t="s">
        <v>1231</v>
      </c>
      <c r="D1044" s="173" t="s">
        <v>1478</v>
      </c>
      <c r="E1044" s="173" t="s">
        <v>1232</v>
      </c>
      <c r="F1044" s="173">
        <v>6</v>
      </c>
      <c r="G1044" s="173" t="s">
        <v>45</v>
      </c>
      <c r="H1044" s="173">
        <v>6</v>
      </c>
      <c r="I1044" s="173" t="s">
        <v>1675</v>
      </c>
      <c r="J1044" s="173" t="s">
        <v>1428</v>
      </c>
      <c r="K1044" s="173" t="s">
        <v>32</v>
      </c>
      <c r="L1044" s="173"/>
      <c r="M1044" s="173" t="s">
        <v>42</v>
      </c>
      <c r="N1044" s="173">
        <v>900181404</v>
      </c>
      <c r="O1044" s="175">
        <v>3067227</v>
      </c>
      <c r="P1044" s="7"/>
      <c r="Q10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4" s="9">
        <f>+IFERROR(VLOOKUP(Tabla3[[#This Row],[Cliente factura]],Tabla4[[NIT]:[TOTAL CREDITO]],6,FALSE),0)</f>
        <v>0</v>
      </c>
      <c r="S1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4" s="10" t="str">
        <f>VLOOKUP(Tabla3[[#This Row],[Razón social cliente factura]]&amp;Tabla3[[#This Row],[Desc. ciudad]],'Estandar de Rutas'!$C$1:$E$553,2,FALSE)</f>
        <v>1.3</v>
      </c>
      <c r="U1044" s="130">
        <f>IFERROR(VLOOKUP(Tabla3[[#This Row],[Referencia]]&amp;Tabla3[[#This Row],[Desc detalle ext 1]],Tabla1[[Referencia-Color]:[Disponibilidad]],3,FALSE),0)</f>
        <v>0</v>
      </c>
      <c r="V1044" s="13"/>
      <c r="W1044" s="17">
        <f>+Tabla3[[#This Row],[Cant. Programada]]*Tabla3[[#This Row],[Precio unit]]</f>
        <v>0</v>
      </c>
      <c r="X1044" s="129"/>
      <c r="Y1044" s="129"/>
      <c r="Z1044" s="8" t="str">
        <f>+Tabla3[[#This Row],[Referencia]]&amp;Tabla3[[#This Row],[Desc detalle ext 1]]</f>
        <v>DREAM  NEO                                        NEGRO ROJ</v>
      </c>
      <c r="AA1044" s="128" t="e">
        <f>+VLOOKUP(Tabla3[[#This Row],[CODIGO2]],ESTANDAR!$B$3:$C$9,2,FALSE)</f>
        <v>#N/A</v>
      </c>
      <c r="AB1044" s="128" t="str">
        <f>+MID(Tabla3[[#This Row],['# Viaje]],10,1)</f>
        <v/>
      </c>
    </row>
    <row r="1045" spans="1:28" ht="15" hidden="1" customHeight="1">
      <c r="A1045" s="173" t="s">
        <v>1674</v>
      </c>
      <c r="B1045" s="174">
        <v>42949</v>
      </c>
      <c r="C1045" s="173" t="s">
        <v>1231</v>
      </c>
      <c r="D1045" s="173" t="s">
        <v>1478</v>
      </c>
      <c r="E1045" s="173" t="s">
        <v>1232</v>
      </c>
      <c r="F1045" s="173">
        <v>8</v>
      </c>
      <c r="G1045" s="173" t="s">
        <v>45</v>
      </c>
      <c r="H1045" s="173">
        <v>8</v>
      </c>
      <c r="I1045" s="173" t="s">
        <v>1675</v>
      </c>
      <c r="J1045" s="173" t="s">
        <v>1430</v>
      </c>
      <c r="K1045" s="173" t="s">
        <v>1432</v>
      </c>
      <c r="L1045" s="173"/>
      <c r="M1045" s="173" t="s">
        <v>42</v>
      </c>
      <c r="N1045" s="173">
        <v>900181404</v>
      </c>
      <c r="O1045" s="175">
        <v>3941176</v>
      </c>
      <c r="P1045" s="7"/>
      <c r="Q10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5" s="9">
        <f>+IFERROR(VLOOKUP(Tabla3[[#This Row],[Cliente factura]],Tabla4[[NIT]:[TOTAL CREDITO]],6,FALSE),0)</f>
        <v>0</v>
      </c>
      <c r="S1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5" s="10" t="str">
        <f>VLOOKUP(Tabla3[[#This Row],[Razón social cliente factura]]&amp;Tabla3[[#This Row],[Desc. ciudad]],'Estandar de Rutas'!$C$1:$E$553,2,FALSE)</f>
        <v>1.3</v>
      </c>
      <c r="U1045" s="130">
        <f>IFERROR(VLOOKUP(Tabla3[[#This Row],[Referencia]]&amp;Tabla3[[#This Row],[Desc detalle ext 1]],Tabla1[[Referencia-Color]:[Disponibilidad]],3,FALSE),0)</f>
        <v>23</v>
      </c>
      <c r="V1045" s="13"/>
      <c r="W1045" s="17">
        <f>+Tabla3[[#This Row],[Cant. Programada]]*Tabla3[[#This Row],[Precio unit]]</f>
        <v>0</v>
      </c>
      <c r="X1045" s="129"/>
      <c r="Y1045" s="129"/>
      <c r="Z1045" s="8" t="str">
        <f>+Tabla3[[#This Row],[Referencia]]&amp;Tabla3[[#This Row],[Desc detalle ext 1]]</f>
        <v xml:space="preserve">WAVE 110S                                         BLANCO   </v>
      </c>
      <c r="AA1045" s="128" t="e">
        <f>+VLOOKUP(Tabla3[[#This Row],[CODIGO2]],ESTANDAR!$B$3:$C$9,2,FALSE)</f>
        <v>#N/A</v>
      </c>
      <c r="AB1045" s="128" t="str">
        <f>+MID(Tabla3[[#This Row],['# Viaje]],10,1)</f>
        <v/>
      </c>
    </row>
    <row r="1046" spans="1:28" ht="15" hidden="1" customHeight="1">
      <c r="A1046" s="173" t="s">
        <v>1674</v>
      </c>
      <c r="B1046" s="174">
        <v>42949</v>
      </c>
      <c r="C1046" s="173" t="s">
        <v>1231</v>
      </c>
      <c r="D1046" s="173" t="s">
        <v>1478</v>
      </c>
      <c r="E1046" s="173" t="s">
        <v>1232</v>
      </c>
      <c r="F1046" s="173">
        <v>25</v>
      </c>
      <c r="G1046" s="173" t="s">
        <v>45</v>
      </c>
      <c r="H1046" s="173">
        <v>25</v>
      </c>
      <c r="I1046" s="173" t="s">
        <v>1675</v>
      </c>
      <c r="J1046" s="173" t="s">
        <v>1430</v>
      </c>
      <c r="K1046" s="173" t="s">
        <v>16</v>
      </c>
      <c r="L1046" s="173"/>
      <c r="M1046" s="173" t="s">
        <v>42</v>
      </c>
      <c r="N1046" s="173">
        <v>900181404</v>
      </c>
      <c r="O1046" s="175">
        <v>3941176</v>
      </c>
      <c r="P1046" s="7"/>
      <c r="Q10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6" s="9">
        <f>+IFERROR(VLOOKUP(Tabla3[[#This Row],[Cliente factura]],Tabla4[[NIT]:[TOTAL CREDITO]],6,FALSE),0)</f>
        <v>0</v>
      </c>
      <c r="S1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6" s="10" t="str">
        <f>VLOOKUP(Tabla3[[#This Row],[Razón social cliente factura]]&amp;Tabla3[[#This Row],[Desc. ciudad]],'Estandar de Rutas'!$C$1:$E$553,2,FALSE)</f>
        <v>1.3</v>
      </c>
      <c r="U1046" s="130">
        <f>IFERROR(VLOOKUP(Tabla3[[#This Row],[Referencia]]&amp;Tabla3[[#This Row],[Desc detalle ext 1]],Tabla1[[Referencia-Color]:[Disponibilidad]],3,FALSE),0)</f>
        <v>0</v>
      </c>
      <c r="V1046" s="13"/>
      <c r="W1046" s="17">
        <f>+Tabla3[[#This Row],[Cant. Programada]]*Tabla3[[#This Row],[Precio unit]]</f>
        <v>0</v>
      </c>
      <c r="X1046" s="129"/>
      <c r="Y1046" s="129"/>
      <c r="Z1046" s="8" t="str">
        <f>+Tabla3[[#This Row],[Referencia]]&amp;Tabla3[[#This Row],[Desc detalle ext 1]]</f>
        <v xml:space="preserve">WAVE 110S                                         NEGRO    </v>
      </c>
      <c r="AA1046" s="128" t="e">
        <f>+VLOOKUP(Tabla3[[#This Row],[CODIGO2]],ESTANDAR!$B$3:$C$9,2,FALSE)</f>
        <v>#N/A</v>
      </c>
      <c r="AB1046" s="128" t="str">
        <f>+MID(Tabla3[[#This Row],['# Viaje]],10,1)</f>
        <v/>
      </c>
    </row>
    <row r="1047" spans="1:28" ht="15" hidden="1" customHeight="1">
      <c r="A1047" s="173" t="s">
        <v>1674</v>
      </c>
      <c r="B1047" s="174">
        <v>42949</v>
      </c>
      <c r="C1047" s="173" t="s">
        <v>1231</v>
      </c>
      <c r="D1047" s="173" t="s">
        <v>1478</v>
      </c>
      <c r="E1047" s="173" t="s">
        <v>1232</v>
      </c>
      <c r="F1047" s="173">
        <v>10</v>
      </c>
      <c r="G1047" s="173" t="s">
        <v>45</v>
      </c>
      <c r="H1047" s="173">
        <v>10</v>
      </c>
      <c r="I1047" s="173" t="s">
        <v>1675</v>
      </c>
      <c r="J1047" s="173" t="s">
        <v>1234</v>
      </c>
      <c r="K1047" s="173" t="s">
        <v>17</v>
      </c>
      <c r="L1047" s="173"/>
      <c r="M1047" s="173" t="s">
        <v>42</v>
      </c>
      <c r="N1047" s="173">
        <v>900181404</v>
      </c>
      <c r="O1047" s="175">
        <v>5453782</v>
      </c>
      <c r="P1047" s="7"/>
      <c r="Q10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7" s="9">
        <f>+IFERROR(VLOOKUP(Tabla3[[#This Row],[Cliente factura]],Tabla4[[NIT]:[TOTAL CREDITO]],6,FALSE),0)</f>
        <v>0</v>
      </c>
      <c r="S1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7" s="10" t="str">
        <f>VLOOKUP(Tabla3[[#This Row],[Razón social cliente factura]]&amp;Tabla3[[#This Row],[Desc. ciudad]],'Estandar de Rutas'!$C$1:$E$553,2,FALSE)</f>
        <v>1.3</v>
      </c>
      <c r="U1047" s="130">
        <f>IFERROR(VLOOKUP(Tabla3[[#This Row],[Referencia]]&amp;Tabla3[[#This Row],[Desc detalle ext 1]],Tabla1[[Referencia-Color]:[Disponibilidad]],3,FALSE),0)</f>
        <v>0</v>
      </c>
      <c r="V1047" s="13"/>
      <c r="W1047" s="17">
        <f>+Tabla3[[#This Row],[Cant. Programada]]*Tabla3[[#This Row],[Precio unit]]</f>
        <v>0</v>
      </c>
      <c r="X1047" s="129"/>
      <c r="Y1047" s="129"/>
      <c r="Z1047" s="8" t="str">
        <f>+Tabla3[[#This Row],[Referencia]]&amp;Tabla3[[#This Row],[Desc detalle ext 1]]</f>
        <v>CB 160F STD                                       ROJO SPOR</v>
      </c>
      <c r="AA1047" s="128" t="e">
        <f>+VLOOKUP(Tabla3[[#This Row],[CODIGO2]],ESTANDAR!$B$3:$C$9,2,FALSE)</f>
        <v>#N/A</v>
      </c>
      <c r="AB1047" s="128" t="str">
        <f>+MID(Tabla3[[#This Row],['# Viaje]],10,1)</f>
        <v/>
      </c>
    </row>
    <row r="1048" spans="1:28" ht="15" hidden="1" customHeight="1">
      <c r="A1048" s="173" t="s">
        <v>1674</v>
      </c>
      <c r="B1048" s="174">
        <v>42949</v>
      </c>
      <c r="C1048" s="173" t="s">
        <v>1231</v>
      </c>
      <c r="D1048" s="173" t="s">
        <v>1478</v>
      </c>
      <c r="E1048" s="173" t="s">
        <v>1232</v>
      </c>
      <c r="F1048" s="173">
        <v>15</v>
      </c>
      <c r="G1048" s="173" t="s">
        <v>45</v>
      </c>
      <c r="H1048" s="173">
        <v>15</v>
      </c>
      <c r="I1048" s="173" t="s">
        <v>1675</v>
      </c>
      <c r="J1048" s="173" t="s">
        <v>1234</v>
      </c>
      <c r="K1048" s="173" t="s">
        <v>355</v>
      </c>
      <c r="L1048" s="173"/>
      <c r="M1048" s="173" t="s">
        <v>42</v>
      </c>
      <c r="N1048" s="173">
        <v>900181404</v>
      </c>
      <c r="O1048" s="175">
        <v>5453782</v>
      </c>
      <c r="P1048" s="7"/>
      <c r="Q10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8" s="9">
        <f>+IFERROR(VLOOKUP(Tabla3[[#This Row],[Cliente factura]],Tabla4[[NIT]:[TOTAL CREDITO]],6,FALSE),0)</f>
        <v>0</v>
      </c>
      <c r="S1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8" s="10" t="str">
        <f>VLOOKUP(Tabla3[[#This Row],[Razón social cliente factura]]&amp;Tabla3[[#This Row],[Desc. ciudad]],'Estandar de Rutas'!$C$1:$E$553,2,FALSE)</f>
        <v>1.3</v>
      </c>
      <c r="U1048" s="130">
        <f>IFERROR(VLOOKUP(Tabla3[[#This Row],[Referencia]]&amp;Tabla3[[#This Row],[Desc detalle ext 1]],Tabla1[[Referencia-Color]:[Disponibilidad]],3,FALSE),0)</f>
        <v>0</v>
      </c>
      <c r="V1048" s="13"/>
      <c r="W1048" s="17">
        <f>+Tabla3[[#This Row],[Cant. Programada]]*Tabla3[[#This Row],[Precio unit]]</f>
        <v>0</v>
      </c>
      <c r="X1048" s="129"/>
      <c r="Y1048" s="129"/>
      <c r="Z1048" s="8" t="str">
        <f>+Tabla3[[#This Row],[Referencia]]&amp;Tabla3[[#This Row],[Desc detalle ext 1]]</f>
        <v>CB 160F STD                                       NEGRO PER</v>
      </c>
      <c r="AA1048" s="128" t="e">
        <f>+VLOOKUP(Tabla3[[#This Row],[CODIGO2]],ESTANDAR!$B$3:$C$9,2,FALSE)</f>
        <v>#N/A</v>
      </c>
      <c r="AB1048" s="128" t="str">
        <f>+MID(Tabla3[[#This Row],['# Viaje]],10,1)</f>
        <v/>
      </c>
    </row>
    <row r="1049" spans="1:28" ht="15" hidden="1" customHeight="1">
      <c r="A1049" s="173" t="s">
        <v>1674</v>
      </c>
      <c r="B1049" s="174">
        <v>42949</v>
      </c>
      <c r="C1049" s="173" t="s">
        <v>1231</v>
      </c>
      <c r="D1049" s="173" t="s">
        <v>1478</v>
      </c>
      <c r="E1049" s="173" t="s">
        <v>1232</v>
      </c>
      <c r="F1049" s="173">
        <v>10</v>
      </c>
      <c r="G1049" s="173" t="s">
        <v>45</v>
      </c>
      <c r="H1049" s="173">
        <v>10</v>
      </c>
      <c r="I1049" s="173" t="s">
        <v>1675</v>
      </c>
      <c r="J1049" s="173" t="s">
        <v>1234</v>
      </c>
      <c r="K1049" s="173" t="s">
        <v>44</v>
      </c>
      <c r="L1049" s="173"/>
      <c r="M1049" s="173" t="s">
        <v>42</v>
      </c>
      <c r="N1049" s="173">
        <v>900181404</v>
      </c>
      <c r="O1049" s="175">
        <v>5453782</v>
      </c>
      <c r="P1049" s="7"/>
      <c r="Q10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9" s="9">
        <f>+IFERROR(VLOOKUP(Tabla3[[#This Row],[Cliente factura]],Tabla4[[NIT]:[TOTAL CREDITO]],6,FALSE),0)</f>
        <v>0</v>
      </c>
      <c r="S1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9" s="10" t="str">
        <f>VLOOKUP(Tabla3[[#This Row],[Razón social cliente factura]]&amp;Tabla3[[#This Row],[Desc. ciudad]],'Estandar de Rutas'!$C$1:$E$553,2,FALSE)</f>
        <v>1.3</v>
      </c>
      <c r="U1049" s="130">
        <f>IFERROR(VLOOKUP(Tabla3[[#This Row],[Referencia]]&amp;Tabla3[[#This Row],[Desc detalle ext 1]],Tabla1[[Referencia-Color]:[Disponibilidad]],3,FALSE),0)</f>
        <v>1</v>
      </c>
      <c r="V1049" s="13"/>
      <c r="W1049" s="17">
        <f>+Tabla3[[#This Row],[Cant. Programada]]*Tabla3[[#This Row],[Precio unit]]</f>
        <v>0</v>
      </c>
      <c r="X1049" s="129"/>
      <c r="Y1049" s="129"/>
      <c r="Z1049" s="8" t="str">
        <f>+Tabla3[[#This Row],[Referencia]]&amp;Tabla3[[#This Row],[Desc detalle ext 1]]</f>
        <v>CB 160F STD                                       BLANCO PE</v>
      </c>
      <c r="AA1049" s="128" t="e">
        <f>+VLOOKUP(Tabla3[[#This Row],[CODIGO2]],ESTANDAR!$B$3:$C$9,2,FALSE)</f>
        <v>#N/A</v>
      </c>
      <c r="AB1049" s="128" t="str">
        <f>+MID(Tabla3[[#This Row],['# Viaje]],10,1)</f>
        <v/>
      </c>
    </row>
    <row r="1050" spans="1:28" ht="15" hidden="1" customHeight="1">
      <c r="A1050" s="173" t="s">
        <v>1674</v>
      </c>
      <c r="B1050" s="174">
        <v>42949</v>
      </c>
      <c r="C1050" s="173" t="s">
        <v>1231</v>
      </c>
      <c r="D1050" s="173" t="s">
        <v>1478</v>
      </c>
      <c r="E1050" s="173" t="s">
        <v>1232</v>
      </c>
      <c r="F1050" s="173">
        <v>3</v>
      </c>
      <c r="G1050" s="173" t="s">
        <v>45</v>
      </c>
      <c r="H1050" s="173">
        <v>3</v>
      </c>
      <c r="I1050" s="173" t="s">
        <v>1675</v>
      </c>
      <c r="J1050" s="173" t="s">
        <v>1451</v>
      </c>
      <c r="K1050" s="173" t="s">
        <v>1431</v>
      </c>
      <c r="L1050" s="173"/>
      <c r="M1050" s="173" t="s">
        <v>42</v>
      </c>
      <c r="N1050" s="173">
        <v>900181404</v>
      </c>
      <c r="O1050" s="175">
        <v>3696639</v>
      </c>
      <c r="P1050" s="7"/>
      <c r="Q10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0" s="9">
        <f>+IFERROR(VLOOKUP(Tabla3[[#This Row],[Cliente factura]],Tabla4[[NIT]:[TOTAL CREDITO]],6,FALSE),0)</f>
        <v>0</v>
      </c>
      <c r="S1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0" s="10" t="str">
        <f>VLOOKUP(Tabla3[[#This Row],[Razón social cliente factura]]&amp;Tabla3[[#This Row],[Desc. ciudad]],'Estandar de Rutas'!$C$1:$E$553,2,FALSE)</f>
        <v>1.3</v>
      </c>
      <c r="U1050" s="130">
        <f>IFERROR(VLOOKUP(Tabla3[[#This Row],[Referencia]]&amp;Tabla3[[#This Row],[Desc detalle ext 1]],Tabla1[[Referencia-Color]:[Disponibilidad]],3,FALSE),0)</f>
        <v>21</v>
      </c>
      <c r="V1050" s="13"/>
      <c r="W1050" s="17">
        <f>+Tabla3[[#This Row],[Cant. Programada]]*Tabla3[[#This Row],[Precio unit]]</f>
        <v>0</v>
      </c>
      <c r="X1050" s="129"/>
      <c r="Y1050" s="129"/>
      <c r="Z1050" s="8" t="str">
        <f>+Tabla3[[#This Row],[Referencia]]&amp;Tabla3[[#This Row],[Desc detalle ext 1]]</f>
        <v xml:space="preserve">CB 110 DLX                                        ROJO     </v>
      </c>
      <c r="AA1050" s="128" t="e">
        <f>+VLOOKUP(Tabla3[[#This Row],[CODIGO2]],ESTANDAR!$B$3:$C$9,2,FALSE)</f>
        <v>#N/A</v>
      </c>
      <c r="AB1050" s="128" t="str">
        <f>+MID(Tabla3[[#This Row],['# Viaje]],10,1)</f>
        <v/>
      </c>
    </row>
    <row r="1051" spans="1:28" ht="15" hidden="1" customHeight="1">
      <c r="A1051" s="173" t="s">
        <v>1674</v>
      </c>
      <c r="B1051" s="174">
        <v>42949</v>
      </c>
      <c r="C1051" s="173" t="s">
        <v>1231</v>
      </c>
      <c r="D1051" s="173" t="s">
        <v>1478</v>
      </c>
      <c r="E1051" s="173" t="s">
        <v>1232</v>
      </c>
      <c r="F1051" s="173">
        <v>7</v>
      </c>
      <c r="G1051" s="173" t="s">
        <v>45</v>
      </c>
      <c r="H1051" s="173">
        <v>7</v>
      </c>
      <c r="I1051" s="173" t="s">
        <v>1675</v>
      </c>
      <c r="J1051" s="173" t="s">
        <v>1451</v>
      </c>
      <c r="K1051" s="173" t="s">
        <v>1452</v>
      </c>
      <c r="L1051" s="173"/>
      <c r="M1051" s="173" t="s">
        <v>42</v>
      </c>
      <c r="N1051" s="173">
        <v>900181404</v>
      </c>
      <c r="O1051" s="175">
        <v>3696639</v>
      </c>
      <c r="P1051" s="7"/>
      <c r="Q10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1" s="9">
        <f>+IFERROR(VLOOKUP(Tabla3[[#This Row],[Cliente factura]],Tabla4[[NIT]:[TOTAL CREDITO]],6,FALSE),0)</f>
        <v>0</v>
      </c>
      <c r="S1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1" s="10" t="str">
        <f>VLOOKUP(Tabla3[[#This Row],[Razón social cliente factura]]&amp;Tabla3[[#This Row],[Desc. ciudad]],'Estandar de Rutas'!$C$1:$E$553,2,FALSE)</f>
        <v>1.3</v>
      </c>
      <c r="U1051" s="130">
        <f>IFERROR(VLOOKUP(Tabla3[[#This Row],[Referencia]]&amp;Tabla3[[#This Row],[Desc detalle ext 1]],Tabla1[[Referencia-Color]:[Disponibilidad]],3,FALSE),0)</f>
        <v>21</v>
      </c>
      <c r="V1051" s="13"/>
      <c r="W1051" s="17">
        <f>+Tabla3[[#This Row],[Cant. Programada]]*Tabla3[[#This Row],[Precio unit]]</f>
        <v>0</v>
      </c>
      <c r="X1051" s="8"/>
      <c r="Y1051" s="8"/>
      <c r="Z1051" s="8" t="str">
        <f>+Tabla3[[#This Row],[Referencia]]&amp;Tabla3[[#This Row],[Desc detalle ext 1]]</f>
        <v xml:space="preserve">CB 110 DLX                                        AZUL     </v>
      </c>
      <c r="AA1051" s="128" t="e">
        <f>+VLOOKUP(Tabla3[[#This Row],[CODIGO2]],ESTANDAR!$B$3:$C$9,2,FALSE)</f>
        <v>#N/A</v>
      </c>
      <c r="AB1051" s="128" t="str">
        <f>+MID(Tabla3[[#This Row],['# Viaje]],10,1)</f>
        <v/>
      </c>
    </row>
    <row r="1052" spans="1:28" ht="15" hidden="1" customHeight="1">
      <c r="A1052" s="173" t="s">
        <v>1674</v>
      </c>
      <c r="B1052" s="174">
        <v>42949</v>
      </c>
      <c r="C1052" s="173" t="s">
        <v>1231</v>
      </c>
      <c r="D1052" s="173" t="s">
        <v>1478</v>
      </c>
      <c r="E1052" s="173" t="s">
        <v>1232</v>
      </c>
      <c r="F1052" s="173">
        <v>10</v>
      </c>
      <c r="G1052" s="173" t="s">
        <v>45</v>
      </c>
      <c r="H1052" s="173">
        <v>10</v>
      </c>
      <c r="I1052" s="173" t="s">
        <v>1675</v>
      </c>
      <c r="J1052" s="173" t="s">
        <v>1451</v>
      </c>
      <c r="K1052" s="173" t="s">
        <v>16</v>
      </c>
      <c r="L1052" s="173"/>
      <c r="M1052" s="173" t="s">
        <v>42</v>
      </c>
      <c r="N1052" s="173">
        <v>900181404</v>
      </c>
      <c r="O1052" s="175">
        <v>3696639</v>
      </c>
      <c r="P1052" s="7"/>
      <c r="Q10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2" s="9">
        <f>+IFERROR(VLOOKUP(Tabla3[[#This Row],[Cliente factura]],Tabla4[[NIT]:[TOTAL CREDITO]],6,FALSE),0)</f>
        <v>0</v>
      </c>
      <c r="S1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2" s="10" t="str">
        <f>VLOOKUP(Tabla3[[#This Row],[Razón social cliente factura]]&amp;Tabla3[[#This Row],[Desc. ciudad]],'Estandar de Rutas'!$C$1:$E$553,2,FALSE)</f>
        <v>1.3</v>
      </c>
      <c r="U1052" s="130">
        <f>IFERROR(VLOOKUP(Tabla3[[#This Row],[Referencia]]&amp;Tabla3[[#This Row],[Desc detalle ext 1]],Tabla1[[Referencia-Color]:[Disponibilidad]],3,FALSE),0)</f>
        <v>3</v>
      </c>
      <c r="V1052" s="13"/>
      <c r="W1052" s="17">
        <f>+Tabla3[[#This Row],[Cant. Programada]]*Tabla3[[#This Row],[Precio unit]]</f>
        <v>0</v>
      </c>
      <c r="X1052" s="8"/>
      <c r="Y1052" s="8"/>
      <c r="Z1052" s="8" t="str">
        <f>+Tabla3[[#This Row],[Referencia]]&amp;Tabla3[[#This Row],[Desc detalle ext 1]]</f>
        <v xml:space="preserve">CB 110 DLX                                        NEGRO    </v>
      </c>
      <c r="AA1052" s="128" t="e">
        <f>+VLOOKUP(Tabla3[[#This Row],[CODIGO2]],ESTANDAR!$B$3:$C$9,2,FALSE)</f>
        <v>#N/A</v>
      </c>
      <c r="AB1052" s="128" t="str">
        <f>+MID(Tabla3[[#This Row],['# Viaje]],10,1)</f>
        <v/>
      </c>
    </row>
    <row r="1053" spans="1:28" ht="15" hidden="1" customHeight="1">
      <c r="A1053" s="173" t="s">
        <v>1674</v>
      </c>
      <c r="B1053" s="174">
        <v>42949</v>
      </c>
      <c r="C1053" s="173" t="s">
        <v>1231</v>
      </c>
      <c r="D1053" s="173" t="s">
        <v>1478</v>
      </c>
      <c r="E1053" s="173" t="s">
        <v>1232</v>
      </c>
      <c r="F1053" s="173">
        <v>7</v>
      </c>
      <c r="G1053" s="173" t="s">
        <v>45</v>
      </c>
      <c r="H1053" s="173">
        <v>7</v>
      </c>
      <c r="I1053" s="173" t="s">
        <v>1675</v>
      </c>
      <c r="J1053" s="173" t="s">
        <v>1451</v>
      </c>
      <c r="K1053" s="173" t="s">
        <v>1449</v>
      </c>
      <c r="L1053" s="173"/>
      <c r="M1053" s="173" t="s">
        <v>42</v>
      </c>
      <c r="N1053" s="173">
        <v>900181404</v>
      </c>
      <c r="O1053" s="175">
        <v>3696639</v>
      </c>
      <c r="P1053" s="7"/>
      <c r="Q10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3" s="9">
        <f>+IFERROR(VLOOKUP(Tabla3[[#This Row],[Cliente factura]],Tabla4[[NIT]:[TOTAL CREDITO]],6,FALSE),0)</f>
        <v>0</v>
      </c>
      <c r="S1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3" s="10" t="str">
        <f>VLOOKUP(Tabla3[[#This Row],[Razón social cliente factura]]&amp;Tabla3[[#This Row],[Desc. ciudad]],'Estandar de Rutas'!$C$1:$E$553,2,FALSE)</f>
        <v>1.3</v>
      </c>
      <c r="U1053" s="130">
        <f>IFERROR(VLOOKUP(Tabla3[[#This Row],[Referencia]]&amp;Tabla3[[#This Row],[Desc detalle ext 1]],Tabla1[[Referencia-Color]:[Disponibilidad]],3,FALSE),0)</f>
        <v>24</v>
      </c>
      <c r="V1053" s="13"/>
      <c r="W1053" s="17">
        <f>+Tabla3[[#This Row],[Cant. Programada]]*Tabla3[[#This Row],[Precio unit]]</f>
        <v>0</v>
      </c>
      <c r="X1053" s="8"/>
      <c r="Y1053" s="8"/>
      <c r="Z1053" s="8" t="str">
        <f>+Tabla3[[#This Row],[Referencia]]&amp;Tabla3[[#This Row],[Desc detalle ext 1]]</f>
        <v xml:space="preserve">CB 110 DLX                                        GRIS     </v>
      </c>
      <c r="AA1053" s="128" t="e">
        <f>+VLOOKUP(Tabla3[[#This Row],[CODIGO2]],ESTANDAR!$B$3:$C$9,2,FALSE)</f>
        <v>#N/A</v>
      </c>
      <c r="AB1053" s="128" t="str">
        <f>+MID(Tabla3[[#This Row],['# Viaje]],10,1)</f>
        <v/>
      </c>
    </row>
    <row r="1054" spans="1:28" ht="15" hidden="1" customHeight="1">
      <c r="A1054" s="173" t="s">
        <v>1676</v>
      </c>
      <c r="B1054" s="174">
        <v>42949</v>
      </c>
      <c r="C1054" s="173" t="s">
        <v>1231</v>
      </c>
      <c r="D1054" s="173" t="s">
        <v>1237</v>
      </c>
      <c r="E1054" s="173" t="s">
        <v>1232</v>
      </c>
      <c r="F1054" s="173">
        <v>1</v>
      </c>
      <c r="G1054" s="173" t="s">
        <v>9</v>
      </c>
      <c r="H1054" s="173">
        <v>1</v>
      </c>
      <c r="I1054" s="173" t="s">
        <v>1241</v>
      </c>
      <c r="J1054" s="173" t="s">
        <v>14</v>
      </c>
      <c r="K1054" s="173" t="s">
        <v>1417</v>
      </c>
      <c r="L1054" s="173"/>
      <c r="M1054" s="173" t="s">
        <v>256</v>
      </c>
      <c r="N1054" s="173">
        <v>900129262</v>
      </c>
      <c r="O1054" s="175">
        <v>3360504</v>
      </c>
      <c r="P1054" s="7"/>
      <c r="Q10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4" s="9">
        <f>+IFERROR(VLOOKUP(Tabla3[[#This Row],[Cliente factura]],Tabla4[[NIT]:[TOTAL CREDITO]],6,FALSE),0)</f>
        <v>0</v>
      </c>
      <c r="S1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4" s="10" t="str">
        <f>VLOOKUP(Tabla3[[#This Row],[Razón social cliente factura]]&amp;Tabla3[[#This Row],[Desc. ciudad]],'Estandar de Rutas'!$C$1:$E$553,2,FALSE)</f>
        <v>5.1.A</v>
      </c>
      <c r="U1054" s="130">
        <f>IFERROR(VLOOKUP(Tabla3[[#This Row],[Referencia]]&amp;Tabla3[[#This Row],[Desc detalle ext 1]],Tabla1[[Referencia-Color]:[Disponibilidad]],3,FALSE),0)</f>
        <v>24</v>
      </c>
      <c r="V1054" s="13"/>
      <c r="W1054" s="17">
        <f>+Tabla3[[#This Row],[Cant. Programada]]*Tabla3[[#This Row],[Precio unit]]</f>
        <v>0</v>
      </c>
      <c r="X1054" s="8"/>
      <c r="Y1054" s="8"/>
      <c r="Z1054" s="8" t="str">
        <f>+Tabla3[[#This Row],[Referencia]]&amp;Tabla3[[#This Row],[Desc detalle ext 1]]</f>
        <v xml:space="preserve">*CB-110                                           GRIS MET </v>
      </c>
      <c r="AA1054" s="128" t="e">
        <f>+VLOOKUP(Tabla3[[#This Row],[CODIGO2]],ESTANDAR!$B$3:$C$9,2,FALSE)</f>
        <v>#N/A</v>
      </c>
      <c r="AB1054" s="128" t="str">
        <f>+MID(Tabla3[[#This Row],['# Viaje]],10,1)</f>
        <v/>
      </c>
    </row>
    <row r="1055" spans="1:28" ht="15" hidden="1" customHeight="1">
      <c r="A1055" s="173" t="s">
        <v>1676</v>
      </c>
      <c r="B1055" s="174">
        <v>42949</v>
      </c>
      <c r="C1055" s="173" t="s">
        <v>1231</v>
      </c>
      <c r="D1055" s="173" t="s">
        <v>1237</v>
      </c>
      <c r="E1055" s="173" t="s">
        <v>1232</v>
      </c>
      <c r="F1055" s="173">
        <v>1</v>
      </c>
      <c r="G1055" s="173" t="s">
        <v>9</v>
      </c>
      <c r="H1055" s="173">
        <v>1</v>
      </c>
      <c r="I1055" s="173" t="s">
        <v>1241</v>
      </c>
      <c r="J1055" s="173" t="s">
        <v>14</v>
      </c>
      <c r="K1055" s="173" t="s">
        <v>1418</v>
      </c>
      <c r="L1055" s="173"/>
      <c r="M1055" s="173" t="s">
        <v>256</v>
      </c>
      <c r="N1055" s="173">
        <v>900129262</v>
      </c>
      <c r="O1055" s="175">
        <v>3360504</v>
      </c>
      <c r="P1055" s="7"/>
      <c r="Q10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5" s="9">
        <f>+IFERROR(VLOOKUP(Tabla3[[#This Row],[Cliente factura]],Tabla4[[NIT]:[TOTAL CREDITO]],6,FALSE),0)</f>
        <v>0</v>
      </c>
      <c r="S1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5" s="10" t="str">
        <f>VLOOKUP(Tabla3[[#This Row],[Razón social cliente factura]]&amp;Tabla3[[#This Row],[Desc. ciudad]],'Estandar de Rutas'!$C$1:$E$553,2,FALSE)</f>
        <v>5.1.A</v>
      </c>
      <c r="U1055" s="130">
        <f>IFERROR(VLOOKUP(Tabla3[[#This Row],[Referencia]]&amp;Tabla3[[#This Row],[Desc detalle ext 1]],Tabla1[[Referencia-Color]:[Disponibilidad]],3,FALSE),0)</f>
        <v>0</v>
      </c>
      <c r="V1055" s="13"/>
      <c r="W1055" s="17">
        <f>+Tabla3[[#This Row],[Cant. Programada]]*Tabla3[[#This Row],[Precio unit]]</f>
        <v>0</v>
      </c>
      <c r="X1055" s="8"/>
      <c r="Y1055" s="8"/>
      <c r="Z1055" s="8" t="str">
        <f>+Tabla3[[#This Row],[Referencia]]&amp;Tabla3[[#This Row],[Desc detalle ext 1]]</f>
        <v>*CB-110                                           VERDE CAN</v>
      </c>
      <c r="AA1055" s="128" t="e">
        <f>+VLOOKUP(Tabla3[[#This Row],[CODIGO2]],ESTANDAR!$B$3:$C$9,2,FALSE)</f>
        <v>#N/A</v>
      </c>
      <c r="AB1055" s="128" t="str">
        <f>+MID(Tabla3[[#This Row],['# Viaje]],10,1)</f>
        <v/>
      </c>
    </row>
    <row r="1056" spans="1:28" ht="15" hidden="1" customHeight="1">
      <c r="A1056" s="173" t="s">
        <v>1676</v>
      </c>
      <c r="B1056" s="174">
        <v>42949</v>
      </c>
      <c r="C1056" s="173" t="s">
        <v>1231</v>
      </c>
      <c r="D1056" s="173" t="s">
        <v>1237</v>
      </c>
      <c r="E1056" s="173" t="s">
        <v>1232</v>
      </c>
      <c r="F1056" s="173">
        <v>1</v>
      </c>
      <c r="G1056" s="173" t="s">
        <v>9</v>
      </c>
      <c r="H1056" s="173">
        <v>1</v>
      </c>
      <c r="I1056" s="173" t="s">
        <v>1241</v>
      </c>
      <c r="J1056" s="173" t="s">
        <v>27</v>
      </c>
      <c r="K1056" s="173" t="s">
        <v>26</v>
      </c>
      <c r="L1056" s="173"/>
      <c r="M1056" s="173" t="s">
        <v>256</v>
      </c>
      <c r="N1056" s="173">
        <v>900129262</v>
      </c>
      <c r="O1056" s="175">
        <v>5789916</v>
      </c>
      <c r="P1056" s="7"/>
      <c r="Q10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6" s="9">
        <f>+IFERROR(VLOOKUP(Tabla3[[#This Row],[Cliente factura]],Tabla4[[NIT]:[TOTAL CREDITO]],6,FALSE),0)</f>
        <v>0</v>
      </c>
      <c r="S1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6" s="10" t="str">
        <f>VLOOKUP(Tabla3[[#This Row],[Razón social cliente factura]]&amp;Tabla3[[#This Row],[Desc. ciudad]],'Estandar de Rutas'!$C$1:$E$553,2,FALSE)</f>
        <v>5.1.A</v>
      </c>
      <c r="U1056" s="130">
        <f>IFERROR(VLOOKUP(Tabla3[[#This Row],[Referencia]]&amp;Tabla3[[#This Row],[Desc detalle ext 1]],Tabla1[[Referencia-Color]:[Disponibilidad]],3,FALSE),0)</f>
        <v>59</v>
      </c>
      <c r="V1056" s="13"/>
      <c r="W1056" s="17">
        <f>+Tabla3[[#This Row],[Cant. Programada]]*Tabla3[[#This Row],[Precio unit]]</f>
        <v>0</v>
      </c>
      <c r="X1056" s="8"/>
      <c r="Y1056" s="8"/>
      <c r="Z1056" s="8" t="str">
        <f>+Tabla3[[#This Row],[Referencia]]&amp;Tabla3[[#This Row],[Desc detalle ext 1]]</f>
        <v>*XR 150L                                          NEGRO BLA</v>
      </c>
      <c r="AA1056" s="128" t="e">
        <f>+VLOOKUP(Tabla3[[#This Row],[CODIGO2]],ESTANDAR!$B$3:$C$9,2,FALSE)</f>
        <v>#N/A</v>
      </c>
      <c r="AB1056" s="128" t="str">
        <f>+MID(Tabla3[[#This Row],['# Viaje]],10,1)</f>
        <v/>
      </c>
    </row>
    <row r="1057" spans="1:28" ht="15" hidden="1" customHeight="1">
      <c r="A1057" s="173" t="s">
        <v>1676</v>
      </c>
      <c r="B1057" s="174">
        <v>42949</v>
      </c>
      <c r="C1057" s="173" t="s">
        <v>1231</v>
      </c>
      <c r="D1057" s="173" t="s">
        <v>1237</v>
      </c>
      <c r="E1057" s="173" t="s">
        <v>1232</v>
      </c>
      <c r="F1057" s="173">
        <v>3</v>
      </c>
      <c r="G1057" s="173" t="s">
        <v>9</v>
      </c>
      <c r="H1057" s="173">
        <v>3</v>
      </c>
      <c r="I1057" s="173" t="s">
        <v>1241</v>
      </c>
      <c r="J1057" s="173" t="s">
        <v>10</v>
      </c>
      <c r="K1057" s="173" t="s">
        <v>11</v>
      </c>
      <c r="L1057" s="173"/>
      <c r="M1057" s="173" t="s">
        <v>256</v>
      </c>
      <c r="N1057" s="173">
        <v>900129262</v>
      </c>
      <c r="O1057" s="175">
        <v>7554622</v>
      </c>
      <c r="P1057" s="7"/>
      <c r="Q10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7" s="9">
        <f>+IFERROR(VLOOKUP(Tabla3[[#This Row],[Cliente factura]],Tabla4[[NIT]:[TOTAL CREDITO]],6,FALSE),0)</f>
        <v>0</v>
      </c>
      <c r="S1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7" s="10" t="str">
        <f>VLOOKUP(Tabla3[[#This Row],[Razón social cliente factura]]&amp;Tabla3[[#This Row],[Desc. ciudad]],'Estandar de Rutas'!$C$1:$E$553,2,FALSE)</f>
        <v>5.1.A</v>
      </c>
      <c r="U1057" s="130">
        <f>IFERROR(VLOOKUP(Tabla3[[#This Row],[Referencia]]&amp;Tabla3[[#This Row],[Desc detalle ext 1]],Tabla1[[Referencia-Color]:[Disponibilidad]],3,FALSE),0)</f>
        <v>0</v>
      </c>
      <c r="V1057" s="13"/>
      <c r="W1057" s="17">
        <f>+Tabla3[[#This Row],[Cant. Programada]]*Tabla3[[#This Row],[Precio unit]]</f>
        <v>0</v>
      </c>
      <c r="X1057" s="8"/>
      <c r="Y1057" s="8"/>
      <c r="Z1057" s="8" t="str">
        <f>+Tabla3[[#This Row],[Referencia]]&amp;Tabla3[[#This Row],[Desc detalle ext 1]]</f>
        <v>CB 190R                                           NEGRO ONI</v>
      </c>
      <c r="AA1057" s="128" t="e">
        <f>+VLOOKUP(Tabla3[[#This Row],[CODIGO2]],ESTANDAR!$B$3:$C$9,2,FALSE)</f>
        <v>#N/A</v>
      </c>
      <c r="AB1057" s="128" t="str">
        <f>+MID(Tabla3[[#This Row],['# Viaje]],10,1)</f>
        <v/>
      </c>
    </row>
    <row r="1058" spans="1:28" ht="15" hidden="1" customHeight="1">
      <c r="A1058" s="173" t="s">
        <v>1676</v>
      </c>
      <c r="B1058" s="174">
        <v>42949</v>
      </c>
      <c r="C1058" s="173" t="s">
        <v>1231</v>
      </c>
      <c r="D1058" s="173" t="s">
        <v>1237</v>
      </c>
      <c r="E1058" s="173" t="s">
        <v>1232</v>
      </c>
      <c r="F1058" s="173">
        <v>2</v>
      </c>
      <c r="G1058" s="173" t="s">
        <v>9</v>
      </c>
      <c r="H1058" s="173">
        <v>2</v>
      </c>
      <c r="I1058" s="173" t="s">
        <v>1241</v>
      </c>
      <c r="J1058" s="173" t="s">
        <v>1433</v>
      </c>
      <c r="K1058" s="173" t="s">
        <v>1452</v>
      </c>
      <c r="L1058" s="173"/>
      <c r="M1058" s="173" t="s">
        <v>256</v>
      </c>
      <c r="N1058" s="173">
        <v>900129262</v>
      </c>
      <c r="O1058" s="175">
        <v>3521008</v>
      </c>
      <c r="P1058" s="7"/>
      <c r="Q10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8" s="9">
        <f>+IFERROR(VLOOKUP(Tabla3[[#This Row],[Cliente factura]],Tabla4[[NIT]:[TOTAL CREDITO]],6,FALSE),0)</f>
        <v>0</v>
      </c>
      <c r="S1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8" s="10" t="str">
        <f>VLOOKUP(Tabla3[[#This Row],[Razón social cliente factura]]&amp;Tabla3[[#This Row],[Desc. ciudad]],'Estandar de Rutas'!$C$1:$E$553,2,FALSE)</f>
        <v>5.1.A</v>
      </c>
      <c r="U1058" s="130">
        <f>IFERROR(VLOOKUP(Tabla3[[#This Row],[Referencia]]&amp;Tabla3[[#This Row],[Desc detalle ext 1]],Tabla1[[Referencia-Color]:[Disponibilidad]],3,FALSE),0)</f>
        <v>0</v>
      </c>
      <c r="V1058" s="13"/>
      <c r="W1058" s="17">
        <f>+Tabla3[[#This Row],[Cant. Programada]]*Tabla3[[#This Row],[Precio unit]]</f>
        <v>0</v>
      </c>
      <c r="X1058" s="8"/>
      <c r="Y1058" s="8"/>
      <c r="Z1058" s="8" t="str">
        <f>+Tabla3[[#This Row],[Referencia]]&amp;Tabla3[[#This Row],[Desc detalle ext 1]]</f>
        <v xml:space="preserve">DIO  110                                          AZUL     </v>
      </c>
      <c r="AA1058" s="128" t="e">
        <f>+VLOOKUP(Tabla3[[#This Row],[CODIGO2]],ESTANDAR!$B$3:$C$9,2,FALSE)</f>
        <v>#N/A</v>
      </c>
      <c r="AB1058" s="128" t="str">
        <f>+MID(Tabla3[[#This Row],['# Viaje]],10,1)</f>
        <v/>
      </c>
    </row>
    <row r="1059" spans="1:28" ht="15" hidden="1" customHeight="1">
      <c r="A1059" s="173" t="s">
        <v>1676</v>
      </c>
      <c r="B1059" s="174">
        <v>42949</v>
      </c>
      <c r="C1059" s="173" t="s">
        <v>1231</v>
      </c>
      <c r="D1059" s="173" t="s">
        <v>1237</v>
      </c>
      <c r="E1059" s="173" t="s">
        <v>1232</v>
      </c>
      <c r="F1059" s="173">
        <v>1</v>
      </c>
      <c r="G1059" s="173" t="s">
        <v>9</v>
      </c>
      <c r="H1059" s="173">
        <v>1</v>
      </c>
      <c r="I1059" s="173" t="s">
        <v>1241</v>
      </c>
      <c r="J1059" s="173" t="s">
        <v>1234</v>
      </c>
      <c r="K1059" s="173" t="s">
        <v>17</v>
      </c>
      <c r="L1059" s="173"/>
      <c r="M1059" s="173" t="s">
        <v>256</v>
      </c>
      <c r="N1059" s="173">
        <v>900129262</v>
      </c>
      <c r="O1059" s="175">
        <v>5453782</v>
      </c>
      <c r="P1059" s="7"/>
      <c r="Q10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9" s="9">
        <f>+IFERROR(VLOOKUP(Tabla3[[#This Row],[Cliente factura]],Tabla4[[NIT]:[TOTAL CREDITO]],6,FALSE),0)</f>
        <v>0</v>
      </c>
      <c r="S1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9" s="10" t="str">
        <f>VLOOKUP(Tabla3[[#This Row],[Razón social cliente factura]]&amp;Tabla3[[#This Row],[Desc. ciudad]],'Estandar de Rutas'!$C$1:$E$553,2,FALSE)</f>
        <v>5.1.A</v>
      </c>
      <c r="U1059" s="130">
        <f>IFERROR(VLOOKUP(Tabla3[[#This Row],[Referencia]]&amp;Tabla3[[#This Row],[Desc detalle ext 1]],Tabla1[[Referencia-Color]:[Disponibilidad]],3,FALSE),0)</f>
        <v>0</v>
      </c>
      <c r="V1059" s="13"/>
      <c r="W1059" s="17">
        <f>+Tabla3[[#This Row],[Cant. Programada]]*Tabla3[[#This Row],[Precio unit]]</f>
        <v>0</v>
      </c>
      <c r="X1059" s="8"/>
      <c r="Y1059" s="8"/>
      <c r="Z1059" s="8" t="str">
        <f>+Tabla3[[#This Row],[Referencia]]&amp;Tabla3[[#This Row],[Desc detalle ext 1]]</f>
        <v>CB 160F STD                                       ROJO SPOR</v>
      </c>
      <c r="AA1059" s="128" t="e">
        <f>+VLOOKUP(Tabla3[[#This Row],[CODIGO2]],ESTANDAR!$B$3:$C$9,2,FALSE)</f>
        <v>#N/A</v>
      </c>
      <c r="AB1059" s="128" t="str">
        <f>+MID(Tabla3[[#This Row],['# Viaje]],10,1)</f>
        <v/>
      </c>
    </row>
    <row r="1060" spans="1:28" ht="15" hidden="1" customHeight="1">
      <c r="A1060" s="173" t="s">
        <v>1676</v>
      </c>
      <c r="B1060" s="174">
        <v>42949</v>
      </c>
      <c r="C1060" s="173" t="s">
        <v>1231</v>
      </c>
      <c r="D1060" s="173" t="s">
        <v>1237</v>
      </c>
      <c r="E1060" s="173" t="s">
        <v>1232</v>
      </c>
      <c r="F1060" s="173">
        <v>1</v>
      </c>
      <c r="G1060" s="173" t="s">
        <v>9</v>
      </c>
      <c r="H1060" s="173">
        <v>1</v>
      </c>
      <c r="I1060" s="173" t="s">
        <v>1241</v>
      </c>
      <c r="J1060" s="173" t="s">
        <v>1234</v>
      </c>
      <c r="K1060" s="173" t="s">
        <v>44</v>
      </c>
      <c r="L1060" s="173"/>
      <c r="M1060" s="173" t="s">
        <v>256</v>
      </c>
      <c r="N1060" s="173">
        <v>900129262</v>
      </c>
      <c r="O1060" s="175">
        <v>5453782</v>
      </c>
      <c r="P1060" s="7"/>
      <c r="Q10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0" s="9">
        <f>+IFERROR(VLOOKUP(Tabla3[[#This Row],[Cliente factura]],Tabla4[[NIT]:[TOTAL CREDITO]],6,FALSE),0)</f>
        <v>0</v>
      </c>
      <c r="S1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0" s="10" t="str">
        <f>VLOOKUP(Tabla3[[#This Row],[Razón social cliente factura]]&amp;Tabla3[[#This Row],[Desc. ciudad]],'Estandar de Rutas'!$C$1:$E$553,2,FALSE)</f>
        <v>5.1.A</v>
      </c>
      <c r="U1060" s="130">
        <f>IFERROR(VLOOKUP(Tabla3[[#This Row],[Referencia]]&amp;Tabla3[[#This Row],[Desc detalle ext 1]],Tabla1[[Referencia-Color]:[Disponibilidad]],3,FALSE),0)</f>
        <v>1</v>
      </c>
      <c r="V1060" s="13"/>
      <c r="W1060" s="17">
        <f>+Tabla3[[#This Row],[Cant. Programada]]*Tabla3[[#This Row],[Precio unit]]</f>
        <v>0</v>
      </c>
      <c r="X1060" s="8"/>
      <c r="Y1060" s="8"/>
      <c r="Z1060" s="8" t="str">
        <f>+Tabla3[[#This Row],[Referencia]]&amp;Tabla3[[#This Row],[Desc detalle ext 1]]</f>
        <v>CB 160F STD                                       BLANCO PE</v>
      </c>
      <c r="AA1060" s="128" t="e">
        <f>+VLOOKUP(Tabla3[[#This Row],[CODIGO2]],ESTANDAR!$B$3:$C$9,2,FALSE)</f>
        <v>#N/A</v>
      </c>
      <c r="AB1060" s="128" t="str">
        <f>+MID(Tabla3[[#This Row],['# Viaje]],10,1)</f>
        <v/>
      </c>
    </row>
    <row r="1061" spans="1:28" ht="15" hidden="1" customHeight="1">
      <c r="A1061" s="173" t="s">
        <v>1676</v>
      </c>
      <c r="B1061" s="174">
        <v>42949</v>
      </c>
      <c r="C1061" s="173" t="s">
        <v>1231</v>
      </c>
      <c r="D1061" s="173" t="s">
        <v>1237</v>
      </c>
      <c r="E1061" s="173" t="s">
        <v>1232</v>
      </c>
      <c r="F1061" s="173">
        <v>3</v>
      </c>
      <c r="G1061" s="173" t="s">
        <v>9</v>
      </c>
      <c r="H1061" s="173">
        <v>3</v>
      </c>
      <c r="I1061" s="173" t="s">
        <v>1241</v>
      </c>
      <c r="J1061" s="173" t="s">
        <v>1451</v>
      </c>
      <c r="K1061" s="173" t="s">
        <v>1449</v>
      </c>
      <c r="L1061" s="173"/>
      <c r="M1061" s="173" t="s">
        <v>256</v>
      </c>
      <c r="N1061" s="173">
        <v>900129262</v>
      </c>
      <c r="O1061" s="175">
        <v>3696639</v>
      </c>
      <c r="P1061" s="7"/>
      <c r="Q10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1" s="9">
        <f>+IFERROR(VLOOKUP(Tabla3[[#This Row],[Cliente factura]],Tabla4[[NIT]:[TOTAL CREDITO]],6,FALSE),0)</f>
        <v>0</v>
      </c>
      <c r="S1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1" s="10" t="str">
        <f>VLOOKUP(Tabla3[[#This Row],[Razón social cliente factura]]&amp;Tabla3[[#This Row],[Desc. ciudad]],'Estandar de Rutas'!$C$1:$E$553,2,FALSE)</f>
        <v>5.1.A</v>
      </c>
      <c r="U1061" s="130">
        <f>IFERROR(VLOOKUP(Tabla3[[#This Row],[Referencia]]&amp;Tabla3[[#This Row],[Desc detalle ext 1]],Tabla1[[Referencia-Color]:[Disponibilidad]],3,FALSE),0)</f>
        <v>24</v>
      </c>
      <c r="V1061" s="13"/>
      <c r="W1061" s="17">
        <f>+Tabla3[[#This Row],[Cant. Programada]]*Tabla3[[#This Row],[Precio unit]]</f>
        <v>0</v>
      </c>
      <c r="X1061" s="8"/>
      <c r="Y1061" s="8"/>
      <c r="Z1061" s="8" t="str">
        <f>+Tabla3[[#This Row],[Referencia]]&amp;Tabla3[[#This Row],[Desc detalle ext 1]]</f>
        <v xml:space="preserve">CB 110 DLX                                        GRIS     </v>
      </c>
      <c r="AA1061" s="128" t="e">
        <f>+VLOOKUP(Tabla3[[#This Row],[CODIGO2]],ESTANDAR!$B$3:$C$9,2,FALSE)</f>
        <v>#N/A</v>
      </c>
      <c r="AB1061" s="128" t="str">
        <f>+MID(Tabla3[[#This Row],['# Viaje]],10,1)</f>
        <v/>
      </c>
    </row>
    <row r="1062" spans="1:28" ht="15" hidden="1" customHeight="1">
      <c r="A1062" s="173" t="s">
        <v>1676</v>
      </c>
      <c r="B1062" s="174">
        <v>42949</v>
      </c>
      <c r="C1062" s="173" t="s">
        <v>1231</v>
      </c>
      <c r="D1062" s="173" t="s">
        <v>1237</v>
      </c>
      <c r="E1062" s="173" t="s">
        <v>1232</v>
      </c>
      <c r="F1062" s="173">
        <v>6</v>
      </c>
      <c r="G1062" s="173" t="s">
        <v>9</v>
      </c>
      <c r="H1062" s="173">
        <v>6</v>
      </c>
      <c r="I1062" s="173" t="s">
        <v>1241</v>
      </c>
      <c r="J1062" s="173" t="s">
        <v>1451</v>
      </c>
      <c r="K1062" s="173" t="s">
        <v>1452</v>
      </c>
      <c r="L1062" s="173"/>
      <c r="M1062" s="173" t="s">
        <v>256</v>
      </c>
      <c r="N1062" s="173">
        <v>900129262</v>
      </c>
      <c r="O1062" s="175">
        <v>3696639</v>
      </c>
      <c r="P1062" s="7"/>
      <c r="Q10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2" s="9">
        <f>+IFERROR(VLOOKUP(Tabla3[[#This Row],[Cliente factura]],Tabla4[[NIT]:[TOTAL CREDITO]],6,FALSE),0)</f>
        <v>0</v>
      </c>
      <c r="S1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2" s="10" t="str">
        <f>VLOOKUP(Tabla3[[#This Row],[Razón social cliente factura]]&amp;Tabla3[[#This Row],[Desc. ciudad]],'Estandar de Rutas'!$C$1:$E$553,2,FALSE)</f>
        <v>5.1.A</v>
      </c>
      <c r="U1062" s="130">
        <f>IFERROR(VLOOKUP(Tabla3[[#This Row],[Referencia]]&amp;Tabla3[[#This Row],[Desc detalle ext 1]],Tabla1[[Referencia-Color]:[Disponibilidad]],3,FALSE),0)</f>
        <v>21</v>
      </c>
      <c r="V1062" s="13"/>
      <c r="W1062" s="17">
        <f>+Tabla3[[#This Row],[Cant. Programada]]*Tabla3[[#This Row],[Precio unit]]</f>
        <v>0</v>
      </c>
      <c r="X1062" s="8"/>
      <c r="Y1062" s="8"/>
      <c r="Z1062" s="8" t="str">
        <f>+Tabla3[[#This Row],[Referencia]]&amp;Tabla3[[#This Row],[Desc detalle ext 1]]</f>
        <v xml:space="preserve">CB 110 DLX                                        AZUL     </v>
      </c>
      <c r="AA1062" s="128" t="e">
        <f>+VLOOKUP(Tabla3[[#This Row],[CODIGO2]],ESTANDAR!$B$3:$C$9,2,FALSE)</f>
        <v>#N/A</v>
      </c>
      <c r="AB1062" s="128" t="str">
        <f>+MID(Tabla3[[#This Row],['# Viaje]],10,1)</f>
        <v/>
      </c>
    </row>
    <row r="1063" spans="1:28" ht="15" hidden="1" customHeight="1">
      <c r="A1063" s="173" t="s">
        <v>1676</v>
      </c>
      <c r="B1063" s="174">
        <v>42949</v>
      </c>
      <c r="C1063" s="173" t="s">
        <v>1231</v>
      </c>
      <c r="D1063" s="173" t="s">
        <v>1237</v>
      </c>
      <c r="E1063" s="173" t="s">
        <v>1232</v>
      </c>
      <c r="F1063" s="173">
        <v>10</v>
      </c>
      <c r="G1063" s="173" t="s">
        <v>9</v>
      </c>
      <c r="H1063" s="173">
        <v>10</v>
      </c>
      <c r="I1063" s="173" t="s">
        <v>1241</v>
      </c>
      <c r="J1063" s="173" t="s">
        <v>1451</v>
      </c>
      <c r="K1063" s="173" t="s">
        <v>16</v>
      </c>
      <c r="L1063" s="173"/>
      <c r="M1063" s="173" t="s">
        <v>256</v>
      </c>
      <c r="N1063" s="173">
        <v>900129262</v>
      </c>
      <c r="O1063" s="175">
        <v>3696639</v>
      </c>
      <c r="P1063" s="7"/>
      <c r="Q10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3" s="9">
        <f>+IFERROR(VLOOKUP(Tabla3[[#This Row],[Cliente factura]],Tabla4[[NIT]:[TOTAL CREDITO]],6,FALSE),0)</f>
        <v>0</v>
      </c>
      <c r="S1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3" s="10" t="str">
        <f>VLOOKUP(Tabla3[[#This Row],[Razón social cliente factura]]&amp;Tabla3[[#This Row],[Desc. ciudad]],'Estandar de Rutas'!$C$1:$E$553,2,FALSE)</f>
        <v>5.1.A</v>
      </c>
      <c r="U1063" s="130">
        <f>IFERROR(VLOOKUP(Tabla3[[#This Row],[Referencia]]&amp;Tabla3[[#This Row],[Desc detalle ext 1]],Tabla1[[Referencia-Color]:[Disponibilidad]],3,FALSE),0)</f>
        <v>3</v>
      </c>
      <c r="V1063" s="13"/>
      <c r="W1063" s="17">
        <f>+Tabla3[[#This Row],[Cant. Programada]]*Tabla3[[#This Row],[Precio unit]]</f>
        <v>0</v>
      </c>
      <c r="X1063" s="8"/>
      <c r="Y1063" s="8"/>
      <c r="Z1063" s="8" t="str">
        <f>+Tabla3[[#This Row],[Referencia]]&amp;Tabla3[[#This Row],[Desc detalle ext 1]]</f>
        <v xml:space="preserve">CB 110 DLX                                        NEGRO    </v>
      </c>
      <c r="AA1063" s="128" t="e">
        <f>+VLOOKUP(Tabla3[[#This Row],[CODIGO2]],ESTANDAR!$B$3:$C$9,2,FALSE)</f>
        <v>#N/A</v>
      </c>
      <c r="AB1063" s="128" t="str">
        <f>+MID(Tabla3[[#This Row],['# Viaje]],10,1)</f>
        <v/>
      </c>
    </row>
    <row r="1064" spans="1:28" ht="15" hidden="1" customHeight="1">
      <c r="A1064" s="173" t="s">
        <v>1677</v>
      </c>
      <c r="B1064" s="174">
        <v>42949</v>
      </c>
      <c r="C1064" s="173" t="s">
        <v>1231</v>
      </c>
      <c r="D1064" s="173" t="s">
        <v>1237</v>
      </c>
      <c r="E1064" s="173" t="s">
        <v>1232</v>
      </c>
      <c r="F1064" s="173">
        <v>2</v>
      </c>
      <c r="G1064" s="173" t="s">
        <v>9</v>
      </c>
      <c r="H1064" s="173">
        <v>2</v>
      </c>
      <c r="I1064" s="173" t="s">
        <v>1243</v>
      </c>
      <c r="J1064" s="173" t="s">
        <v>27</v>
      </c>
      <c r="K1064" s="173" t="s">
        <v>32</v>
      </c>
      <c r="L1064" s="173"/>
      <c r="M1064" s="173" t="s">
        <v>29</v>
      </c>
      <c r="N1064" s="173">
        <v>900129262</v>
      </c>
      <c r="O1064" s="175">
        <v>5789916</v>
      </c>
      <c r="P1064" s="7"/>
      <c r="Q10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4" s="9">
        <f>+IFERROR(VLOOKUP(Tabla3[[#This Row],[Cliente factura]],Tabla4[[NIT]:[TOTAL CREDITO]],6,FALSE),0)</f>
        <v>0</v>
      </c>
      <c r="S1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4" s="10" t="str">
        <f>VLOOKUP(Tabla3[[#This Row],[Razón social cliente factura]]&amp;Tabla3[[#This Row],[Desc. ciudad]],'Estandar de Rutas'!$C$1:$E$553,2,FALSE)</f>
        <v>5.1</v>
      </c>
      <c r="U1064" s="130">
        <f>IFERROR(VLOOKUP(Tabla3[[#This Row],[Referencia]]&amp;Tabla3[[#This Row],[Desc detalle ext 1]],Tabla1[[Referencia-Color]:[Disponibilidad]],3,FALSE),0)</f>
        <v>7</v>
      </c>
      <c r="V1064" s="13"/>
      <c r="W1064" s="17">
        <f>+Tabla3[[#This Row],[Cant. Programada]]*Tabla3[[#This Row],[Precio unit]]</f>
        <v>0</v>
      </c>
      <c r="X1064" s="8"/>
      <c r="Y1064" s="8"/>
      <c r="Z1064" s="8" t="str">
        <f>+Tabla3[[#This Row],[Referencia]]&amp;Tabla3[[#This Row],[Desc detalle ext 1]]</f>
        <v>*XR 150L                                          NEGRO ROJ</v>
      </c>
      <c r="AA1064" s="128" t="e">
        <f>+VLOOKUP(Tabla3[[#This Row],[CODIGO2]],ESTANDAR!$B$3:$C$9,2,FALSE)</f>
        <v>#N/A</v>
      </c>
      <c r="AB1064" s="128" t="str">
        <f>+MID(Tabla3[[#This Row],['# Viaje]],10,1)</f>
        <v/>
      </c>
    </row>
    <row r="1065" spans="1:28" ht="15" hidden="1" customHeight="1">
      <c r="A1065" s="173" t="s">
        <v>1677</v>
      </c>
      <c r="B1065" s="174">
        <v>42949</v>
      </c>
      <c r="C1065" s="173" t="s">
        <v>1231</v>
      </c>
      <c r="D1065" s="173" t="s">
        <v>1237</v>
      </c>
      <c r="E1065" s="173" t="s">
        <v>1232</v>
      </c>
      <c r="F1065" s="173">
        <v>2</v>
      </c>
      <c r="G1065" s="173" t="s">
        <v>9</v>
      </c>
      <c r="H1065" s="173">
        <v>2</v>
      </c>
      <c r="I1065" s="173" t="s">
        <v>1243</v>
      </c>
      <c r="J1065" s="173" t="s">
        <v>27</v>
      </c>
      <c r="K1065" s="173" t="s">
        <v>26</v>
      </c>
      <c r="L1065" s="173"/>
      <c r="M1065" s="173" t="s">
        <v>29</v>
      </c>
      <c r="N1065" s="173">
        <v>900129262</v>
      </c>
      <c r="O1065" s="175">
        <v>5789916</v>
      </c>
      <c r="P1065" s="7"/>
      <c r="Q10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5" s="9">
        <f>+IFERROR(VLOOKUP(Tabla3[[#This Row],[Cliente factura]],Tabla4[[NIT]:[TOTAL CREDITO]],6,FALSE),0)</f>
        <v>0</v>
      </c>
      <c r="S1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5" s="10" t="str">
        <f>VLOOKUP(Tabla3[[#This Row],[Razón social cliente factura]]&amp;Tabla3[[#This Row],[Desc. ciudad]],'Estandar de Rutas'!$C$1:$E$553,2,FALSE)</f>
        <v>5.1</v>
      </c>
      <c r="U1065" s="130">
        <f>IFERROR(VLOOKUP(Tabla3[[#This Row],[Referencia]]&amp;Tabla3[[#This Row],[Desc detalle ext 1]],Tabla1[[Referencia-Color]:[Disponibilidad]],3,FALSE),0)</f>
        <v>59</v>
      </c>
      <c r="V1065" s="13"/>
      <c r="W1065" s="17">
        <f>+Tabla3[[#This Row],[Cant. Programada]]*Tabla3[[#This Row],[Precio unit]]</f>
        <v>0</v>
      </c>
      <c r="X1065" s="8"/>
      <c r="Y1065" s="8"/>
      <c r="Z1065" s="8" t="str">
        <f>+Tabla3[[#This Row],[Referencia]]&amp;Tabla3[[#This Row],[Desc detalle ext 1]]</f>
        <v>*XR 150L                                          NEGRO BLA</v>
      </c>
      <c r="AA1065" s="128" t="e">
        <f>+VLOOKUP(Tabla3[[#This Row],[CODIGO2]],ESTANDAR!$B$3:$C$9,2,FALSE)</f>
        <v>#N/A</v>
      </c>
      <c r="AB1065" s="128" t="str">
        <f>+MID(Tabla3[[#This Row],['# Viaje]],10,1)</f>
        <v/>
      </c>
    </row>
    <row r="1066" spans="1:28" ht="15" hidden="1" customHeight="1">
      <c r="A1066" s="173" t="s">
        <v>1677</v>
      </c>
      <c r="B1066" s="174">
        <v>42949</v>
      </c>
      <c r="C1066" s="173" t="s">
        <v>1231</v>
      </c>
      <c r="D1066" s="173" t="s">
        <v>1237</v>
      </c>
      <c r="E1066" s="173" t="s">
        <v>1232</v>
      </c>
      <c r="F1066" s="173">
        <v>2</v>
      </c>
      <c r="G1066" s="173" t="s">
        <v>9</v>
      </c>
      <c r="H1066" s="173">
        <v>2</v>
      </c>
      <c r="I1066" s="173" t="s">
        <v>1243</v>
      </c>
      <c r="J1066" s="173" t="s">
        <v>27</v>
      </c>
      <c r="K1066" s="173" t="s">
        <v>16</v>
      </c>
      <c r="L1066" s="173"/>
      <c r="M1066" s="173" t="s">
        <v>29</v>
      </c>
      <c r="N1066" s="173">
        <v>900129262</v>
      </c>
      <c r="O1066" s="175">
        <v>5789916</v>
      </c>
      <c r="P1066" s="7"/>
      <c r="Q10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6" s="9">
        <f>+IFERROR(VLOOKUP(Tabla3[[#This Row],[Cliente factura]],Tabla4[[NIT]:[TOTAL CREDITO]],6,FALSE),0)</f>
        <v>0</v>
      </c>
      <c r="S1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6" s="10" t="str">
        <f>VLOOKUP(Tabla3[[#This Row],[Razón social cliente factura]]&amp;Tabla3[[#This Row],[Desc. ciudad]],'Estandar de Rutas'!$C$1:$E$553,2,FALSE)</f>
        <v>5.1</v>
      </c>
      <c r="U1066" s="130">
        <f>IFERROR(VLOOKUP(Tabla3[[#This Row],[Referencia]]&amp;Tabla3[[#This Row],[Desc detalle ext 1]],Tabla1[[Referencia-Color]:[Disponibilidad]],3,FALSE),0)</f>
        <v>3</v>
      </c>
      <c r="V1066" s="13"/>
      <c r="W1066" s="17">
        <f>+Tabla3[[#This Row],[Cant. Programada]]*Tabla3[[#This Row],[Precio unit]]</f>
        <v>0</v>
      </c>
      <c r="X1066" s="8"/>
      <c r="Y1066" s="8"/>
      <c r="Z1066" s="8" t="str">
        <f>+Tabla3[[#This Row],[Referencia]]&amp;Tabla3[[#This Row],[Desc detalle ext 1]]</f>
        <v xml:space="preserve">*XR 150L                                          NEGRO    </v>
      </c>
      <c r="AA1066" s="128" t="e">
        <f>+VLOOKUP(Tabla3[[#This Row],[CODIGO2]],ESTANDAR!$B$3:$C$9,2,FALSE)</f>
        <v>#N/A</v>
      </c>
      <c r="AB1066" s="128" t="str">
        <f>+MID(Tabla3[[#This Row],['# Viaje]],10,1)</f>
        <v/>
      </c>
    </row>
    <row r="1067" spans="1:28" ht="15" hidden="1" customHeight="1">
      <c r="A1067" s="173" t="s">
        <v>1677</v>
      </c>
      <c r="B1067" s="174">
        <v>42949</v>
      </c>
      <c r="C1067" s="173" t="s">
        <v>1231</v>
      </c>
      <c r="D1067" s="173" t="s">
        <v>1237</v>
      </c>
      <c r="E1067" s="173" t="s">
        <v>1232</v>
      </c>
      <c r="F1067" s="173">
        <v>1</v>
      </c>
      <c r="G1067" s="173" t="s">
        <v>9</v>
      </c>
      <c r="H1067" s="173">
        <v>1</v>
      </c>
      <c r="I1067" s="173" t="s">
        <v>1243</v>
      </c>
      <c r="J1067" s="173" t="s">
        <v>10</v>
      </c>
      <c r="K1067" s="173" t="s">
        <v>11</v>
      </c>
      <c r="L1067" s="173"/>
      <c r="M1067" s="173" t="s">
        <v>29</v>
      </c>
      <c r="N1067" s="173">
        <v>900129262</v>
      </c>
      <c r="O1067" s="175">
        <v>7554622</v>
      </c>
      <c r="P1067" s="7"/>
      <c r="Q10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7" s="9">
        <f>+IFERROR(VLOOKUP(Tabla3[[#This Row],[Cliente factura]],Tabla4[[NIT]:[TOTAL CREDITO]],6,FALSE),0)</f>
        <v>0</v>
      </c>
      <c r="S1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7" s="10" t="str">
        <f>VLOOKUP(Tabla3[[#This Row],[Razón social cliente factura]]&amp;Tabla3[[#This Row],[Desc. ciudad]],'Estandar de Rutas'!$C$1:$E$553,2,FALSE)</f>
        <v>5.1</v>
      </c>
      <c r="U1067" s="130">
        <f>IFERROR(VLOOKUP(Tabla3[[#This Row],[Referencia]]&amp;Tabla3[[#This Row],[Desc detalle ext 1]],Tabla1[[Referencia-Color]:[Disponibilidad]],3,FALSE),0)</f>
        <v>0</v>
      </c>
      <c r="V1067" s="13"/>
      <c r="W1067" s="17">
        <f>+Tabla3[[#This Row],[Cant. Programada]]*Tabla3[[#This Row],[Precio unit]]</f>
        <v>0</v>
      </c>
      <c r="X1067" s="8"/>
      <c r="Y1067" s="8"/>
      <c r="Z1067" s="8" t="str">
        <f>+Tabla3[[#This Row],[Referencia]]&amp;Tabla3[[#This Row],[Desc detalle ext 1]]</f>
        <v>CB 190R                                           NEGRO ONI</v>
      </c>
      <c r="AA1067" s="128" t="e">
        <f>+VLOOKUP(Tabla3[[#This Row],[CODIGO2]],ESTANDAR!$B$3:$C$9,2,FALSE)</f>
        <v>#N/A</v>
      </c>
      <c r="AB1067" s="128" t="str">
        <f>+MID(Tabla3[[#This Row],['# Viaje]],10,1)</f>
        <v/>
      </c>
    </row>
    <row r="1068" spans="1:28" ht="15" hidden="1" customHeight="1">
      <c r="A1068" s="173" t="s">
        <v>1677</v>
      </c>
      <c r="B1068" s="174">
        <v>42949</v>
      </c>
      <c r="C1068" s="173" t="s">
        <v>1231</v>
      </c>
      <c r="D1068" s="173" t="s">
        <v>1237</v>
      </c>
      <c r="E1068" s="173" t="s">
        <v>1232</v>
      </c>
      <c r="F1068" s="173">
        <v>2</v>
      </c>
      <c r="G1068" s="173" t="s">
        <v>9</v>
      </c>
      <c r="H1068" s="173">
        <v>2</v>
      </c>
      <c r="I1068" s="173" t="s">
        <v>1243</v>
      </c>
      <c r="J1068" s="173" t="s">
        <v>354</v>
      </c>
      <c r="K1068" s="173" t="s">
        <v>355</v>
      </c>
      <c r="L1068" s="173"/>
      <c r="M1068" s="173" t="s">
        <v>29</v>
      </c>
      <c r="N1068" s="173">
        <v>900129262</v>
      </c>
      <c r="O1068" s="175">
        <v>6133613</v>
      </c>
      <c r="P1068" s="7"/>
      <c r="Q10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8" s="9">
        <f>+IFERROR(VLOOKUP(Tabla3[[#This Row],[Cliente factura]],Tabla4[[NIT]:[TOTAL CREDITO]],6,FALSE),0)</f>
        <v>0</v>
      </c>
      <c r="S1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8" s="10" t="str">
        <f>VLOOKUP(Tabla3[[#This Row],[Razón social cliente factura]]&amp;Tabla3[[#This Row],[Desc. ciudad]],'Estandar de Rutas'!$C$1:$E$553,2,FALSE)</f>
        <v>5.1</v>
      </c>
      <c r="U1068" s="130">
        <f>IFERROR(VLOOKUP(Tabla3[[#This Row],[Referencia]]&amp;Tabla3[[#This Row],[Desc detalle ext 1]],Tabla1[[Referencia-Color]:[Disponibilidad]],3,FALSE),0)</f>
        <v>0</v>
      </c>
      <c r="V1068" s="13"/>
      <c r="W1068" s="17">
        <f>+Tabla3[[#This Row],[Cant. Programada]]*Tabla3[[#This Row],[Precio unit]]</f>
        <v>0</v>
      </c>
      <c r="X1068" s="8"/>
      <c r="Y1068" s="8"/>
      <c r="Z1068" s="8" t="str">
        <f>+Tabla3[[#This Row],[Referencia]]&amp;Tabla3[[#This Row],[Desc detalle ext 1]]</f>
        <v>CB 160F DLX                                       NEGRO PER</v>
      </c>
      <c r="AA1068" s="128" t="e">
        <f>+VLOOKUP(Tabla3[[#This Row],[CODIGO2]],ESTANDAR!$B$3:$C$9,2,FALSE)</f>
        <v>#N/A</v>
      </c>
      <c r="AB1068" s="128" t="str">
        <f>+MID(Tabla3[[#This Row],['# Viaje]],10,1)</f>
        <v/>
      </c>
    </row>
    <row r="1069" spans="1:28" ht="15" hidden="1" customHeight="1">
      <c r="A1069" s="173" t="s">
        <v>1677</v>
      </c>
      <c r="B1069" s="174">
        <v>42949</v>
      </c>
      <c r="C1069" s="173" t="s">
        <v>1231</v>
      </c>
      <c r="D1069" s="173" t="s">
        <v>1237</v>
      </c>
      <c r="E1069" s="173" t="s">
        <v>1232</v>
      </c>
      <c r="F1069" s="173">
        <v>2</v>
      </c>
      <c r="G1069" s="173" t="s">
        <v>9</v>
      </c>
      <c r="H1069" s="173">
        <v>2</v>
      </c>
      <c r="I1069" s="173" t="s">
        <v>1243</v>
      </c>
      <c r="J1069" s="173" t="s">
        <v>1433</v>
      </c>
      <c r="K1069" s="173" t="s">
        <v>1431</v>
      </c>
      <c r="L1069" s="173"/>
      <c r="M1069" s="173" t="s">
        <v>29</v>
      </c>
      <c r="N1069" s="173">
        <v>900129262</v>
      </c>
      <c r="O1069" s="175">
        <v>3521008</v>
      </c>
      <c r="P1069" s="7"/>
      <c r="Q10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9" s="9">
        <f>+IFERROR(VLOOKUP(Tabla3[[#This Row],[Cliente factura]],Tabla4[[NIT]:[TOTAL CREDITO]],6,FALSE),0)</f>
        <v>0</v>
      </c>
      <c r="S1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9" s="10" t="str">
        <f>VLOOKUP(Tabla3[[#This Row],[Razón social cliente factura]]&amp;Tabla3[[#This Row],[Desc. ciudad]],'Estandar de Rutas'!$C$1:$E$553,2,FALSE)</f>
        <v>5.1</v>
      </c>
      <c r="U1069" s="130">
        <f>IFERROR(VLOOKUP(Tabla3[[#This Row],[Referencia]]&amp;Tabla3[[#This Row],[Desc detalle ext 1]],Tabla1[[Referencia-Color]:[Disponibilidad]],3,FALSE),0)</f>
        <v>0</v>
      </c>
      <c r="V1069" s="13"/>
      <c r="W1069" s="17">
        <f>+Tabla3[[#This Row],[Cant. Programada]]*Tabla3[[#This Row],[Precio unit]]</f>
        <v>0</v>
      </c>
      <c r="X1069" s="8"/>
      <c r="Y1069" s="8"/>
      <c r="Z1069" s="8" t="str">
        <f>+Tabla3[[#This Row],[Referencia]]&amp;Tabla3[[#This Row],[Desc detalle ext 1]]</f>
        <v xml:space="preserve">DIO  110                                          ROJO     </v>
      </c>
      <c r="AA1069" s="128" t="e">
        <f>+VLOOKUP(Tabla3[[#This Row],[CODIGO2]],ESTANDAR!$B$3:$C$9,2,FALSE)</f>
        <v>#N/A</v>
      </c>
      <c r="AB1069" s="128" t="str">
        <f>+MID(Tabla3[[#This Row],['# Viaje]],10,1)</f>
        <v/>
      </c>
    </row>
    <row r="1070" spans="1:28" ht="15" hidden="1" customHeight="1">
      <c r="A1070" s="173" t="s">
        <v>1677</v>
      </c>
      <c r="B1070" s="174">
        <v>42949</v>
      </c>
      <c r="C1070" s="173" t="s">
        <v>1231</v>
      </c>
      <c r="D1070" s="173" t="s">
        <v>1237</v>
      </c>
      <c r="E1070" s="173" t="s">
        <v>1232</v>
      </c>
      <c r="F1070" s="173">
        <v>1</v>
      </c>
      <c r="G1070" s="173" t="s">
        <v>9</v>
      </c>
      <c r="H1070" s="173">
        <v>1</v>
      </c>
      <c r="I1070" s="173" t="s">
        <v>1243</v>
      </c>
      <c r="J1070" s="173" t="s">
        <v>1428</v>
      </c>
      <c r="K1070" s="173" t="s">
        <v>1461</v>
      </c>
      <c r="L1070" s="173"/>
      <c r="M1070" s="173" t="s">
        <v>29</v>
      </c>
      <c r="N1070" s="173">
        <v>900129262</v>
      </c>
      <c r="O1070" s="175">
        <v>3067227</v>
      </c>
      <c r="P1070" s="7"/>
      <c r="Q10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0" s="9">
        <f>+IFERROR(VLOOKUP(Tabla3[[#This Row],[Cliente factura]],Tabla4[[NIT]:[TOTAL CREDITO]],6,FALSE),0)</f>
        <v>0</v>
      </c>
      <c r="S1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0" s="10" t="str">
        <f>VLOOKUP(Tabla3[[#This Row],[Razón social cliente factura]]&amp;Tabla3[[#This Row],[Desc. ciudad]],'Estandar de Rutas'!$C$1:$E$553,2,FALSE)</f>
        <v>5.1</v>
      </c>
      <c r="U1070" s="130">
        <f>IFERROR(VLOOKUP(Tabla3[[#This Row],[Referencia]]&amp;Tabla3[[#This Row],[Desc detalle ext 1]],Tabla1[[Referencia-Color]:[Disponibilidad]],3,FALSE),0)</f>
        <v>0</v>
      </c>
      <c r="V1070" s="13"/>
      <c r="W1070" s="17">
        <f>+Tabla3[[#This Row],[Cant. Programada]]*Tabla3[[#This Row],[Precio unit]]</f>
        <v>0</v>
      </c>
      <c r="X1070" s="8"/>
      <c r="Y1070" s="8"/>
      <c r="Z1070" s="8" t="str">
        <f>+Tabla3[[#This Row],[Referencia]]&amp;Tabla3[[#This Row],[Desc detalle ext 1]]</f>
        <v>DREAM  NEO                                        ROJO ALFA</v>
      </c>
      <c r="AA1070" s="128" t="e">
        <f>+VLOOKUP(Tabla3[[#This Row],[CODIGO2]],ESTANDAR!$B$3:$C$9,2,FALSE)</f>
        <v>#N/A</v>
      </c>
      <c r="AB1070" s="128" t="str">
        <f>+MID(Tabla3[[#This Row],['# Viaje]],10,1)</f>
        <v/>
      </c>
    </row>
    <row r="1071" spans="1:28" ht="15" hidden="1" customHeight="1">
      <c r="A1071" s="173" t="s">
        <v>1677</v>
      </c>
      <c r="B1071" s="174">
        <v>42949</v>
      </c>
      <c r="C1071" s="173" t="s">
        <v>1231</v>
      </c>
      <c r="D1071" s="173" t="s">
        <v>1237</v>
      </c>
      <c r="E1071" s="173" t="s">
        <v>1232</v>
      </c>
      <c r="F1071" s="173">
        <v>1</v>
      </c>
      <c r="G1071" s="173" t="s">
        <v>9</v>
      </c>
      <c r="H1071" s="173">
        <v>1</v>
      </c>
      <c r="I1071" s="173" t="s">
        <v>1243</v>
      </c>
      <c r="J1071" s="173" t="s">
        <v>1428</v>
      </c>
      <c r="K1071" s="173" t="s">
        <v>1429</v>
      </c>
      <c r="L1071" s="173"/>
      <c r="M1071" s="173" t="s">
        <v>29</v>
      </c>
      <c r="N1071" s="173">
        <v>900129262</v>
      </c>
      <c r="O1071" s="175">
        <v>3067227</v>
      </c>
      <c r="P1071" s="7"/>
      <c r="Q10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1" s="9">
        <f>+IFERROR(VLOOKUP(Tabla3[[#This Row],[Cliente factura]],Tabla4[[NIT]:[TOTAL CREDITO]],6,FALSE),0)</f>
        <v>0</v>
      </c>
      <c r="S1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1" s="10" t="str">
        <f>VLOOKUP(Tabla3[[#This Row],[Razón social cliente factura]]&amp;Tabla3[[#This Row],[Desc. ciudad]],'Estandar de Rutas'!$C$1:$E$553,2,FALSE)</f>
        <v>5.1</v>
      </c>
      <c r="U1071" s="130">
        <f>IFERROR(VLOOKUP(Tabla3[[#This Row],[Referencia]]&amp;Tabla3[[#This Row],[Desc detalle ext 1]],Tabla1[[Referencia-Color]:[Disponibilidad]],3,FALSE),0)</f>
        <v>0</v>
      </c>
      <c r="V1071" s="13"/>
      <c r="W1071" s="17">
        <f>+Tabla3[[#This Row],[Cant. Programada]]*Tabla3[[#This Row],[Precio unit]]</f>
        <v>0</v>
      </c>
      <c r="X1071" s="8"/>
      <c r="Y1071" s="8"/>
      <c r="Z1071" s="8" t="str">
        <f>+Tabla3[[#This Row],[Referencia]]&amp;Tabla3[[#This Row],[Desc detalle ext 1]]</f>
        <v>DREAM  NEO                                        NEGRO AZU</v>
      </c>
      <c r="AA1071" s="128" t="e">
        <f>+VLOOKUP(Tabla3[[#This Row],[CODIGO2]],ESTANDAR!$B$3:$C$9,2,FALSE)</f>
        <v>#N/A</v>
      </c>
      <c r="AB1071" s="128" t="str">
        <f>+MID(Tabla3[[#This Row],['# Viaje]],10,1)</f>
        <v/>
      </c>
    </row>
    <row r="1072" spans="1:28" ht="15" hidden="1" customHeight="1">
      <c r="A1072" s="173" t="s">
        <v>1677</v>
      </c>
      <c r="B1072" s="174">
        <v>42949</v>
      </c>
      <c r="C1072" s="173" t="s">
        <v>1231</v>
      </c>
      <c r="D1072" s="173" t="s">
        <v>1237</v>
      </c>
      <c r="E1072" s="173" t="s">
        <v>1232</v>
      </c>
      <c r="F1072" s="173">
        <v>1</v>
      </c>
      <c r="G1072" s="173" t="s">
        <v>9</v>
      </c>
      <c r="H1072" s="173">
        <v>1</v>
      </c>
      <c r="I1072" s="173" t="s">
        <v>1243</v>
      </c>
      <c r="J1072" s="173" t="s">
        <v>1451</v>
      </c>
      <c r="K1072" s="173" t="s">
        <v>1449</v>
      </c>
      <c r="L1072" s="173"/>
      <c r="M1072" s="173" t="s">
        <v>29</v>
      </c>
      <c r="N1072" s="173">
        <v>900129262</v>
      </c>
      <c r="O1072" s="175">
        <v>3696639</v>
      </c>
      <c r="P1072" s="7"/>
      <c r="Q10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2" s="9">
        <f>+IFERROR(VLOOKUP(Tabla3[[#This Row],[Cliente factura]],Tabla4[[NIT]:[TOTAL CREDITO]],6,FALSE),0)</f>
        <v>0</v>
      </c>
      <c r="S1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2" s="10" t="str">
        <f>VLOOKUP(Tabla3[[#This Row],[Razón social cliente factura]]&amp;Tabla3[[#This Row],[Desc. ciudad]],'Estandar de Rutas'!$C$1:$E$553,2,FALSE)</f>
        <v>5.1</v>
      </c>
      <c r="U1072" s="130">
        <f>IFERROR(VLOOKUP(Tabla3[[#This Row],[Referencia]]&amp;Tabla3[[#This Row],[Desc detalle ext 1]],Tabla1[[Referencia-Color]:[Disponibilidad]],3,FALSE),0)</f>
        <v>24</v>
      </c>
      <c r="V1072" s="13"/>
      <c r="W1072" s="17">
        <f>+Tabla3[[#This Row],[Cant. Programada]]*Tabla3[[#This Row],[Precio unit]]</f>
        <v>0</v>
      </c>
      <c r="X1072" s="8"/>
      <c r="Y1072" s="8"/>
      <c r="Z1072" s="8" t="str">
        <f>+Tabla3[[#This Row],[Referencia]]&amp;Tabla3[[#This Row],[Desc detalle ext 1]]</f>
        <v xml:space="preserve">CB 110 DLX                                        GRIS     </v>
      </c>
      <c r="AA1072" s="128" t="e">
        <f>+VLOOKUP(Tabla3[[#This Row],[CODIGO2]],ESTANDAR!$B$3:$C$9,2,FALSE)</f>
        <v>#N/A</v>
      </c>
      <c r="AB1072" s="128" t="str">
        <f>+MID(Tabla3[[#This Row],['# Viaje]],10,1)</f>
        <v/>
      </c>
    </row>
    <row r="1073" spans="1:28" ht="15" hidden="1" customHeight="1">
      <c r="A1073" s="173" t="s">
        <v>1678</v>
      </c>
      <c r="B1073" s="174">
        <v>42949</v>
      </c>
      <c r="C1073" s="173" t="s">
        <v>1231</v>
      </c>
      <c r="D1073" s="173" t="s">
        <v>1237</v>
      </c>
      <c r="E1073" s="173" t="s">
        <v>1479</v>
      </c>
      <c r="F1073" s="173">
        <v>10</v>
      </c>
      <c r="G1073" s="173" t="s">
        <v>69</v>
      </c>
      <c r="H1073" s="173">
        <v>4</v>
      </c>
      <c r="I1073" s="173" t="s">
        <v>1563</v>
      </c>
      <c r="J1073" s="173" t="s">
        <v>14</v>
      </c>
      <c r="K1073" s="173" t="s">
        <v>16</v>
      </c>
      <c r="L1073" s="173">
        <v>42950</v>
      </c>
      <c r="M1073" s="173" t="s">
        <v>210</v>
      </c>
      <c r="N1073" s="173">
        <v>18125225</v>
      </c>
      <c r="O1073" s="175">
        <v>3360504</v>
      </c>
      <c r="P1073" s="7"/>
      <c r="Q1073" s="16">
        <f>+IF(IFERROR(VLOOKUP(Tabla3[[#This Row],[Cliente factura]],Tabla4[[NIT]:[TOTAL CREDITO]],3,FALSE),0)="",0,IFERROR(VLOOKUP(Tabla3[[#This Row],[Cliente factura]],Tabla4[[NIT]:[TOTAL CREDITO]],3,FALSE),0))</f>
        <v>264217093</v>
      </c>
      <c r="R1073" s="9">
        <f>+IFERROR(VLOOKUP(Tabla3[[#This Row],[Cliente factura]],Tabla4[[NIT]:[TOTAL CREDITO]],6,FALSE),0)</f>
        <v>852000000</v>
      </c>
      <c r="S1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3" s="10" t="str">
        <f>VLOOKUP(Tabla3[[#This Row],[Razón social cliente factura]]&amp;Tabla3[[#This Row],[Desc. ciudad]],'Estandar de Rutas'!$C$1:$E$553,2,FALSE)</f>
        <v>5.2.B</v>
      </c>
      <c r="U1073" s="130">
        <f>IFERROR(VLOOKUP(Tabla3[[#This Row],[Referencia]]&amp;Tabla3[[#This Row],[Desc detalle ext 1]],Tabla1[[Referencia-Color]:[Disponibilidad]],3,FALSE),0)</f>
        <v>83</v>
      </c>
      <c r="V1073" s="13"/>
      <c r="W1073" s="17">
        <f>+Tabla3[[#This Row],[Cant. Programada]]*Tabla3[[#This Row],[Precio unit]]</f>
        <v>0</v>
      </c>
      <c r="X1073" s="8"/>
      <c r="Y1073" s="8"/>
      <c r="Z1073" s="8" t="str">
        <f>+Tabla3[[#This Row],[Referencia]]&amp;Tabla3[[#This Row],[Desc detalle ext 1]]</f>
        <v xml:space="preserve">*CB-110                                           NEGRO    </v>
      </c>
      <c r="AA1073" s="128" t="e">
        <f>+VLOOKUP(Tabla3[[#This Row],[CODIGO2]],ESTANDAR!$B$3:$C$9,2,FALSE)</f>
        <v>#N/A</v>
      </c>
      <c r="AB1073" s="128" t="str">
        <f>+MID(Tabla3[[#This Row],['# Viaje]],10,1)</f>
        <v/>
      </c>
    </row>
    <row r="1074" spans="1:28" ht="15" hidden="1" customHeight="1">
      <c r="A1074" s="173" t="s">
        <v>1679</v>
      </c>
      <c r="B1074" s="174">
        <v>42949</v>
      </c>
      <c r="C1074" s="173" t="s">
        <v>1231</v>
      </c>
      <c r="D1074" s="173" t="s">
        <v>1237</v>
      </c>
      <c r="E1074" s="173" t="s">
        <v>1232</v>
      </c>
      <c r="F1074" s="173">
        <v>1</v>
      </c>
      <c r="G1074" s="173" t="s">
        <v>37</v>
      </c>
      <c r="H1074" s="173">
        <v>1</v>
      </c>
      <c r="I1074" s="173" t="s">
        <v>1239</v>
      </c>
      <c r="J1074" s="173" t="s">
        <v>1421</v>
      </c>
      <c r="K1074" s="173" t="s">
        <v>16</v>
      </c>
      <c r="L1074" s="173"/>
      <c r="M1074" s="173" t="s">
        <v>148</v>
      </c>
      <c r="N1074" s="173">
        <v>890705341</v>
      </c>
      <c r="O1074" s="175">
        <v>11496063</v>
      </c>
      <c r="P1074" s="7"/>
      <c r="Q1074" s="16">
        <f>+IF(IFERROR(VLOOKUP(Tabla3[[#This Row],[Cliente factura]],Tabla4[[NIT]:[TOTAL CREDITO]],3,FALSE),0)="",0,IFERROR(VLOOKUP(Tabla3[[#This Row],[Cliente factura]],Tabla4[[NIT]:[TOTAL CREDITO]],3,FALSE),0))</f>
        <v>68342860</v>
      </c>
      <c r="R1074" s="9">
        <f>+IFERROR(VLOOKUP(Tabla3[[#This Row],[Cliente factura]],Tabla4[[NIT]:[TOTAL CREDITO]],6,FALSE),0)</f>
        <v>0</v>
      </c>
      <c r="S1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4" s="10" t="str">
        <f>VLOOKUP(Tabla3[[#This Row],[Razón social cliente factura]]&amp;Tabla3[[#This Row],[Desc. ciudad]],'Estandar de Rutas'!$C$1:$E$553,2,FALSE)</f>
        <v>5.0</v>
      </c>
      <c r="U1074" s="130">
        <f>IFERROR(VLOOKUP(Tabla3[[#This Row],[Referencia]]&amp;Tabla3[[#This Row],[Desc detalle ext 1]],Tabla1[[Referencia-Color]:[Disponibilidad]],3,FALSE),0)</f>
        <v>0</v>
      </c>
      <c r="V1074" s="13"/>
      <c r="W1074" s="17">
        <f>+Tabla3[[#This Row],[Cant. Programada]]*Tabla3[[#This Row],[Precio unit]]</f>
        <v>0</v>
      </c>
      <c r="X1074" s="8"/>
      <c r="Y1074" s="8"/>
      <c r="Z1074" s="8" t="str">
        <f>+Tabla3[[#This Row],[Referencia]]&amp;Tabla3[[#This Row],[Desc detalle ext 1]]</f>
        <v xml:space="preserve">*XR-250 TORNADO pt MD34                           NEGRO    </v>
      </c>
      <c r="AA1074" s="128" t="e">
        <f>+VLOOKUP(Tabla3[[#This Row],[CODIGO2]],ESTANDAR!$B$3:$C$9,2,FALSE)</f>
        <v>#N/A</v>
      </c>
      <c r="AB1074" s="128" t="str">
        <f>+MID(Tabla3[[#This Row],['# Viaje]],10,1)</f>
        <v/>
      </c>
    </row>
    <row r="1075" spans="1:28" ht="15" hidden="1" customHeight="1">
      <c r="A1075" s="173" t="s">
        <v>1679</v>
      </c>
      <c r="B1075" s="174">
        <v>42949</v>
      </c>
      <c r="C1075" s="173" t="s">
        <v>1231</v>
      </c>
      <c r="D1075" s="173" t="s">
        <v>1237</v>
      </c>
      <c r="E1075" s="173" t="s">
        <v>1232</v>
      </c>
      <c r="F1075" s="173">
        <v>3</v>
      </c>
      <c r="G1075" s="173" t="s">
        <v>37</v>
      </c>
      <c r="H1075" s="173">
        <v>3</v>
      </c>
      <c r="I1075" s="173" t="s">
        <v>1239</v>
      </c>
      <c r="J1075" s="173" t="s">
        <v>27</v>
      </c>
      <c r="K1075" s="173" t="s">
        <v>26</v>
      </c>
      <c r="L1075" s="173"/>
      <c r="M1075" s="173" t="s">
        <v>148</v>
      </c>
      <c r="N1075" s="173">
        <v>890705341</v>
      </c>
      <c r="O1075" s="175">
        <v>5789916</v>
      </c>
      <c r="P1075" s="7"/>
      <c r="Q1075" s="16">
        <f>+IF(IFERROR(VLOOKUP(Tabla3[[#This Row],[Cliente factura]],Tabla4[[NIT]:[TOTAL CREDITO]],3,FALSE),0)="",0,IFERROR(VLOOKUP(Tabla3[[#This Row],[Cliente factura]],Tabla4[[NIT]:[TOTAL CREDITO]],3,FALSE),0))</f>
        <v>68342860</v>
      </c>
      <c r="R1075" s="9">
        <f>+IFERROR(VLOOKUP(Tabla3[[#This Row],[Cliente factura]],Tabla4[[NIT]:[TOTAL CREDITO]],6,FALSE),0)</f>
        <v>0</v>
      </c>
      <c r="S1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5" s="10" t="str">
        <f>VLOOKUP(Tabla3[[#This Row],[Razón social cliente factura]]&amp;Tabla3[[#This Row],[Desc. ciudad]],'Estandar de Rutas'!$C$1:$E$553,2,FALSE)</f>
        <v>5.0</v>
      </c>
      <c r="U1075" s="130">
        <f>IFERROR(VLOOKUP(Tabla3[[#This Row],[Referencia]]&amp;Tabla3[[#This Row],[Desc detalle ext 1]],Tabla1[[Referencia-Color]:[Disponibilidad]],3,FALSE),0)</f>
        <v>59</v>
      </c>
      <c r="V1075" s="13"/>
      <c r="W1075" s="17">
        <f>+Tabla3[[#This Row],[Cant. Programada]]*Tabla3[[#This Row],[Precio unit]]</f>
        <v>0</v>
      </c>
      <c r="X1075" s="8"/>
      <c r="Y1075" s="8"/>
      <c r="Z1075" s="8" t="str">
        <f>+Tabla3[[#This Row],[Referencia]]&amp;Tabla3[[#This Row],[Desc detalle ext 1]]</f>
        <v>*XR 150L                                          NEGRO BLA</v>
      </c>
      <c r="AA1075" s="128" t="e">
        <f>+VLOOKUP(Tabla3[[#This Row],[CODIGO2]],ESTANDAR!$B$3:$C$9,2,FALSE)</f>
        <v>#N/A</v>
      </c>
      <c r="AB1075" s="128" t="str">
        <f>+MID(Tabla3[[#This Row],['# Viaje]],10,1)</f>
        <v/>
      </c>
    </row>
    <row r="1076" spans="1:28" ht="15" hidden="1" customHeight="1">
      <c r="A1076" s="173" t="s">
        <v>1679</v>
      </c>
      <c r="B1076" s="174">
        <v>42949</v>
      </c>
      <c r="C1076" s="173" t="s">
        <v>1231</v>
      </c>
      <c r="D1076" s="173" t="s">
        <v>1237</v>
      </c>
      <c r="E1076" s="173" t="s">
        <v>1232</v>
      </c>
      <c r="F1076" s="173">
        <v>5</v>
      </c>
      <c r="G1076" s="173" t="s">
        <v>37</v>
      </c>
      <c r="H1076" s="173">
        <v>5</v>
      </c>
      <c r="I1076" s="173" t="s">
        <v>1239</v>
      </c>
      <c r="J1076" s="173" t="s">
        <v>10</v>
      </c>
      <c r="K1076" s="173" t="s">
        <v>11</v>
      </c>
      <c r="L1076" s="173"/>
      <c r="M1076" s="173" t="s">
        <v>148</v>
      </c>
      <c r="N1076" s="173">
        <v>890705341</v>
      </c>
      <c r="O1076" s="175">
        <v>7554622</v>
      </c>
      <c r="P1076" s="7"/>
      <c r="Q1076" s="16">
        <f>+IF(IFERROR(VLOOKUP(Tabla3[[#This Row],[Cliente factura]],Tabla4[[NIT]:[TOTAL CREDITO]],3,FALSE),0)="",0,IFERROR(VLOOKUP(Tabla3[[#This Row],[Cliente factura]],Tabla4[[NIT]:[TOTAL CREDITO]],3,FALSE),0))</f>
        <v>68342860</v>
      </c>
      <c r="R1076" s="9">
        <f>+IFERROR(VLOOKUP(Tabla3[[#This Row],[Cliente factura]],Tabla4[[NIT]:[TOTAL CREDITO]],6,FALSE),0)</f>
        <v>0</v>
      </c>
      <c r="S1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6" s="10" t="str">
        <f>VLOOKUP(Tabla3[[#This Row],[Razón social cliente factura]]&amp;Tabla3[[#This Row],[Desc. ciudad]],'Estandar de Rutas'!$C$1:$E$553,2,FALSE)</f>
        <v>5.0</v>
      </c>
      <c r="U1076" s="130">
        <f>IFERROR(VLOOKUP(Tabla3[[#This Row],[Referencia]]&amp;Tabla3[[#This Row],[Desc detalle ext 1]],Tabla1[[Referencia-Color]:[Disponibilidad]],3,FALSE),0)</f>
        <v>0</v>
      </c>
      <c r="V1076" s="13"/>
      <c r="W1076" s="17">
        <f>+Tabla3[[#This Row],[Cant. Programada]]*Tabla3[[#This Row],[Precio unit]]</f>
        <v>0</v>
      </c>
      <c r="X1076" s="8"/>
      <c r="Y1076" s="8"/>
      <c r="Z1076" s="8" t="str">
        <f>+Tabla3[[#This Row],[Referencia]]&amp;Tabla3[[#This Row],[Desc detalle ext 1]]</f>
        <v>CB 190R                                           NEGRO ONI</v>
      </c>
      <c r="AA1076" s="128" t="e">
        <f>+VLOOKUP(Tabla3[[#This Row],[CODIGO2]],ESTANDAR!$B$3:$C$9,2,FALSE)</f>
        <v>#N/A</v>
      </c>
      <c r="AB1076" s="128" t="str">
        <f>+MID(Tabla3[[#This Row],['# Viaje]],10,1)</f>
        <v/>
      </c>
    </row>
    <row r="1077" spans="1:28" ht="15" hidden="1" customHeight="1">
      <c r="A1077" s="173" t="s">
        <v>1679</v>
      </c>
      <c r="B1077" s="174">
        <v>42949</v>
      </c>
      <c r="C1077" s="173" t="s">
        <v>1231</v>
      </c>
      <c r="D1077" s="173" t="s">
        <v>1237</v>
      </c>
      <c r="E1077" s="173" t="s">
        <v>1232</v>
      </c>
      <c r="F1077" s="173">
        <v>3</v>
      </c>
      <c r="G1077" s="173" t="s">
        <v>37</v>
      </c>
      <c r="H1077" s="173">
        <v>3</v>
      </c>
      <c r="I1077" s="173" t="s">
        <v>1239</v>
      </c>
      <c r="J1077" s="173" t="s">
        <v>1433</v>
      </c>
      <c r="K1077" s="173" t="s">
        <v>1452</v>
      </c>
      <c r="L1077" s="173"/>
      <c r="M1077" s="173" t="s">
        <v>148</v>
      </c>
      <c r="N1077" s="173">
        <v>890705341</v>
      </c>
      <c r="O1077" s="175">
        <v>3521008</v>
      </c>
      <c r="P1077" s="7"/>
      <c r="Q1077" s="16">
        <f>+IF(IFERROR(VLOOKUP(Tabla3[[#This Row],[Cliente factura]],Tabla4[[NIT]:[TOTAL CREDITO]],3,FALSE),0)="",0,IFERROR(VLOOKUP(Tabla3[[#This Row],[Cliente factura]],Tabla4[[NIT]:[TOTAL CREDITO]],3,FALSE),0))</f>
        <v>68342860</v>
      </c>
      <c r="R1077" s="9">
        <f>+IFERROR(VLOOKUP(Tabla3[[#This Row],[Cliente factura]],Tabla4[[NIT]:[TOTAL CREDITO]],6,FALSE),0)</f>
        <v>0</v>
      </c>
      <c r="S1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7" s="10" t="str">
        <f>VLOOKUP(Tabla3[[#This Row],[Razón social cliente factura]]&amp;Tabla3[[#This Row],[Desc. ciudad]],'Estandar de Rutas'!$C$1:$E$553,2,FALSE)</f>
        <v>5.0</v>
      </c>
      <c r="U1077" s="130">
        <f>IFERROR(VLOOKUP(Tabla3[[#This Row],[Referencia]]&amp;Tabla3[[#This Row],[Desc detalle ext 1]],Tabla1[[Referencia-Color]:[Disponibilidad]],3,FALSE),0)</f>
        <v>0</v>
      </c>
      <c r="V1077" s="13"/>
      <c r="W1077" s="17">
        <f>+Tabla3[[#This Row],[Cant. Programada]]*Tabla3[[#This Row],[Precio unit]]</f>
        <v>0</v>
      </c>
      <c r="X1077" s="8"/>
      <c r="Y1077" s="8"/>
      <c r="Z1077" s="8" t="str">
        <f>+Tabla3[[#This Row],[Referencia]]&amp;Tabla3[[#This Row],[Desc detalle ext 1]]</f>
        <v xml:space="preserve">DIO  110                                          AZUL     </v>
      </c>
      <c r="AA1077" s="128" t="e">
        <f>+VLOOKUP(Tabla3[[#This Row],[CODIGO2]],ESTANDAR!$B$3:$C$9,2,FALSE)</f>
        <v>#N/A</v>
      </c>
      <c r="AB1077" s="128" t="str">
        <f>+MID(Tabla3[[#This Row],['# Viaje]],10,1)</f>
        <v/>
      </c>
    </row>
    <row r="1078" spans="1:28" ht="15" hidden="1" customHeight="1">
      <c r="A1078" s="173" t="s">
        <v>1679</v>
      </c>
      <c r="B1078" s="174">
        <v>42949</v>
      </c>
      <c r="C1078" s="173" t="s">
        <v>1231</v>
      </c>
      <c r="D1078" s="173" t="s">
        <v>1237</v>
      </c>
      <c r="E1078" s="173" t="s">
        <v>1232</v>
      </c>
      <c r="F1078" s="173">
        <v>2</v>
      </c>
      <c r="G1078" s="173" t="s">
        <v>37</v>
      </c>
      <c r="H1078" s="173">
        <v>2</v>
      </c>
      <c r="I1078" s="173" t="s">
        <v>1239</v>
      </c>
      <c r="J1078" s="173" t="s">
        <v>1433</v>
      </c>
      <c r="K1078" s="173" t="s">
        <v>1434</v>
      </c>
      <c r="L1078" s="173"/>
      <c r="M1078" s="173" t="s">
        <v>148</v>
      </c>
      <c r="N1078" s="173">
        <v>890705341</v>
      </c>
      <c r="O1078" s="175">
        <v>3521008</v>
      </c>
      <c r="P1078" s="7"/>
      <c r="Q1078" s="16">
        <f>+IF(IFERROR(VLOOKUP(Tabla3[[#This Row],[Cliente factura]],Tabla4[[NIT]:[TOTAL CREDITO]],3,FALSE),0)="",0,IFERROR(VLOOKUP(Tabla3[[#This Row],[Cliente factura]],Tabla4[[NIT]:[TOTAL CREDITO]],3,FALSE),0))</f>
        <v>68342860</v>
      </c>
      <c r="R1078" s="9">
        <f>+IFERROR(VLOOKUP(Tabla3[[#This Row],[Cliente factura]],Tabla4[[NIT]:[TOTAL CREDITO]],6,FALSE),0)</f>
        <v>0</v>
      </c>
      <c r="S1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8" s="10" t="str">
        <f>VLOOKUP(Tabla3[[#This Row],[Razón social cliente factura]]&amp;Tabla3[[#This Row],[Desc. ciudad]],'Estandar de Rutas'!$C$1:$E$553,2,FALSE)</f>
        <v>5.0</v>
      </c>
      <c r="U1078" s="130">
        <f>IFERROR(VLOOKUP(Tabla3[[#This Row],[Referencia]]&amp;Tabla3[[#This Row],[Desc detalle ext 1]],Tabla1[[Referencia-Color]:[Disponibilidad]],3,FALSE),0)</f>
        <v>23</v>
      </c>
      <c r="V1078" s="13"/>
      <c r="W1078" s="17">
        <f>+Tabla3[[#This Row],[Cant. Programada]]*Tabla3[[#This Row],[Precio unit]]</f>
        <v>0</v>
      </c>
      <c r="X1078" s="8"/>
      <c r="Y1078" s="8"/>
      <c r="Z1078" s="8" t="str">
        <f>+Tabla3[[#This Row],[Referencia]]&amp;Tabla3[[#This Row],[Desc detalle ext 1]]</f>
        <v>DIO  110                                          BLANCO NE</v>
      </c>
      <c r="AA1078" s="128" t="e">
        <f>+VLOOKUP(Tabla3[[#This Row],[CODIGO2]],ESTANDAR!$B$3:$C$9,2,FALSE)</f>
        <v>#N/A</v>
      </c>
      <c r="AB1078" s="128" t="str">
        <f>+MID(Tabla3[[#This Row],['# Viaje]],10,1)</f>
        <v/>
      </c>
    </row>
    <row r="1079" spans="1:28" ht="15" hidden="1" customHeight="1">
      <c r="A1079" s="173" t="s">
        <v>1679</v>
      </c>
      <c r="B1079" s="174">
        <v>42949</v>
      </c>
      <c r="C1079" s="173" t="s">
        <v>1231</v>
      </c>
      <c r="D1079" s="173" t="s">
        <v>1237</v>
      </c>
      <c r="E1079" s="173" t="s">
        <v>1232</v>
      </c>
      <c r="F1079" s="173">
        <v>2</v>
      </c>
      <c r="G1079" s="173" t="s">
        <v>37</v>
      </c>
      <c r="H1079" s="173">
        <v>2</v>
      </c>
      <c r="I1079" s="173" t="s">
        <v>1239</v>
      </c>
      <c r="J1079" s="173" t="s">
        <v>1428</v>
      </c>
      <c r="K1079" s="173" t="s">
        <v>1461</v>
      </c>
      <c r="L1079" s="173"/>
      <c r="M1079" s="173" t="s">
        <v>148</v>
      </c>
      <c r="N1079" s="173">
        <v>890705341</v>
      </c>
      <c r="O1079" s="175">
        <v>3067227</v>
      </c>
      <c r="P1079" s="7"/>
      <c r="Q1079" s="16">
        <f>+IF(IFERROR(VLOOKUP(Tabla3[[#This Row],[Cliente factura]],Tabla4[[NIT]:[TOTAL CREDITO]],3,FALSE),0)="",0,IFERROR(VLOOKUP(Tabla3[[#This Row],[Cliente factura]],Tabla4[[NIT]:[TOTAL CREDITO]],3,FALSE),0))</f>
        <v>68342860</v>
      </c>
      <c r="R1079" s="9">
        <f>+IFERROR(VLOOKUP(Tabla3[[#This Row],[Cliente factura]],Tabla4[[NIT]:[TOTAL CREDITO]],6,FALSE),0)</f>
        <v>0</v>
      </c>
      <c r="S1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9" s="10" t="str">
        <f>VLOOKUP(Tabla3[[#This Row],[Razón social cliente factura]]&amp;Tabla3[[#This Row],[Desc. ciudad]],'Estandar de Rutas'!$C$1:$E$553,2,FALSE)</f>
        <v>5.0</v>
      </c>
      <c r="U1079" s="130">
        <f>IFERROR(VLOOKUP(Tabla3[[#This Row],[Referencia]]&amp;Tabla3[[#This Row],[Desc detalle ext 1]],Tabla1[[Referencia-Color]:[Disponibilidad]],3,FALSE),0)</f>
        <v>0</v>
      </c>
      <c r="V1079" s="13"/>
      <c r="W1079" s="17">
        <f>+Tabla3[[#This Row],[Cant. Programada]]*Tabla3[[#This Row],[Precio unit]]</f>
        <v>0</v>
      </c>
      <c r="X1079" s="8"/>
      <c r="Y1079" s="8"/>
      <c r="Z1079" s="8" t="str">
        <f>+Tabla3[[#This Row],[Referencia]]&amp;Tabla3[[#This Row],[Desc detalle ext 1]]</f>
        <v>DREAM  NEO                                        ROJO ALFA</v>
      </c>
      <c r="AA1079" s="128" t="e">
        <f>+VLOOKUP(Tabla3[[#This Row],[CODIGO2]],ESTANDAR!$B$3:$C$9,2,FALSE)</f>
        <v>#N/A</v>
      </c>
      <c r="AB1079" s="128" t="str">
        <f>+MID(Tabla3[[#This Row],['# Viaje]],10,1)</f>
        <v/>
      </c>
    </row>
    <row r="1080" spans="1:28" ht="15" hidden="1" customHeight="1">
      <c r="A1080" s="173" t="s">
        <v>1679</v>
      </c>
      <c r="B1080" s="174">
        <v>42949</v>
      </c>
      <c r="C1080" s="173" t="s">
        <v>1231</v>
      </c>
      <c r="D1080" s="173" t="s">
        <v>1237</v>
      </c>
      <c r="E1080" s="173" t="s">
        <v>1232</v>
      </c>
      <c r="F1080" s="173">
        <v>1</v>
      </c>
      <c r="G1080" s="173" t="s">
        <v>37</v>
      </c>
      <c r="H1080" s="173">
        <v>1</v>
      </c>
      <c r="I1080" s="173" t="s">
        <v>1239</v>
      </c>
      <c r="J1080" s="173" t="s">
        <v>1428</v>
      </c>
      <c r="K1080" s="173" t="s">
        <v>1429</v>
      </c>
      <c r="L1080" s="173"/>
      <c r="M1080" s="173" t="s">
        <v>148</v>
      </c>
      <c r="N1080" s="173">
        <v>890705341</v>
      </c>
      <c r="O1080" s="175">
        <v>3067227</v>
      </c>
      <c r="P1080" s="7"/>
      <c r="Q1080" s="16">
        <f>+IF(IFERROR(VLOOKUP(Tabla3[[#This Row],[Cliente factura]],Tabla4[[NIT]:[TOTAL CREDITO]],3,FALSE),0)="",0,IFERROR(VLOOKUP(Tabla3[[#This Row],[Cliente factura]],Tabla4[[NIT]:[TOTAL CREDITO]],3,FALSE),0))</f>
        <v>68342860</v>
      </c>
      <c r="R1080" s="9">
        <f>+IFERROR(VLOOKUP(Tabla3[[#This Row],[Cliente factura]],Tabla4[[NIT]:[TOTAL CREDITO]],6,FALSE),0)</f>
        <v>0</v>
      </c>
      <c r="S1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0" s="10" t="str">
        <f>VLOOKUP(Tabla3[[#This Row],[Razón social cliente factura]]&amp;Tabla3[[#This Row],[Desc. ciudad]],'Estandar de Rutas'!$C$1:$E$553,2,FALSE)</f>
        <v>5.0</v>
      </c>
      <c r="U1080" s="130">
        <f>IFERROR(VLOOKUP(Tabla3[[#This Row],[Referencia]]&amp;Tabla3[[#This Row],[Desc detalle ext 1]],Tabla1[[Referencia-Color]:[Disponibilidad]],3,FALSE),0)</f>
        <v>0</v>
      </c>
      <c r="V1080" s="13"/>
      <c r="W1080" s="17">
        <f>+Tabla3[[#This Row],[Cant. Programada]]*Tabla3[[#This Row],[Precio unit]]</f>
        <v>0</v>
      </c>
      <c r="X1080" s="8"/>
      <c r="Y1080" s="8"/>
      <c r="Z1080" s="8" t="str">
        <f>+Tabla3[[#This Row],[Referencia]]&amp;Tabla3[[#This Row],[Desc detalle ext 1]]</f>
        <v>DREAM  NEO                                        NEGRO AZU</v>
      </c>
      <c r="AA1080" s="128" t="e">
        <f>+VLOOKUP(Tabla3[[#This Row],[CODIGO2]],ESTANDAR!$B$3:$C$9,2,FALSE)</f>
        <v>#N/A</v>
      </c>
      <c r="AB1080" s="128" t="str">
        <f>+MID(Tabla3[[#This Row],['# Viaje]],10,1)</f>
        <v/>
      </c>
    </row>
    <row r="1081" spans="1:28" ht="15" hidden="1" customHeight="1">
      <c r="A1081" s="173" t="s">
        <v>1679</v>
      </c>
      <c r="B1081" s="174">
        <v>42949</v>
      </c>
      <c r="C1081" s="173" t="s">
        <v>1231</v>
      </c>
      <c r="D1081" s="173" t="s">
        <v>1237</v>
      </c>
      <c r="E1081" s="173" t="s">
        <v>1232</v>
      </c>
      <c r="F1081" s="173">
        <v>1</v>
      </c>
      <c r="G1081" s="173" t="s">
        <v>37</v>
      </c>
      <c r="H1081" s="173">
        <v>1</v>
      </c>
      <c r="I1081" s="173" t="s">
        <v>1239</v>
      </c>
      <c r="J1081" s="173" t="s">
        <v>1234</v>
      </c>
      <c r="K1081" s="173" t="s">
        <v>44</v>
      </c>
      <c r="L1081" s="173"/>
      <c r="M1081" s="173" t="s">
        <v>148</v>
      </c>
      <c r="N1081" s="173">
        <v>890705341</v>
      </c>
      <c r="O1081" s="175">
        <v>5453782</v>
      </c>
      <c r="P1081" s="7"/>
      <c r="Q1081" s="16">
        <f>+IF(IFERROR(VLOOKUP(Tabla3[[#This Row],[Cliente factura]],Tabla4[[NIT]:[TOTAL CREDITO]],3,FALSE),0)="",0,IFERROR(VLOOKUP(Tabla3[[#This Row],[Cliente factura]],Tabla4[[NIT]:[TOTAL CREDITO]],3,FALSE),0))</f>
        <v>68342860</v>
      </c>
      <c r="R1081" s="9">
        <f>+IFERROR(VLOOKUP(Tabla3[[#This Row],[Cliente factura]],Tabla4[[NIT]:[TOTAL CREDITO]],6,FALSE),0)</f>
        <v>0</v>
      </c>
      <c r="S1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1" s="10" t="str">
        <f>VLOOKUP(Tabla3[[#This Row],[Razón social cliente factura]]&amp;Tabla3[[#This Row],[Desc. ciudad]],'Estandar de Rutas'!$C$1:$E$553,2,FALSE)</f>
        <v>5.0</v>
      </c>
      <c r="U1081" s="130">
        <f>IFERROR(VLOOKUP(Tabla3[[#This Row],[Referencia]]&amp;Tabla3[[#This Row],[Desc detalle ext 1]],Tabla1[[Referencia-Color]:[Disponibilidad]],3,FALSE),0)</f>
        <v>1</v>
      </c>
      <c r="V1081" s="13"/>
      <c r="W1081" s="17">
        <f>+Tabla3[[#This Row],[Cant. Programada]]*Tabla3[[#This Row],[Precio unit]]</f>
        <v>0</v>
      </c>
      <c r="X1081" s="8"/>
      <c r="Y1081" s="8"/>
      <c r="Z1081" s="8" t="str">
        <f>+Tabla3[[#This Row],[Referencia]]&amp;Tabla3[[#This Row],[Desc detalle ext 1]]</f>
        <v>CB 160F STD                                       BLANCO PE</v>
      </c>
      <c r="AA1081" s="128" t="e">
        <f>+VLOOKUP(Tabla3[[#This Row],[CODIGO2]],ESTANDAR!$B$3:$C$9,2,FALSE)</f>
        <v>#N/A</v>
      </c>
      <c r="AB1081" s="128" t="str">
        <f>+MID(Tabla3[[#This Row],['# Viaje]],10,1)</f>
        <v/>
      </c>
    </row>
    <row r="1082" spans="1:28" ht="15" hidden="1" customHeight="1">
      <c r="A1082" s="173" t="s">
        <v>1679</v>
      </c>
      <c r="B1082" s="174">
        <v>42949</v>
      </c>
      <c r="C1082" s="173" t="s">
        <v>1231</v>
      </c>
      <c r="D1082" s="173" t="s">
        <v>1237</v>
      </c>
      <c r="E1082" s="173" t="s">
        <v>1232</v>
      </c>
      <c r="F1082" s="173">
        <v>3</v>
      </c>
      <c r="G1082" s="173" t="s">
        <v>37</v>
      </c>
      <c r="H1082" s="173">
        <v>3</v>
      </c>
      <c r="I1082" s="173" t="s">
        <v>1239</v>
      </c>
      <c r="J1082" s="173" t="s">
        <v>1234</v>
      </c>
      <c r="K1082" s="173" t="s">
        <v>17</v>
      </c>
      <c r="L1082" s="173"/>
      <c r="M1082" s="173" t="s">
        <v>148</v>
      </c>
      <c r="N1082" s="173">
        <v>890705341</v>
      </c>
      <c r="O1082" s="175">
        <v>5453782</v>
      </c>
      <c r="P1082" s="7"/>
      <c r="Q1082" s="16">
        <f>+IF(IFERROR(VLOOKUP(Tabla3[[#This Row],[Cliente factura]],Tabla4[[NIT]:[TOTAL CREDITO]],3,FALSE),0)="",0,IFERROR(VLOOKUP(Tabla3[[#This Row],[Cliente factura]],Tabla4[[NIT]:[TOTAL CREDITO]],3,FALSE),0))</f>
        <v>68342860</v>
      </c>
      <c r="R1082" s="9">
        <f>+IFERROR(VLOOKUP(Tabla3[[#This Row],[Cliente factura]],Tabla4[[NIT]:[TOTAL CREDITO]],6,FALSE),0)</f>
        <v>0</v>
      </c>
      <c r="S1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2" s="10" t="str">
        <f>VLOOKUP(Tabla3[[#This Row],[Razón social cliente factura]]&amp;Tabla3[[#This Row],[Desc. ciudad]],'Estandar de Rutas'!$C$1:$E$553,2,FALSE)</f>
        <v>5.0</v>
      </c>
      <c r="U1082" s="130">
        <f>IFERROR(VLOOKUP(Tabla3[[#This Row],[Referencia]]&amp;Tabla3[[#This Row],[Desc detalle ext 1]],Tabla1[[Referencia-Color]:[Disponibilidad]],3,FALSE),0)</f>
        <v>0</v>
      </c>
      <c r="V1082" s="13"/>
      <c r="W1082" s="17">
        <f>+Tabla3[[#This Row],[Cant. Programada]]*Tabla3[[#This Row],[Precio unit]]</f>
        <v>0</v>
      </c>
      <c r="X1082" s="8"/>
      <c r="Y1082" s="8"/>
      <c r="Z1082" s="8" t="str">
        <f>+Tabla3[[#This Row],[Referencia]]&amp;Tabla3[[#This Row],[Desc detalle ext 1]]</f>
        <v>CB 160F STD                                       ROJO SPOR</v>
      </c>
      <c r="AA1082" s="128" t="e">
        <f>+VLOOKUP(Tabla3[[#This Row],[CODIGO2]],ESTANDAR!$B$3:$C$9,2,FALSE)</f>
        <v>#N/A</v>
      </c>
      <c r="AB1082" s="128" t="str">
        <f>+MID(Tabla3[[#This Row],['# Viaje]],10,1)</f>
        <v/>
      </c>
    </row>
    <row r="1083" spans="1:28" ht="15" hidden="1" customHeight="1">
      <c r="A1083" s="173" t="s">
        <v>1679</v>
      </c>
      <c r="B1083" s="174">
        <v>42949</v>
      </c>
      <c r="C1083" s="173" t="s">
        <v>1231</v>
      </c>
      <c r="D1083" s="173" t="s">
        <v>1237</v>
      </c>
      <c r="E1083" s="173" t="s">
        <v>1232</v>
      </c>
      <c r="F1083" s="173">
        <v>3</v>
      </c>
      <c r="G1083" s="173" t="s">
        <v>37</v>
      </c>
      <c r="H1083" s="173">
        <v>3</v>
      </c>
      <c r="I1083" s="173" t="s">
        <v>1239</v>
      </c>
      <c r="J1083" s="173" t="s">
        <v>1234</v>
      </c>
      <c r="K1083" s="173" t="s">
        <v>355</v>
      </c>
      <c r="L1083" s="173"/>
      <c r="M1083" s="173" t="s">
        <v>148</v>
      </c>
      <c r="N1083" s="173">
        <v>890705341</v>
      </c>
      <c r="O1083" s="175">
        <v>5453782</v>
      </c>
      <c r="P1083" s="7"/>
      <c r="Q1083" s="16">
        <f>+IF(IFERROR(VLOOKUP(Tabla3[[#This Row],[Cliente factura]],Tabla4[[NIT]:[TOTAL CREDITO]],3,FALSE),0)="",0,IFERROR(VLOOKUP(Tabla3[[#This Row],[Cliente factura]],Tabla4[[NIT]:[TOTAL CREDITO]],3,FALSE),0))</f>
        <v>68342860</v>
      </c>
      <c r="R1083" s="9">
        <f>+IFERROR(VLOOKUP(Tabla3[[#This Row],[Cliente factura]],Tabla4[[NIT]:[TOTAL CREDITO]],6,FALSE),0)</f>
        <v>0</v>
      </c>
      <c r="S1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3" s="10" t="str">
        <f>VLOOKUP(Tabla3[[#This Row],[Razón social cliente factura]]&amp;Tabla3[[#This Row],[Desc. ciudad]],'Estandar de Rutas'!$C$1:$E$553,2,FALSE)</f>
        <v>5.0</v>
      </c>
      <c r="U1083" s="130">
        <f>IFERROR(VLOOKUP(Tabla3[[#This Row],[Referencia]]&amp;Tabla3[[#This Row],[Desc detalle ext 1]],Tabla1[[Referencia-Color]:[Disponibilidad]],3,FALSE),0)</f>
        <v>0</v>
      </c>
      <c r="V1083" s="13"/>
      <c r="W1083" s="17">
        <f>+Tabla3[[#This Row],[Cant. Programada]]*Tabla3[[#This Row],[Precio unit]]</f>
        <v>0</v>
      </c>
      <c r="X1083" s="8"/>
      <c r="Y1083" s="8"/>
      <c r="Z1083" s="8" t="str">
        <f>+Tabla3[[#This Row],[Referencia]]&amp;Tabla3[[#This Row],[Desc detalle ext 1]]</f>
        <v>CB 160F STD                                       NEGRO PER</v>
      </c>
      <c r="AA1083" s="128" t="e">
        <f>+VLOOKUP(Tabla3[[#This Row],[CODIGO2]],ESTANDAR!$B$3:$C$9,2,FALSE)</f>
        <v>#N/A</v>
      </c>
      <c r="AB1083" s="128" t="str">
        <f>+MID(Tabla3[[#This Row],['# Viaje]],10,1)</f>
        <v/>
      </c>
    </row>
    <row r="1084" spans="1:28" ht="15" hidden="1" customHeight="1">
      <c r="A1084" s="173" t="s">
        <v>1679</v>
      </c>
      <c r="B1084" s="174">
        <v>42949</v>
      </c>
      <c r="C1084" s="173" t="s">
        <v>1231</v>
      </c>
      <c r="D1084" s="173" t="s">
        <v>1237</v>
      </c>
      <c r="E1084" s="173" t="s">
        <v>1232</v>
      </c>
      <c r="F1084" s="173">
        <v>10</v>
      </c>
      <c r="G1084" s="173" t="s">
        <v>37</v>
      </c>
      <c r="H1084" s="173">
        <v>10</v>
      </c>
      <c r="I1084" s="173" t="s">
        <v>1239</v>
      </c>
      <c r="J1084" s="173" t="s">
        <v>1451</v>
      </c>
      <c r="K1084" s="173" t="s">
        <v>16</v>
      </c>
      <c r="L1084" s="174"/>
      <c r="M1084" s="173" t="s">
        <v>148</v>
      </c>
      <c r="N1084" s="173">
        <v>890705341</v>
      </c>
      <c r="O1084" s="175">
        <v>3696639</v>
      </c>
      <c r="P1084" s="7"/>
      <c r="Q1084" s="16">
        <f>+IF(IFERROR(VLOOKUP(Tabla3[[#This Row],[Cliente factura]],Tabla4[[NIT]:[TOTAL CREDITO]],3,FALSE),0)="",0,IFERROR(VLOOKUP(Tabla3[[#This Row],[Cliente factura]],Tabla4[[NIT]:[TOTAL CREDITO]],3,FALSE),0))</f>
        <v>68342860</v>
      </c>
      <c r="R1084" s="9">
        <f>+IFERROR(VLOOKUP(Tabla3[[#This Row],[Cliente factura]],Tabla4[[NIT]:[TOTAL CREDITO]],6,FALSE),0)</f>
        <v>0</v>
      </c>
      <c r="S1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4" s="10" t="str">
        <f>VLOOKUP(Tabla3[[#This Row],[Razón social cliente factura]]&amp;Tabla3[[#This Row],[Desc. ciudad]],'Estandar de Rutas'!$C$1:$E$553,2,FALSE)</f>
        <v>5.0</v>
      </c>
      <c r="U1084" s="130">
        <f>IFERROR(VLOOKUP(Tabla3[[#This Row],[Referencia]]&amp;Tabla3[[#This Row],[Desc detalle ext 1]],Tabla1[[Referencia-Color]:[Disponibilidad]],3,FALSE),0)</f>
        <v>3</v>
      </c>
      <c r="V1084" s="13"/>
      <c r="W1084" s="17">
        <f>+Tabla3[[#This Row],[Cant. Programada]]*Tabla3[[#This Row],[Precio unit]]</f>
        <v>0</v>
      </c>
      <c r="X1084" s="8"/>
      <c r="Y1084" s="8"/>
      <c r="Z1084" s="8" t="str">
        <f>+Tabla3[[#This Row],[Referencia]]&amp;Tabla3[[#This Row],[Desc detalle ext 1]]</f>
        <v xml:space="preserve">CB 110 DLX                                        NEGRO    </v>
      </c>
      <c r="AA1084" s="128" t="e">
        <f>+VLOOKUP(Tabla3[[#This Row],[CODIGO2]],ESTANDAR!$B$3:$C$9,2,FALSE)</f>
        <v>#N/A</v>
      </c>
      <c r="AB1084" s="128" t="str">
        <f>+MID(Tabla3[[#This Row],['# Viaje]],10,1)</f>
        <v/>
      </c>
    </row>
    <row r="1085" spans="1:28" ht="15" hidden="1" customHeight="1">
      <c r="A1085" s="173" t="s">
        <v>1680</v>
      </c>
      <c r="B1085" s="174">
        <v>42949</v>
      </c>
      <c r="C1085" s="173" t="s">
        <v>1231</v>
      </c>
      <c r="D1085" s="173" t="s">
        <v>1237</v>
      </c>
      <c r="E1085" s="173" t="s">
        <v>1232</v>
      </c>
      <c r="F1085" s="173">
        <v>2</v>
      </c>
      <c r="G1085" s="173" t="s">
        <v>37</v>
      </c>
      <c r="H1085" s="173">
        <v>2</v>
      </c>
      <c r="I1085" s="173" t="s">
        <v>1681</v>
      </c>
      <c r="J1085" s="173" t="s">
        <v>27</v>
      </c>
      <c r="K1085" s="173" t="s">
        <v>32</v>
      </c>
      <c r="L1085" s="173"/>
      <c r="M1085" s="173" t="s">
        <v>148</v>
      </c>
      <c r="N1085" s="173">
        <v>890705341</v>
      </c>
      <c r="O1085" s="175">
        <v>5789916</v>
      </c>
      <c r="P1085" s="7"/>
      <c r="Q1085" s="16">
        <f>+IF(IFERROR(VLOOKUP(Tabla3[[#This Row],[Cliente factura]],Tabla4[[NIT]:[TOTAL CREDITO]],3,FALSE),0)="",0,IFERROR(VLOOKUP(Tabla3[[#This Row],[Cliente factura]],Tabla4[[NIT]:[TOTAL CREDITO]],3,FALSE),0))</f>
        <v>68342860</v>
      </c>
      <c r="R1085" s="9">
        <f>+IFERROR(VLOOKUP(Tabla3[[#This Row],[Cliente factura]],Tabla4[[NIT]:[TOTAL CREDITO]],6,FALSE),0)</f>
        <v>0</v>
      </c>
      <c r="S1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5" s="10" t="str">
        <f>VLOOKUP(Tabla3[[#This Row],[Razón social cliente factura]]&amp;Tabla3[[#This Row],[Desc. ciudad]],'Estandar de Rutas'!$C$1:$E$553,2,FALSE)</f>
        <v>5.0</v>
      </c>
      <c r="U1085" s="130">
        <f>IFERROR(VLOOKUP(Tabla3[[#This Row],[Referencia]]&amp;Tabla3[[#This Row],[Desc detalle ext 1]],Tabla1[[Referencia-Color]:[Disponibilidad]],3,FALSE),0)</f>
        <v>7</v>
      </c>
      <c r="V1085" s="13"/>
      <c r="W1085" s="17">
        <f>+Tabla3[[#This Row],[Cant. Programada]]*Tabla3[[#This Row],[Precio unit]]</f>
        <v>0</v>
      </c>
      <c r="X1085" s="8"/>
      <c r="Y1085" s="8"/>
      <c r="Z1085" s="8" t="str">
        <f>+Tabla3[[#This Row],[Referencia]]&amp;Tabla3[[#This Row],[Desc detalle ext 1]]</f>
        <v>*XR 150L                                          NEGRO ROJ</v>
      </c>
      <c r="AA1085" s="128" t="e">
        <f>+VLOOKUP(Tabla3[[#This Row],[CODIGO2]],ESTANDAR!$B$3:$C$9,2,FALSE)</f>
        <v>#N/A</v>
      </c>
      <c r="AB1085" s="128" t="str">
        <f>+MID(Tabla3[[#This Row],['# Viaje]],10,1)</f>
        <v/>
      </c>
    </row>
    <row r="1086" spans="1:28" ht="15" hidden="1" customHeight="1">
      <c r="A1086" s="173" t="s">
        <v>1680</v>
      </c>
      <c r="B1086" s="174">
        <v>42949</v>
      </c>
      <c r="C1086" s="173" t="s">
        <v>1231</v>
      </c>
      <c r="D1086" s="173" t="s">
        <v>1237</v>
      </c>
      <c r="E1086" s="173" t="s">
        <v>1232</v>
      </c>
      <c r="F1086" s="173">
        <v>1</v>
      </c>
      <c r="G1086" s="173" t="s">
        <v>37</v>
      </c>
      <c r="H1086" s="173">
        <v>1</v>
      </c>
      <c r="I1086" s="173" t="s">
        <v>1681</v>
      </c>
      <c r="J1086" s="173" t="s">
        <v>27</v>
      </c>
      <c r="K1086" s="173" t="s">
        <v>26</v>
      </c>
      <c r="L1086" s="173"/>
      <c r="M1086" s="173" t="s">
        <v>148</v>
      </c>
      <c r="N1086" s="173">
        <v>890705341</v>
      </c>
      <c r="O1086" s="175">
        <v>5789916</v>
      </c>
      <c r="P1086" s="7"/>
      <c r="Q1086" s="16">
        <f>+IF(IFERROR(VLOOKUP(Tabla3[[#This Row],[Cliente factura]],Tabla4[[NIT]:[TOTAL CREDITO]],3,FALSE),0)="",0,IFERROR(VLOOKUP(Tabla3[[#This Row],[Cliente factura]],Tabla4[[NIT]:[TOTAL CREDITO]],3,FALSE),0))</f>
        <v>68342860</v>
      </c>
      <c r="R1086" s="9">
        <f>+IFERROR(VLOOKUP(Tabla3[[#This Row],[Cliente factura]],Tabla4[[NIT]:[TOTAL CREDITO]],6,FALSE),0)</f>
        <v>0</v>
      </c>
      <c r="S1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6" s="10" t="str">
        <f>VLOOKUP(Tabla3[[#This Row],[Razón social cliente factura]]&amp;Tabla3[[#This Row],[Desc. ciudad]],'Estandar de Rutas'!$C$1:$E$553,2,FALSE)</f>
        <v>5.0</v>
      </c>
      <c r="U1086" s="130">
        <f>IFERROR(VLOOKUP(Tabla3[[#This Row],[Referencia]]&amp;Tabla3[[#This Row],[Desc detalle ext 1]],Tabla1[[Referencia-Color]:[Disponibilidad]],3,FALSE),0)</f>
        <v>59</v>
      </c>
      <c r="V1086" s="13"/>
      <c r="W1086" s="17">
        <f>+Tabla3[[#This Row],[Cant. Programada]]*Tabla3[[#This Row],[Precio unit]]</f>
        <v>0</v>
      </c>
      <c r="X1086" s="8"/>
      <c r="Y1086" s="8"/>
      <c r="Z1086" s="8" t="str">
        <f>+Tabla3[[#This Row],[Referencia]]&amp;Tabla3[[#This Row],[Desc detalle ext 1]]</f>
        <v>*XR 150L                                          NEGRO BLA</v>
      </c>
      <c r="AA1086" s="128" t="e">
        <f>+VLOOKUP(Tabla3[[#This Row],[CODIGO2]],ESTANDAR!$B$3:$C$9,2,FALSE)</f>
        <v>#N/A</v>
      </c>
      <c r="AB1086" s="128" t="str">
        <f>+MID(Tabla3[[#This Row],['# Viaje]],10,1)</f>
        <v/>
      </c>
    </row>
    <row r="1087" spans="1:28" ht="15" hidden="1" customHeight="1">
      <c r="A1087" s="173" t="s">
        <v>1680</v>
      </c>
      <c r="B1087" s="174">
        <v>42949</v>
      </c>
      <c r="C1087" s="173" t="s">
        <v>1231</v>
      </c>
      <c r="D1087" s="173" t="s">
        <v>1237</v>
      </c>
      <c r="E1087" s="173" t="s">
        <v>1232</v>
      </c>
      <c r="F1087" s="173">
        <v>1</v>
      </c>
      <c r="G1087" s="173" t="s">
        <v>37</v>
      </c>
      <c r="H1087" s="173">
        <v>1</v>
      </c>
      <c r="I1087" s="173" t="s">
        <v>1681</v>
      </c>
      <c r="J1087" s="173" t="s">
        <v>27</v>
      </c>
      <c r="K1087" s="173" t="s">
        <v>16</v>
      </c>
      <c r="L1087" s="173"/>
      <c r="M1087" s="173" t="s">
        <v>148</v>
      </c>
      <c r="N1087" s="173">
        <v>890705341</v>
      </c>
      <c r="O1087" s="175">
        <v>5789916</v>
      </c>
      <c r="P1087" s="7"/>
      <c r="Q1087" s="16">
        <f>+IF(IFERROR(VLOOKUP(Tabla3[[#This Row],[Cliente factura]],Tabla4[[NIT]:[TOTAL CREDITO]],3,FALSE),0)="",0,IFERROR(VLOOKUP(Tabla3[[#This Row],[Cliente factura]],Tabla4[[NIT]:[TOTAL CREDITO]],3,FALSE),0))</f>
        <v>68342860</v>
      </c>
      <c r="R1087" s="9">
        <f>+IFERROR(VLOOKUP(Tabla3[[#This Row],[Cliente factura]],Tabla4[[NIT]:[TOTAL CREDITO]],6,FALSE),0)</f>
        <v>0</v>
      </c>
      <c r="S1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7" s="10" t="str">
        <f>VLOOKUP(Tabla3[[#This Row],[Razón social cliente factura]]&amp;Tabla3[[#This Row],[Desc. ciudad]],'Estandar de Rutas'!$C$1:$E$553,2,FALSE)</f>
        <v>5.0</v>
      </c>
      <c r="U1087" s="130">
        <f>IFERROR(VLOOKUP(Tabla3[[#This Row],[Referencia]]&amp;Tabla3[[#This Row],[Desc detalle ext 1]],Tabla1[[Referencia-Color]:[Disponibilidad]],3,FALSE),0)</f>
        <v>3</v>
      </c>
      <c r="V1087" s="13"/>
      <c r="W1087" s="17">
        <f>+Tabla3[[#This Row],[Cant. Programada]]*Tabla3[[#This Row],[Precio unit]]</f>
        <v>0</v>
      </c>
      <c r="X1087" s="8"/>
      <c r="Y1087" s="8"/>
      <c r="Z1087" s="8" t="str">
        <f>+Tabla3[[#This Row],[Referencia]]&amp;Tabla3[[#This Row],[Desc detalle ext 1]]</f>
        <v xml:space="preserve">*XR 150L                                          NEGRO    </v>
      </c>
      <c r="AA1087" s="128" t="e">
        <f>+VLOOKUP(Tabla3[[#This Row],[CODIGO2]],ESTANDAR!$B$3:$C$9,2,FALSE)</f>
        <v>#N/A</v>
      </c>
      <c r="AB1087" s="128" t="str">
        <f>+MID(Tabla3[[#This Row],['# Viaje]],10,1)</f>
        <v/>
      </c>
    </row>
    <row r="1088" spans="1:28" ht="15" hidden="1" customHeight="1">
      <c r="A1088" s="173" t="s">
        <v>1680</v>
      </c>
      <c r="B1088" s="174">
        <v>42949</v>
      </c>
      <c r="C1088" s="173" t="s">
        <v>1231</v>
      </c>
      <c r="D1088" s="173" t="s">
        <v>1237</v>
      </c>
      <c r="E1088" s="173" t="s">
        <v>1232</v>
      </c>
      <c r="F1088" s="173">
        <v>1</v>
      </c>
      <c r="G1088" s="173" t="s">
        <v>37</v>
      </c>
      <c r="H1088" s="173">
        <v>1</v>
      </c>
      <c r="I1088" s="173" t="s">
        <v>1681</v>
      </c>
      <c r="J1088" s="173" t="s">
        <v>354</v>
      </c>
      <c r="K1088" s="173" t="s">
        <v>474</v>
      </c>
      <c r="L1088" s="173"/>
      <c r="M1088" s="173" t="s">
        <v>148</v>
      </c>
      <c r="N1088" s="173">
        <v>890705341</v>
      </c>
      <c r="O1088" s="175">
        <v>6133613</v>
      </c>
      <c r="P1088" s="7"/>
      <c r="Q1088" s="16">
        <f>+IF(IFERROR(VLOOKUP(Tabla3[[#This Row],[Cliente factura]],Tabla4[[NIT]:[TOTAL CREDITO]],3,FALSE),0)="",0,IFERROR(VLOOKUP(Tabla3[[#This Row],[Cliente factura]],Tabla4[[NIT]:[TOTAL CREDITO]],3,FALSE),0))</f>
        <v>68342860</v>
      </c>
      <c r="R1088" s="9">
        <f>+IFERROR(VLOOKUP(Tabla3[[#This Row],[Cliente factura]],Tabla4[[NIT]:[TOTAL CREDITO]],6,FALSE),0)</f>
        <v>0</v>
      </c>
      <c r="S1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8" s="10" t="str">
        <f>VLOOKUP(Tabla3[[#This Row],[Razón social cliente factura]]&amp;Tabla3[[#This Row],[Desc. ciudad]],'Estandar de Rutas'!$C$1:$E$553,2,FALSE)</f>
        <v>5.0</v>
      </c>
      <c r="U1088" s="130">
        <f>IFERROR(VLOOKUP(Tabla3[[#This Row],[Referencia]]&amp;Tabla3[[#This Row],[Desc detalle ext 1]],Tabla1[[Referencia-Color]:[Disponibilidad]],3,FALSE),0)</f>
        <v>3</v>
      </c>
      <c r="V1088" s="13"/>
      <c r="W1088" s="17">
        <f>+Tabla3[[#This Row],[Cant. Programada]]*Tabla3[[#This Row],[Precio unit]]</f>
        <v>0</v>
      </c>
      <c r="X1088" s="8"/>
      <c r="Y1088" s="8"/>
      <c r="Z1088" s="8" t="str">
        <f>+Tabla3[[#This Row],[Referencia]]&amp;Tabla3[[#This Row],[Desc detalle ext 1]]</f>
        <v>CB 160F DLX                                       NARANJA N</v>
      </c>
      <c r="AA1088" s="128" t="e">
        <f>+VLOOKUP(Tabla3[[#This Row],[CODIGO2]],ESTANDAR!$B$3:$C$9,2,FALSE)</f>
        <v>#N/A</v>
      </c>
      <c r="AB1088" s="128" t="str">
        <f>+MID(Tabla3[[#This Row],['# Viaje]],10,1)</f>
        <v/>
      </c>
    </row>
    <row r="1089" spans="1:28" ht="15" hidden="1" customHeight="1">
      <c r="A1089" s="173" t="s">
        <v>1680</v>
      </c>
      <c r="B1089" s="174">
        <v>42949</v>
      </c>
      <c r="C1089" s="173" t="s">
        <v>1231</v>
      </c>
      <c r="D1089" s="173" t="s">
        <v>1237</v>
      </c>
      <c r="E1089" s="173" t="s">
        <v>1232</v>
      </c>
      <c r="F1089" s="173">
        <v>2</v>
      </c>
      <c r="G1089" s="173" t="s">
        <v>37</v>
      </c>
      <c r="H1089" s="173">
        <v>2</v>
      </c>
      <c r="I1089" s="173" t="s">
        <v>1681</v>
      </c>
      <c r="J1089" s="173" t="s">
        <v>354</v>
      </c>
      <c r="K1089" s="173" t="s">
        <v>17</v>
      </c>
      <c r="L1089" s="173"/>
      <c r="M1089" s="173" t="s">
        <v>148</v>
      </c>
      <c r="N1089" s="173">
        <v>890705341</v>
      </c>
      <c r="O1089" s="175">
        <v>6133613</v>
      </c>
      <c r="P1089" s="7"/>
      <c r="Q1089" s="16">
        <f>+IF(IFERROR(VLOOKUP(Tabla3[[#This Row],[Cliente factura]],Tabla4[[NIT]:[TOTAL CREDITO]],3,FALSE),0)="",0,IFERROR(VLOOKUP(Tabla3[[#This Row],[Cliente factura]],Tabla4[[NIT]:[TOTAL CREDITO]],3,FALSE),0))</f>
        <v>68342860</v>
      </c>
      <c r="R1089" s="9">
        <f>+IFERROR(VLOOKUP(Tabla3[[#This Row],[Cliente factura]],Tabla4[[NIT]:[TOTAL CREDITO]],6,FALSE),0)</f>
        <v>0</v>
      </c>
      <c r="S1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9" s="10" t="str">
        <f>VLOOKUP(Tabla3[[#This Row],[Razón social cliente factura]]&amp;Tabla3[[#This Row],[Desc. ciudad]],'Estandar de Rutas'!$C$1:$E$553,2,FALSE)</f>
        <v>5.0</v>
      </c>
      <c r="U1089" s="130">
        <f>IFERROR(VLOOKUP(Tabla3[[#This Row],[Referencia]]&amp;Tabla3[[#This Row],[Desc detalle ext 1]],Tabla1[[Referencia-Color]:[Disponibilidad]],3,FALSE),0)</f>
        <v>48</v>
      </c>
      <c r="V1089" s="13"/>
      <c r="W1089" s="17">
        <f>+Tabla3[[#This Row],[Cant. Programada]]*Tabla3[[#This Row],[Precio unit]]</f>
        <v>0</v>
      </c>
      <c r="X1089" s="8"/>
      <c r="Y1089" s="8"/>
      <c r="Z1089" s="8" t="str">
        <f>+Tabla3[[#This Row],[Referencia]]&amp;Tabla3[[#This Row],[Desc detalle ext 1]]</f>
        <v>CB 160F DLX                                       ROJO SPOR</v>
      </c>
      <c r="AA1089" s="128" t="e">
        <f>+VLOOKUP(Tabla3[[#This Row],[CODIGO2]],ESTANDAR!$B$3:$C$9,2,FALSE)</f>
        <v>#N/A</v>
      </c>
      <c r="AB1089" s="128" t="str">
        <f>+MID(Tabla3[[#This Row],['# Viaje]],10,1)</f>
        <v/>
      </c>
    </row>
    <row r="1090" spans="1:28" ht="15" hidden="1" customHeight="1">
      <c r="A1090" s="173" t="s">
        <v>1680</v>
      </c>
      <c r="B1090" s="174">
        <v>42949</v>
      </c>
      <c r="C1090" s="173" t="s">
        <v>1231</v>
      </c>
      <c r="D1090" s="173" t="s">
        <v>1237</v>
      </c>
      <c r="E1090" s="173" t="s">
        <v>1232</v>
      </c>
      <c r="F1090" s="173">
        <v>2</v>
      </c>
      <c r="G1090" s="173" t="s">
        <v>37</v>
      </c>
      <c r="H1090" s="173">
        <v>2</v>
      </c>
      <c r="I1090" s="173" t="s">
        <v>1681</v>
      </c>
      <c r="J1090" s="173" t="s">
        <v>354</v>
      </c>
      <c r="K1090" s="173" t="s">
        <v>355</v>
      </c>
      <c r="L1090" s="173"/>
      <c r="M1090" s="173" t="s">
        <v>148</v>
      </c>
      <c r="N1090" s="173">
        <v>890705341</v>
      </c>
      <c r="O1090" s="175">
        <v>6133613</v>
      </c>
      <c r="P1090" s="7"/>
      <c r="Q1090" s="16">
        <f>+IF(IFERROR(VLOOKUP(Tabla3[[#This Row],[Cliente factura]],Tabla4[[NIT]:[TOTAL CREDITO]],3,FALSE),0)="",0,IFERROR(VLOOKUP(Tabla3[[#This Row],[Cliente factura]],Tabla4[[NIT]:[TOTAL CREDITO]],3,FALSE),0))</f>
        <v>68342860</v>
      </c>
      <c r="R1090" s="9">
        <f>+IFERROR(VLOOKUP(Tabla3[[#This Row],[Cliente factura]],Tabla4[[NIT]:[TOTAL CREDITO]],6,FALSE),0)</f>
        <v>0</v>
      </c>
      <c r="S1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0" s="10" t="str">
        <f>VLOOKUP(Tabla3[[#This Row],[Razón social cliente factura]]&amp;Tabla3[[#This Row],[Desc. ciudad]],'Estandar de Rutas'!$C$1:$E$553,2,FALSE)</f>
        <v>5.0</v>
      </c>
      <c r="U1090" s="130">
        <f>IFERROR(VLOOKUP(Tabla3[[#This Row],[Referencia]]&amp;Tabla3[[#This Row],[Desc detalle ext 1]],Tabla1[[Referencia-Color]:[Disponibilidad]],3,FALSE),0)</f>
        <v>0</v>
      </c>
      <c r="V1090" s="13"/>
      <c r="W1090" s="17">
        <f>+Tabla3[[#This Row],[Cant. Programada]]*Tabla3[[#This Row],[Precio unit]]</f>
        <v>0</v>
      </c>
      <c r="X1090" s="8"/>
      <c r="Y1090" s="8"/>
      <c r="Z1090" s="8" t="str">
        <f>+Tabla3[[#This Row],[Referencia]]&amp;Tabla3[[#This Row],[Desc detalle ext 1]]</f>
        <v>CB 160F DLX                                       NEGRO PER</v>
      </c>
      <c r="AA1090" s="128" t="e">
        <f>+VLOOKUP(Tabla3[[#This Row],[CODIGO2]],ESTANDAR!$B$3:$C$9,2,FALSE)</f>
        <v>#N/A</v>
      </c>
      <c r="AB1090" s="128" t="str">
        <f>+MID(Tabla3[[#This Row],['# Viaje]],10,1)</f>
        <v/>
      </c>
    </row>
    <row r="1091" spans="1:28" ht="15" hidden="1" customHeight="1">
      <c r="A1091" s="173" t="s">
        <v>1680</v>
      </c>
      <c r="B1091" s="174">
        <v>42949</v>
      </c>
      <c r="C1091" s="173" t="s">
        <v>1231</v>
      </c>
      <c r="D1091" s="173" t="s">
        <v>1237</v>
      </c>
      <c r="E1091" s="173" t="s">
        <v>1232</v>
      </c>
      <c r="F1091" s="173">
        <v>1</v>
      </c>
      <c r="G1091" s="173" t="s">
        <v>37</v>
      </c>
      <c r="H1091" s="173">
        <v>1</v>
      </c>
      <c r="I1091" s="173" t="s">
        <v>1681</v>
      </c>
      <c r="J1091" s="173" t="s">
        <v>1433</v>
      </c>
      <c r="K1091" s="173" t="s">
        <v>1452</v>
      </c>
      <c r="L1091" s="173"/>
      <c r="M1091" s="173" t="s">
        <v>148</v>
      </c>
      <c r="N1091" s="173">
        <v>890705341</v>
      </c>
      <c r="O1091" s="175">
        <v>3521008</v>
      </c>
      <c r="P1091" s="7"/>
      <c r="Q1091" s="16">
        <f>+IF(IFERROR(VLOOKUP(Tabla3[[#This Row],[Cliente factura]],Tabla4[[NIT]:[TOTAL CREDITO]],3,FALSE),0)="",0,IFERROR(VLOOKUP(Tabla3[[#This Row],[Cliente factura]],Tabla4[[NIT]:[TOTAL CREDITO]],3,FALSE),0))</f>
        <v>68342860</v>
      </c>
      <c r="R1091" s="9">
        <f>+IFERROR(VLOOKUP(Tabla3[[#This Row],[Cliente factura]],Tabla4[[NIT]:[TOTAL CREDITO]],6,FALSE),0)</f>
        <v>0</v>
      </c>
      <c r="S1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1" s="10" t="str">
        <f>VLOOKUP(Tabla3[[#This Row],[Razón social cliente factura]]&amp;Tabla3[[#This Row],[Desc. ciudad]],'Estandar de Rutas'!$C$1:$E$553,2,FALSE)</f>
        <v>5.0</v>
      </c>
      <c r="U1091" s="130">
        <f>IFERROR(VLOOKUP(Tabla3[[#This Row],[Referencia]]&amp;Tabla3[[#This Row],[Desc detalle ext 1]],Tabla1[[Referencia-Color]:[Disponibilidad]],3,FALSE),0)</f>
        <v>0</v>
      </c>
      <c r="V1091" s="13"/>
      <c r="W1091" s="17">
        <f>+Tabla3[[#This Row],[Cant. Programada]]*Tabla3[[#This Row],[Precio unit]]</f>
        <v>0</v>
      </c>
      <c r="X1091" s="8"/>
      <c r="Y1091" s="8"/>
      <c r="Z1091" s="8" t="str">
        <f>+Tabla3[[#This Row],[Referencia]]&amp;Tabla3[[#This Row],[Desc detalle ext 1]]</f>
        <v xml:space="preserve">DIO  110                                          AZUL     </v>
      </c>
      <c r="AA1091" s="128" t="e">
        <f>+VLOOKUP(Tabla3[[#This Row],[CODIGO2]],ESTANDAR!$B$3:$C$9,2,FALSE)</f>
        <v>#N/A</v>
      </c>
      <c r="AB1091" s="128" t="str">
        <f>+MID(Tabla3[[#This Row],['# Viaje]],10,1)</f>
        <v/>
      </c>
    </row>
    <row r="1092" spans="1:28" ht="15" hidden="1" customHeight="1">
      <c r="A1092" s="173" t="s">
        <v>1680</v>
      </c>
      <c r="B1092" s="174">
        <v>42949</v>
      </c>
      <c r="C1092" s="173" t="s">
        <v>1231</v>
      </c>
      <c r="D1092" s="173" t="s">
        <v>1237</v>
      </c>
      <c r="E1092" s="173" t="s">
        <v>1232</v>
      </c>
      <c r="F1092" s="173">
        <v>2</v>
      </c>
      <c r="G1092" s="173" t="s">
        <v>37</v>
      </c>
      <c r="H1092" s="173">
        <v>2</v>
      </c>
      <c r="I1092" s="173" t="s">
        <v>1681</v>
      </c>
      <c r="J1092" s="173" t="s">
        <v>1433</v>
      </c>
      <c r="K1092" s="173" t="s">
        <v>1431</v>
      </c>
      <c r="L1092" s="173"/>
      <c r="M1092" s="173" t="s">
        <v>148</v>
      </c>
      <c r="N1092" s="173">
        <v>890705341</v>
      </c>
      <c r="O1092" s="175">
        <v>3521008</v>
      </c>
      <c r="P1092" s="7"/>
      <c r="Q1092" s="16">
        <f>+IF(IFERROR(VLOOKUP(Tabla3[[#This Row],[Cliente factura]],Tabla4[[NIT]:[TOTAL CREDITO]],3,FALSE),0)="",0,IFERROR(VLOOKUP(Tabla3[[#This Row],[Cliente factura]],Tabla4[[NIT]:[TOTAL CREDITO]],3,FALSE),0))</f>
        <v>68342860</v>
      </c>
      <c r="R1092" s="9">
        <f>+IFERROR(VLOOKUP(Tabla3[[#This Row],[Cliente factura]],Tabla4[[NIT]:[TOTAL CREDITO]],6,FALSE),0)</f>
        <v>0</v>
      </c>
      <c r="S1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2" s="10" t="str">
        <f>VLOOKUP(Tabla3[[#This Row],[Razón social cliente factura]]&amp;Tabla3[[#This Row],[Desc. ciudad]],'Estandar de Rutas'!$C$1:$E$553,2,FALSE)</f>
        <v>5.0</v>
      </c>
      <c r="U1092" s="130">
        <f>IFERROR(VLOOKUP(Tabla3[[#This Row],[Referencia]]&amp;Tabla3[[#This Row],[Desc detalle ext 1]],Tabla1[[Referencia-Color]:[Disponibilidad]],3,FALSE),0)</f>
        <v>0</v>
      </c>
      <c r="V1092" s="13"/>
      <c r="W1092" s="17">
        <f>+Tabla3[[#This Row],[Cant. Programada]]*Tabla3[[#This Row],[Precio unit]]</f>
        <v>0</v>
      </c>
      <c r="X1092" s="8"/>
      <c r="Y1092" s="8"/>
      <c r="Z1092" s="8" t="str">
        <f>+Tabla3[[#This Row],[Referencia]]&amp;Tabla3[[#This Row],[Desc detalle ext 1]]</f>
        <v xml:space="preserve">DIO  110                                          ROJO     </v>
      </c>
      <c r="AA1092" s="128" t="e">
        <f>+VLOOKUP(Tabla3[[#This Row],[CODIGO2]],ESTANDAR!$B$3:$C$9,2,FALSE)</f>
        <v>#N/A</v>
      </c>
      <c r="AB1092" s="128" t="str">
        <f>+MID(Tabla3[[#This Row],['# Viaje]],10,1)</f>
        <v/>
      </c>
    </row>
    <row r="1093" spans="1:28" ht="15" hidden="1" customHeight="1">
      <c r="A1093" s="173" t="s">
        <v>1680</v>
      </c>
      <c r="B1093" s="174">
        <v>42949</v>
      </c>
      <c r="C1093" s="173" t="s">
        <v>1231</v>
      </c>
      <c r="D1093" s="173" t="s">
        <v>1237</v>
      </c>
      <c r="E1093" s="173" t="s">
        <v>1232</v>
      </c>
      <c r="F1093" s="173">
        <v>1</v>
      </c>
      <c r="G1093" s="173" t="s">
        <v>37</v>
      </c>
      <c r="H1093" s="173">
        <v>1</v>
      </c>
      <c r="I1093" s="173" t="s">
        <v>1681</v>
      </c>
      <c r="J1093" s="173" t="s">
        <v>1428</v>
      </c>
      <c r="K1093" s="173" t="s">
        <v>1461</v>
      </c>
      <c r="L1093" s="173"/>
      <c r="M1093" s="173" t="s">
        <v>148</v>
      </c>
      <c r="N1093" s="173">
        <v>890705341</v>
      </c>
      <c r="O1093" s="175">
        <v>3067227</v>
      </c>
      <c r="P1093" s="7"/>
      <c r="Q1093" s="16">
        <f>+IF(IFERROR(VLOOKUP(Tabla3[[#This Row],[Cliente factura]],Tabla4[[NIT]:[TOTAL CREDITO]],3,FALSE),0)="",0,IFERROR(VLOOKUP(Tabla3[[#This Row],[Cliente factura]],Tabla4[[NIT]:[TOTAL CREDITO]],3,FALSE),0))</f>
        <v>68342860</v>
      </c>
      <c r="R1093" s="9">
        <f>+IFERROR(VLOOKUP(Tabla3[[#This Row],[Cliente factura]],Tabla4[[NIT]:[TOTAL CREDITO]],6,FALSE),0)</f>
        <v>0</v>
      </c>
      <c r="S1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3" s="10" t="str">
        <f>VLOOKUP(Tabla3[[#This Row],[Razón social cliente factura]]&amp;Tabla3[[#This Row],[Desc. ciudad]],'Estandar de Rutas'!$C$1:$E$553,2,FALSE)</f>
        <v>5.0</v>
      </c>
      <c r="U1093" s="130">
        <f>IFERROR(VLOOKUP(Tabla3[[#This Row],[Referencia]]&amp;Tabla3[[#This Row],[Desc detalle ext 1]],Tabla1[[Referencia-Color]:[Disponibilidad]],3,FALSE),0)</f>
        <v>0</v>
      </c>
      <c r="V1093" s="13"/>
      <c r="W1093" s="17">
        <f>+Tabla3[[#This Row],[Cant. Programada]]*Tabla3[[#This Row],[Precio unit]]</f>
        <v>0</v>
      </c>
      <c r="X1093" s="8"/>
      <c r="Y1093" s="8"/>
      <c r="Z1093" s="8" t="str">
        <f>+Tabla3[[#This Row],[Referencia]]&amp;Tabla3[[#This Row],[Desc detalle ext 1]]</f>
        <v>DREAM  NEO                                        ROJO ALFA</v>
      </c>
      <c r="AA1093" s="128" t="e">
        <f>+VLOOKUP(Tabla3[[#This Row],[CODIGO2]],ESTANDAR!$B$3:$C$9,2,FALSE)</f>
        <v>#N/A</v>
      </c>
      <c r="AB1093" s="128" t="str">
        <f>+MID(Tabla3[[#This Row],['# Viaje]],10,1)</f>
        <v/>
      </c>
    </row>
    <row r="1094" spans="1:28" ht="15" hidden="1" customHeight="1">
      <c r="A1094" s="173" t="s">
        <v>1680</v>
      </c>
      <c r="B1094" s="174">
        <v>42949</v>
      </c>
      <c r="C1094" s="173" t="s">
        <v>1231</v>
      </c>
      <c r="D1094" s="173" t="s">
        <v>1237</v>
      </c>
      <c r="E1094" s="173" t="s">
        <v>1232</v>
      </c>
      <c r="F1094" s="173">
        <v>1</v>
      </c>
      <c r="G1094" s="173" t="s">
        <v>37</v>
      </c>
      <c r="H1094" s="173">
        <v>1</v>
      </c>
      <c r="I1094" s="173" t="s">
        <v>1681</v>
      </c>
      <c r="J1094" s="173" t="s">
        <v>1428</v>
      </c>
      <c r="K1094" s="173" t="s">
        <v>32</v>
      </c>
      <c r="L1094" s="173"/>
      <c r="M1094" s="173" t="s">
        <v>148</v>
      </c>
      <c r="N1094" s="173">
        <v>890705341</v>
      </c>
      <c r="O1094" s="175">
        <v>3067227</v>
      </c>
      <c r="P1094" s="7"/>
      <c r="Q1094" s="16">
        <f>+IF(IFERROR(VLOOKUP(Tabla3[[#This Row],[Cliente factura]],Tabla4[[NIT]:[TOTAL CREDITO]],3,FALSE),0)="",0,IFERROR(VLOOKUP(Tabla3[[#This Row],[Cliente factura]],Tabla4[[NIT]:[TOTAL CREDITO]],3,FALSE),0))</f>
        <v>68342860</v>
      </c>
      <c r="R1094" s="9">
        <f>+IFERROR(VLOOKUP(Tabla3[[#This Row],[Cliente factura]],Tabla4[[NIT]:[TOTAL CREDITO]],6,FALSE),0)</f>
        <v>0</v>
      </c>
      <c r="S1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4" s="10" t="str">
        <f>VLOOKUP(Tabla3[[#This Row],[Razón social cliente factura]]&amp;Tabla3[[#This Row],[Desc. ciudad]],'Estandar de Rutas'!$C$1:$E$553,2,FALSE)</f>
        <v>5.0</v>
      </c>
      <c r="U1094" s="130">
        <f>IFERROR(VLOOKUP(Tabla3[[#This Row],[Referencia]]&amp;Tabla3[[#This Row],[Desc detalle ext 1]],Tabla1[[Referencia-Color]:[Disponibilidad]],3,FALSE),0)</f>
        <v>0</v>
      </c>
      <c r="V1094" s="13"/>
      <c r="W1094" s="17">
        <f>+Tabla3[[#This Row],[Cant. Programada]]*Tabla3[[#This Row],[Precio unit]]</f>
        <v>0</v>
      </c>
      <c r="X1094" s="8"/>
      <c r="Y1094" s="8"/>
      <c r="Z1094" s="8" t="str">
        <f>+Tabla3[[#This Row],[Referencia]]&amp;Tabla3[[#This Row],[Desc detalle ext 1]]</f>
        <v>DREAM  NEO                                        NEGRO ROJ</v>
      </c>
      <c r="AA1094" s="128" t="e">
        <f>+VLOOKUP(Tabla3[[#This Row],[CODIGO2]],ESTANDAR!$B$3:$C$9,2,FALSE)</f>
        <v>#N/A</v>
      </c>
      <c r="AB1094" s="128" t="str">
        <f>+MID(Tabla3[[#This Row],['# Viaje]],10,1)</f>
        <v/>
      </c>
    </row>
    <row r="1095" spans="1:28" ht="15" hidden="1" customHeight="1">
      <c r="A1095" s="173" t="s">
        <v>1680</v>
      </c>
      <c r="B1095" s="174">
        <v>42949</v>
      </c>
      <c r="C1095" s="173" t="s">
        <v>1231</v>
      </c>
      <c r="D1095" s="173" t="s">
        <v>1237</v>
      </c>
      <c r="E1095" s="173" t="s">
        <v>1232</v>
      </c>
      <c r="F1095" s="173">
        <v>1</v>
      </c>
      <c r="G1095" s="173" t="s">
        <v>37</v>
      </c>
      <c r="H1095" s="173">
        <v>1</v>
      </c>
      <c r="I1095" s="173" t="s">
        <v>1681</v>
      </c>
      <c r="J1095" s="173" t="s">
        <v>1428</v>
      </c>
      <c r="K1095" s="173" t="s">
        <v>1429</v>
      </c>
      <c r="L1095" s="173"/>
      <c r="M1095" s="173" t="s">
        <v>148</v>
      </c>
      <c r="N1095" s="173">
        <v>890705341</v>
      </c>
      <c r="O1095" s="175">
        <v>3067227</v>
      </c>
      <c r="P1095" s="7"/>
      <c r="Q1095" s="16">
        <f>+IF(IFERROR(VLOOKUP(Tabla3[[#This Row],[Cliente factura]],Tabla4[[NIT]:[TOTAL CREDITO]],3,FALSE),0)="",0,IFERROR(VLOOKUP(Tabla3[[#This Row],[Cliente factura]],Tabla4[[NIT]:[TOTAL CREDITO]],3,FALSE),0))</f>
        <v>68342860</v>
      </c>
      <c r="R1095" s="9">
        <f>+IFERROR(VLOOKUP(Tabla3[[#This Row],[Cliente factura]],Tabla4[[NIT]:[TOTAL CREDITO]],6,FALSE),0)</f>
        <v>0</v>
      </c>
      <c r="S1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5" s="10" t="str">
        <f>VLOOKUP(Tabla3[[#This Row],[Razón social cliente factura]]&amp;Tabla3[[#This Row],[Desc. ciudad]],'Estandar de Rutas'!$C$1:$E$553,2,FALSE)</f>
        <v>5.0</v>
      </c>
      <c r="U1095" s="130">
        <f>IFERROR(VLOOKUP(Tabla3[[#This Row],[Referencia]]&amp;Tabla3[[#This Row],[Desc detalle ext 1]],Tabla1[[Referencia-Color]:[Disponibilidad]],3,FALSE),0)</f>
        <v>0</v>
      </c>
      <c r="V1095" s="13"/>
      <c r="W1095" s="17">
        <f>+Tabla3[[#This Row],[Cant. Programada]]*Tabla3[[#This Row],[Precio unit]]</f>
        <v>0</v>
      </c>
      <c r="X1095" s="8"/>
      <c r="Y1095" s="8"/>
      <c r="Z1095" s="8" t="str">
        <f>+Tabla3[[#This Row],[Referencia]]&amp;Tabla3[[#This Row],[Desc detalle ext 1]]</f>
        <v>DREAM  NEO                                        NEGRO AZU</v>
      </c>
      <c r="AA1095" s="128" t="e">
        <f>+VLOOKUP(Tabla3[[#This Row],[CODIGO2]],ESTANDAR!$B$3:$C$9,2,FALSE)</f>
        <v>#N/A</v>
      </c>
      <c r="AB1095" s="128" t="str">
        <f>+MID(Tabla3[[#This Row],['# Viaje]],10,1)</f>
        <v/>
      </c>
    </row>
    <row r="1096" spans="1:28" ht="15" hidden="1" customHeight="1">
      <c r="A1096" s="173" t="s">
        <v>1680</v>
      </c>
      <c r="B1096" s="174">
        <v>42949</v>
      </c>
      <c r="C1096" s="173" t="s">
        <v>1231</v>
      </c>
      <c r="D1096" s="173" t="s">
        <v>1237</v>
      </c>
      <c r="E1096" s="173" t="s">
        <v>1232</v>
      </c>
      <c r="F1096" s="173">
        <v>2</v>
      </c>
      <c r="G1096" s="173" t="s">
        <v>37</v>
      </c>
      <c r="H1096" s="173">
        <v>2</v>
      </c>
      <c r="I1096" s="173" t="s">
        <v>1681</v>
      </c>
      <c r="J1096" s="173" t="s">
        <v>1430</v>
      </c>
      <c r="K1096" s="173" t="s">
        <v>1431</v>
      </c>
      <c r="L1096" s="173"/>
      <c r="M1096" s="173" t="s">
        <v>148</v>
      </c>
      <c r="N1096" s="173">
        <v>890705341</v>
      </c>
      <c r="O1096" s="175">
        <v>3941176</v>
      </c>
      <c r="P1096" s="7"/>
      <c r="Q1096" s="16">
        <f>+IF(IFERROR(VLOOKUP(Tabla3[[#This Row],[Cliente factura]],Tabla4[[NIT]:[TOTAL CREDITO]],3,FALSE),0)="",0,IFERROR(VLOOKUP(Tabla3[[#This Row],[Cliente factura]],Tabla4[[NIT]:[TOTAL CREDITO]],3,FALSE),0))</f>
        <v>68342860</v>
      </c>
      <c r="R1096" s="9">
        <f>+IFERROR(VLOOKUP(Tabla3[[#This Row],[Cliente factura]],Tabla4[[NIT]:[TOTAL CREDITO]],6,FALSE),0)</f>
        <v>0</v>
      </c>
      <c r="S1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6" s="10" t="str">
        <f>VLOOKUP(Tabla3[[#This Row],[Razón social cliente factura]]&amp;Tabla3[[#This Row],[Desc. ciudad]],'Estandar de Rutas'!$C$1:$E$553,2,FALSE)</f>
        <v>5.0</v>
      </c>
      <c r="U1096" s="130">
        <f>IFERROR(VLOOKUP(Tabla3[[#This Row],[Referencia]]&amp;Tabla3[[#This Row],[Desc detalle ext 1]],Tabla1[[Referencia-Color]:[Disponibilidad]],3,FALSE),0)</f>
        <v>0</v>
      </c>
      <c r="V1096" s="13"/>
      <c r="W1096" s="17">
        <f>+Tabla3[[#This Row],[Cant. Programada]]*Tabla3[[#This Row],[Precio unit]]</f>
        <v>0</v>
      </c>
      <c r="X1096" s="8"/>
      <c r="Y1096" s="8"/>
      <c r="Z1096" s="8" t="str">
        <f>+Tabla3[[#This Row],[Referencia]]&amp;Tabla3[[#This Row],[Desc detalle ext 1]]</f>
        <v xml:space="preserve">WAVE 110S                                         ROJO     </v>
      </c>
      <c r="AA1096" s="128" t="e">
        <f>+VLOOKUP(Tabla3[[#This Row],[CODIGO2]],ESTANDAR!$B$3:$C$9,2,FALSE)</f>
        <v>#N/A</v>
      </c>
      <c r="AB1096" s="128" t="str">
        <f>+MID(Tabla3[[#This Row],['# Viaje]],10,1)</f>
        <v/>
      </c>
    </row>
    <row r="1097" spans="1:28" ht="15" hidden="1" customHeight="1">
      <c r="A1097" s="173" t="s">
        <v>1680</v>
      </c>
      <c r="B1097" s="174">
        <v>42949</v>
      </c>
      <c r="C1097" s="173" t="s">
        <v>1231</v>
      </c>
      <c r="D1097" s="173" t="s">
        <v>1237</v>
      </c>
      <c r="E1097" s="173" t="s">
        <v>1232</v>
      </c>
      <c r="F1097" s="173">
        <v>1</v>
      </c>
      <c r="G1097" s="173" t="s">
        <v>37</v>
      </c>
      <c r="H1097" s="173">
        <v>1</v>
      </c>
      <c r="I1097" s="173" t="s">
        <v>1681</v>
      </c>
      <c r="J1097" s="173" t="s">
        <v>1430</v>
      </c>
      <c r="K1097" s="173" t="s">
        <v>1432</v>
      </c>
      <c r="L1097" s="173"/>
      <c r="M1097" s="173" t="s">
        <v>148</v>
      </c>
      <c r="N1097" s="173">
        <v>890705341</v>
      </c>
      <c r="O1097" s="175">
        <v>3941176</v>
      </c>
      <c r="P1097" s="7"/>
      <c r="Q1097" s="16">
        <f>+IF(IFERROR(VLOOKUP(Tabla3[[#This Row],[Cliente factura]],Tabla4[[NIT]:[TOTAL CREDITO]],3,FALSE),0)="",0,IFERROR(VLOOKUP(Tabla3[[#This Row],[Cliente factura]],Tabla4[[NIT]:[TOTAL CREDITO]],3,FALSE),0))</f>
        <v>68342860</v>
      </c>
      <c r="R1097" s="9">
        <f>+IFERROR(VLOOKUP(Tabla3[[#This Row],[Cliente factura]],Tabla4[[NIT]:[TOTAL CREDITO]],6,FALSE),0)</f>
        <v>0</v>
      </c>
      <c r="S1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7" s="10" t="str">
        <f>VLOOKUP(Tabla3[[#This Row],[Razón social cliente factura]]&amp;Tabla3[[#This Row],[Desc. ciudad]],'Estandar de Rutas'!$C$1:$E$553,2,FALSE)</f>
        <v>5.0</v>
      </c>
      <c r="U1097" s="130">
        <f>IFERROR(VLOOKUP(Tabla3[[#This Row],[Referencia]]&amp;Tabla3[[#This Row],[Desc detalle ext 1]],Tabla1[[Referencia-Color]:[Disponibilidad]],3,FALSE),0)</f>
        <v>23</v>
      </c>
      <c r="V1097" s="13"/>
      <c r="W1097" s="17">
        <f>+Tabla3[[#This Row],[Cant. Programada]]*Tabla3[[#This Row],[Precio unit]]</f>
        <v>0</v>
      </c>
      <c r="X1097" s="8"/>
      <c r="Y1097" s="8"/>
      <c r="Z1097" s="8" t="str">
        <f>+Tabla3[[#This Row],[Referencia]]&amp;Tabla3[[#This Row],[Desc detalle ext 1]]</f>
        <v xml:space="preserve">WAVE 110S                                         BLANCO   </v>
      </c>
      <c r="AA1097" s="128" t="e">
        <f>+VLOOKUP(Tabla3[[#This Row],[CODIGO2]],ESTANDAR!$B$3:$C$9,2,FALSE)</f>
        <v>#N/A</v>
      </c>
      <c r="AB1097" s="128" t="str">
        <f>+MID(Tabla3[[#This Row],['# Viaje]],10,1)</f>
        <v/>
      </c>
    </row>
    <row r="1098" spans="1:28" ht="15" hidden="1" customHeight="1">
      <c r="A1098" s="173" t="s">
        <v>1680</v>
      </c>
      <c r="B1098" s="174">
        <v>42949</v>
      </c>
      <c r="C1098" s="173" t="s">
        <v>1231</v>
      </c>
      <c r="D1098" s="173" t="s">
        <v>1237</v>
      </c>
      <c r="E1098" s="173" t="s">
        <v>1232</v>
      </c>
      <c r="F1098" s="173">
        <v>2</v>
      </c>
      <c r="G1098" s="173" t="s">
        <v>37</v>
      </c>
      <c r="H1098" s="173">
        <v>2</v>
      </c>
      <c r="I1098" s="173" t="s">
        <v>1681</v>
      </c>
      <c r="J1098" s="173" t="s">
        <v>1451</v>
      </c>
      <c r="K1098" s="173" t="s">
        <v>1452</v>
      </c>
      <c r="L1098" s="173"/>
      <c r="M1098" s="173" t="s">
        <v>148</v>
      </c>
      <c r="N1098" s="173">
        <v>890705341</v>
      </c>
      <c r="O1098" s="175">
        <v>3696639</v>
      </c>
      <c r="P1098" s="7"/>
      <c r="Q1098" s="16">
        <f>+IF(IFERROR(VLOOKUP(Tabla3[[#This Row],[Cliente factura]],Tabla4[[NIT]:[TOTAL CREDITO]],3,FALSE),0)="",0,IFERROR(VLOOKUP(Tabla3[[#This Row],[Cliente factura]],Tabla4[[NIT]:[TOTAL CREDITO]],3,FALSE),0))</f>
        <v>68342860</v>
      </c>
      <c r="R1098" s="9">
        <f>+IFERROR(VLOOKUP(Tabla3[[#This Row],[Cliente factura]],Tabla4[[NIT]:[TOTAL CREDITO]],6,FALSE),0)</f>
        <v>0</v>
      </c>
      <c r="S1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8" s="10" t="str">
        <f>VLOOKUP(Tabla3[[#This Row],[Razón social cliente factura]]&amp;Tabla3[[#This Row],[Desc. ciudad]],'Estandar de Rutas'!$C$1:$E$553,2,FALSE)</f>
        <v>5.0</v>
      </c>
      <c r="U1098" s="130">
        <f>IFERROR(VLOOKUP(Tabla3[[#This Row],[Referencia]]&amp;Tabla3[[#This Row],[Desc detalle ext 1]],Tabla1[[Referencia-Color]:[Disponibilidad]],3,FALSE),0)</f>
        <v>21</v>
      </c>
      <c r="V1098" s="13"/>
      <c r="W1098" s="17">
        <f>+Tabla3[[#This Row],[Cant. Programada]]*Tabla3[[#This Row],[Precio unit]]</f>
        <v>0</v>
      </c>
      <c r="X1098" s="8"/>
      <c r="Y1098" s="8"/>
      <c r="Z1098" s="8" t="str">
        <f>+Tabla3[[#This Row],[Referencia]]&amp;Tabla3[[#This Row],[Desc detalle ext 1]]</f>
        <v xml:space="preserve">CB 110 DLX                                        AZUL     </v>
      </c>
      <c r="AA1098" s="128" t="e">
        <f>+VLOOKUP(Tabla3[[#This Row],[CODIGO2]],ESTANDAR!$B$3:$C$9,2,FALSE)</f>
        <v>#N/A</v>
      </c>
      <c r="AB1098" s="128" t="str">
        <f>+MID(Tabla3[[#This Row],['# Viaje]],10,1)</f>
        <v/>
      </c>
    </row>
    <row r="1099" spans="1:28" ht="15" hidden="1" customHeight="1">
      <c r="A1099" s="173" t="s">
        <v>1680</v>
      </c>
      <c r="B1099" s="174">
        <v>42949</v>
      </c>
      <c r="C1099" s="173" t="s">
        <v>1231</v>
      </c>
      <c r="D1099" s="173" t="s">
        <v>1237</v>
      </c>
      <c r="E1099" s="173" t="s">
        <v>1232</v>
      </c>
      <c r="F1099" s="173">
        <v>3</v>
      </c>
      <c r="G1099" s="173" t="s">
        <v>37</v>
      </c>
      <c r="H1099" s="173">
        <v>3</v>
      </c>
      <c r="I1099" s="173" t="s">
        <v>1681</v>
      </c>
      <c r="J1099" s="173" t="s">
        <v>1451</v>
      </c>
      <c r="K1099" s="173" t="s">
        <v>16</v>
      </c>
      <c r="L1099" s="173"/>
      <c r="M1099" s="173" t="s">
        <v>148</v>
      </c>
      <c r="N1099" s="173">
        <v>890705341</v>
      </c>
      <c r="O1099" s="175">
        <v>3696639</v>
      </c>
      <c r="P1099" s="7"/>
      <c r="Q1099" s="16">
        <f>+IF(IFERROR(VLOOKUP(Tabla3[[#This Row],[Cliente factura]],Tabla4[[NIT]:[TOTAL CREDITO]],3,FALSE),0)="",0,IFERROR(VLOOKUP(Tabla3[[#This Row],[Cliente factura]],Tabla4[[NIT]:[TOTAL CREDITO]],3,FALSE),0))</f>
        <v>68342860</v>
      </c>
      <c r="R1099" s="9">
        <f>+IFERROR(VLOOKUP(Tabla3[[#This Row],[Cliente factura]],Tabla4[[NIT]:[TOTAL CREDITO]],6,FALSE),0)</f>
        <v>0</v>
      </c>
      <c r="S1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9" s="10" t="str">
        <f>VLOOKUP(Tabla3[[#This Row],[Razón social cliente factura]]&amp;Tabla3[[#This Row],[Desc. ciudad]],'Estandar de Rutas'!$C$1:$E$553,2,FALSE)</f>
        <v>5.0</v>
      </c>
      <c r="U1099" s="130">
        <f>IFERROR(VLOOKUP(Tabla3[[#This Row],[Referencia]]&amp;Tabla3[[#This Row],[Desc detalle ext 1]],Tabla1[[Referencia-Color]:[Disponibilidad]],3,FALSE),0)</f>
        <v>3</v>
      </c>
      <c r="V1099" s="13"/>
      <c r="W1099" s="17">
        <f>+Tabla3[[#This Row],[Cant. Programada]]*Tabla3[[#This Row],[Precio unit]]</f>
        <v>0</v>
      </c>
      <c r="X1099" s="8"/>
      <c r="Y1099" s="8"/>
      <c r="Z1099" s="8" t="str">
        <f>+Tabla3[[#This Row],[Referencia]]&amp;Tabla3[[#This Row],[Desc detalle ext 1]]</f>
        <v xml:space="preserve">CB 110 DLX                                        NEGRO    </v>
      </c>
      <c r="AA1099" s="128" t="e">
        <f>+VLOOKUP(Tabla3[[#This Row],[CODIGO2]],ESTANDAR!$B$3:$C$9,2,FALSE)</f>
        <v>#N/A</v>
      </c>
      <c r="AB1099" s="128" t="str">
        <f>+MID(Tabla3[[#This Row],['# Viaje]],10,1)</f>
        <v/>
      </c>
    </row>
    <row r="1100" spans="1:28" ht="15" hidden="1" customHeight="1">
      <c r="A1100" s="173" t="s">
        <v>1682</v>
      </c>
      <c r="B1100" s="174">
        <v>42949</v>
      </c>
      <c r="C1100" s="173" t="s">
        <v>1231</v>
      </c>
      <c r="D1100" s="173" t="s">
        <v>1237</v>
      </c>
      <c r="E1100" s="173" t="s">
        <v>1232</v>
      </c>
      <c r="F1100" s="173">
        <v>3</v>
      </c>
      <c r="G1100" s="173" t="s">
        <v>37</v>
      </c>
      <c r="H1100" s="173">
        <v>3</v>
      </c>
      <c r="I1100" s="173" t="s">
        <v>1683</v>
      </c>
      <c r="J1100" s="173" t="s">
        <v>14</v>
      </c>
      <c r="K1100" s="173" t="s">
        <v>16</v>
      </c>
      <c r="L1100" s="173"/>
      <c r="M1100" s="173" t="s">
        <v>39</v>
      </c>
      <c r="N1100" s="173">
        <v>890705341</v>
      </c>
      <c r="O1100" s="175">
        <v>3360504</v>
      </c>
      <c r="P1100" s="7"/>
      <c r="Q1100" s="16">
        <f>+IF(IFERROR(VLOOKUP(Tabla3[[#This Row],[Cliente factura]],Tabla4[[NIT]:[TOTAL CREDITO]],3,FALSE),0)="",0,IFERROR(VLOOKUP(Tabla3[[#This Row],[Cliente factura]],Tabla4[[NIT]:[TOTAL CREDITO]],3,FALSE),0))</f>
        <v>68342860</v>
      </c>
      <c r="R1100" s="9">
        <f>+IFERROR(VLOOKUP(Tabla3[[#This Row],[Cliente factura]],Tabla4[[NIT]:[TOTAL CREDITO]],6,FALSE),0)</f>
        <v>0</v>
      </c>
      <c r="S1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0" s="10" t="str">
        <f>VLOOKUP(Tabla3[[#This Row],[Razón social cliente factura]]&amp;Tabla3[[#This Row],[Desc. ciudad]],'Estandar de Rutas'!$C$1:$E$553,2,FALSE)</f>
        <v>6.1</v>
      </c>
      <c r="U1100" s="130">
        <f>IFERROR(VLOOKUP(Tabla3[[#This Row],[Referencia]]&amp;Tabla3[[#This Row],[Desc detalle ext 1]],Tabla1[[Referencia-Color]:[Disponibilidad]],3,FALSE),0)</f>
        <v>83</v>
      </c>
      <c r="V1100" s="13"/>
      <c r="W1100" s="17">
        <f>+Tabla3[[#This Row],[Cant. Programada]]*Tabla3[[#This Row],[Precio unit]]</f>
        <v>0</v>
      </c>
      <c r="X1100" s="8"/>
      <c r="Y1100" s="8"/>
      <c r="Z1100" s="8" t="str">
        <f>+Tabla3[[#This Row],[Referencia]]&amp;Tabla3[[#This Row],[Desc detalle ext 1]]</f>
        <v xml:space="preserve">*CB-110                                           NEGRO    </v>
      </c>
      <c r="AA1100" s="128" t="e">
        <f>+VLOOKUP(Tabla3[[#This Row],[CODIGO2]],ESTANDAR!$B$3:$C$9,2,FALSE)</f>
        <v>#N/A</v>
      </c>
      <c r="AB1100" s="128" t="str">
        <f>+MID(Tabla3[[#This Row],['# Viaje]],10,1)</f>
        <v/>
      </c>
    </row>
    <row r="1101" spans="1:28" ht="15" hidden="1" customHeight="1">
      <c r="A1101" s="173" t="s">
        <v>1682</v>
      </c>
      <c r="B1101" s="174">
        <v>42949</v>
      </c>
      <c r="C1101" s="173" t="s">
        <v>1231</v>
      </c>
      <c r="D1101" s="173" t="s">
        <v>1237</v>
      </c>
      <c r="E1101" s="173" t="s">
        <v>1232</v>
      </c>
      <c r="F1101" s="173">
        <v>1</v>
      </c>
      <c r="G1101" s="173" t="s">
        <v>37</v>
      </c>
      <c r="H1101" s="173">
        <v>1</v>
      </c>
      <c r="I1101" s="173" t="s">
        <v>1683</v>
      </c>
      <c r="J1101" s="173" t="s">
        <v>27</v>
      </c>
      <c r="K1101" s="173" t="s">
        <v>32</v>
      </c>
      <c r="L1101" s="173"/>
      <c r="M1101" s="173" t="s">
        <v>39</v>
      </c>
      <c r="N1101" s="173">
        <v>890705341</v>
      </c>
      <c r="O1101" s="175">
        <v>5789916</v>
      </c>
      <c r="P1101" s="7"/>
      <c r="Q1101" s="16">
        <f>+IF(IFERROR(VLOOKUP(Tabla3[[#This Row],[Cliente factura]],Tabla4[[NIT]:[TOTAL CREDITO]],3,FALSE),0)="",0,IFERROR(VLOOKUP(Tabla3[[#This Row],[Cliente factura]],Tabla4[[NIT]:[TOTAL CREDITO]],3,FALSE),0))</f>
        <v>68342860</v>
      </c>
      <c r="R1101" s="9">
        <f>+IFERROR(VLOOKUP(Tabla3[[#This Row],[Cliente factura]],Tabla4[[NIT]:[TOTAL CREDITO]],6,FALSE),0)</f>
        <v>0</v>
      </c>
      <c r="S1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1" s="10" t="str">
        <f>VLOOKUP(Tabla3[[#This Row],[Razón social cliente factura]]&amp;Tabla3[[#This Row],[Desc. ciudad]],'Estandar de Rutas'!$C$1:$E$553,2,FALSE)</f>
        <v>6.1</v>
      </c>
      <c r="U1101" s="130">
        <f>IFERROR(VLOOKUP(Tabla3[[#This Row],[Referencia]]&amp;Tabla3[[#This Row],[Desc detalle ext 1]],Tabla1[[Referencia-Color]:[Disponibilidad]],3,FALSE),0)</f>
        <v>7</v>
      </c>
      <c r="V1101" s="13"/>
      <c r="W1101" s="17">
        <f>+Tabla3[[#This Row],[Cant. Programada]]*Tabla3[[#This Row],[Precio unit]]</f>
        <v>0</v>
      </c>
      <c r="X1101" s="8"/>
      <c r="Y1101" s="8"/>
      <c r="Z1101" s="8" t="str">
        <f>+Tabla3[[#This Row],[Referencia]]&amp;Tabla3[[#This Row],[Desc detalle ext 1]]</f>
        <v>*XR 150L                                          NEGRO ROJ</v>
      </c>
      <c r="AA1101" s="128" t="e">
        <f>+VLOOKUP(Tabla3[[#This Row],[CODIGO2]],ESTANDAR!$B$3:$C$9,2,FALSE)</f>
        <v>#N/A</v>
      </c>
      <c r="AB1101" s="128" t="str">
        <f>+MID(Tabla3[[#This Row],['# Viaje]],10,1)</f>
        <v/>
      </c>
    </row>
    <row r="1102" spans="1:28" ht="15" hidden="1" customHeight="1">
      <c r="A1102" s="173" t="s">
        <v>1682</v>
      </c>
      <c r="B1102" s="174">
        <v>42949</v>
      </c>
      <c r="C1102" s="173" t="s">
        <v>1231</v>
      </c>
      <c r="D1102" s="173" t="s">
        <v>1237</v>
      </c>
      <c r="E1102" s="173" t="s">
        <v>1232</v>
      </c>
      <c r="F1102" s="173">
        <v>1</v>
      </c>
      <c r="G1102" s="173" t="s">
        <v>37</v>
      </c>
      <c r="H1102" s="173">
        <v>1</v>
      </c>
      <c r="I1102" s="173" t="s">
        <v>1683</v>
      </c>
      <c r="J1102" s="173" t="s">
        <v>27</v>
      </c>
      <c r="K1102" s="173" t="s">
        <v>26</v>
      </c>
      <c r="L1102" s="173"/>
      <c r="M1102" s="173" t="s">
        <v>39</v>
      </c>
      <c r="N1102" s="173">
        <v>890705341</v>
      </c>
      <c r="O1102" s="175">
        <v>5789916</v>
      </c>
      <c r="P1102" s="7"/>
      <c r="Q1102" s="16">
        <f>+IF(IFERROR(VLOOKUP(Tabla3[[#This Row],[Cliente factura]],Tabla4[[NIT]:[TOTAL CREDITO]],3,FALSE),0)="",0,IFERROR(VLOOKUP(Tabla3[[#This Row],[Cliente factura]],Tabla4[[NIT]:[TOTAL CREDITO]],3,FALSE),0))</f>
        <v>68342860</v>
      </c>
      <c r="R1102" s="9">
        <f>+IFERROR(VLOOKUP(Tabla3[[#This Row],[Cliente factura]],Tabla4[[NIT]:[TOTAL CREDITO]],6,FALSE),0)</f>
        <v>0</v>
      </c>
      <c r="S1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2" s="10" t="str">
        <f>VLOOKUP(Tabla3[[#This Row],[Razón social cliente factura]]&amp;Tabla3[[#This Row],[Desc. ciudad]],'Estandar de Rutas'!$C$1:$E$553,2,FALSE)</f>
        <v>6.1</v>
      </c>
      <c r="U1102" s="130">
        <f>IFERROR(VLOOKUP(Tabla3[[#This Row],[Referencia]]&amp;Tabla3[[#This Row],[Desc detalle ext 1]],Tabla1[[Referencia-Color]:[Disponibilidad]],3,FALSE),0)</f>
        <v>59</v>
      </c>
      <c r="V1102" s="13"/>
      <c r="W1102" s="17">
        <f>+Tabla3[[#This Row],[Cant. Programada]]*Tabla3[[#This Row],[Precio unit]]</f>
        <v>0</v>
      </c>
      <c r="X1102" s="8"/>
      <c r="Y1102" s="8"/>
      <c r="Z1102" s="8" t="str">
        <f>+Tabla3[[#This Row],[Referencia]]&amp;Tabla3[[#This Row],[Desc detalle ext 1]]</f>
        <v>*XR 150L                                          NEGRO BLA</v>
      </c>
      <c r="AA1102" s="128" t="e">
        <f>+VLOOKUP(Tabla3[[#This Row],[CODIGO2]],ESTANDAR!$B$3:$C$9,2,FALSE)</f>
        <v>#N/A</v>
      </c>
      <c r="AB1102" s="128" t="str">
        <f>+MID(Tabla3[[#This Row],['# Viaje]],10,1)</f>
        <v/>
      </c>
    </row>
    <row r="1103" spans="1:28" ht="15" hidden="1" customHeight="1">
      <c r="A1103" s="173" t="s">
        <v>1682</v>
      </c>
      <c r="B1103" s="174">
        <v>42949</v>
      </c>
      <c r="C1103" s="173" t="s">
        <v>1231</v>
      </c>
      <c r="D1103" s="173" t="s">
        <v>1237</v>
      </c>
      <c r="E1103" s="173" t="s">
        <v>1232</v>
      </c>
      <c r="F1103" s="173">
        <v>1</v>
      </c>
      <c r="G1103" s="173" t="s">
        <v>37</v>
      </c>
      <c r="H1103" s="173">
        <v>1</v>
      </c>
      <c r="I1103" s="173" t="s">
        <v>1683</v>
      </c>
      <c r="J1103" s="173" t="s">
        <v>27</v>
      </c>
      <c r="K1103" s="173" t="s">
        <v>16</v>
      </c>
      <c r="L1103" s="173"/>
      <c r="M1103" s="173" t="s">
        <v>39</v>
      </c>
      <c r="N1103" s="173">
        <v>890705341</v>
      </c>
      <c r="O1103" s="175">
        <v>5789916</v>
      </c>
      <c r="P1103" s="7"/>
      <c r="Q1103" s="16">
        <f>+IF(IFERROR(VLOOKUP(Tabla3[[#This Row],[Cliente factura]],Tabla4[[NIT]:[TOTAL CREDITO]],3,FALSE),0)="",0,IFERROR(VLOOKUP(Tabla3[[#This Row],[Cliente factura]],Tabla4[[NIT]:[TOTAL CREDITO]],3,FALSE),0))</f>
        <v>68342860</v>
      </c>
      <c r="R1103" s="9">
        <f>+IFERROR(VLOOKUP(Tabla3[[#This Row],[Cliente factura]],Tabla4[[NIT]:[TOTAL CREDITO]],6,FALSE),0)</f>
        <v>0</v>
      </c>
      <c r="S1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3" s="10" t="str">
        <f>VLOOKUP(Tabla3[[#This Row],[Razón social cliente factura]]&amp;Tabla3[[#This Row],[Desc. ciudad]],'Estandar de Rutas'!$C$1:$E$553,2,FALSE)</f>
        <v>6.1</v>
      </c>
      <c r="U1103" s="130">
        <f>IFERROR(VLOOKUP(Tabla3[[#This Row],[Referencia]]&amp;Tabla3[[#This Row],[Desc detalle ext 1]],Tabla1[[Referencia-Color]:[Disponibilidad]],3,FALSE),0)</f>
        <v>3</v>
      </c>
      <c r="V1103" s="13"/>
      <c r="W1103" s="17">
        <f>+Tabla3[[#This Row],[Cant. Programada]]*Tabla3[[#This Row],[Precio unit]]</f>
        <v>0</v>
      </c>
      <c r="X1103" s="8"/>
      <c r="Y1103" s="8"/>
      <c r="Z1103" s="8" t="str">
        <f>+Tabla3[[#This Row],[Referencia]]&amp;Tabla3[[#This Row],[Desc detalle ext 1]]</f>
        <v xml:space="preserve">*XR 150L                                          NEGRO    </v>
      </c>
      <c r="AA1103" s="128" t="e">
        <f>+VLOOKUP(Tabla3[[#This Row],[CODIGO2]],ESTANDAR!$B$3:$C$9,2,FALSE)</f>
        <v>#N/A</v>
      </c>
      <c r="AB1103" s="128" t="str">
        <f>+MID(Tabla3[[#This Row],['# Viaje]],10,1)</f>
        <v/>
      </c>
    </row>
    <row r="1104" spans="1:28" ht="15" hidden="1" customHeight="1">
      <c r="A1104" s="173" t="s">
        <v>1682</v>
      </c>
      <c r="B1104" s="174">
        <v>42949</v>
      </c>
      <c r="C1104" s="173" t="s">
        <v>1231</v>
      </c>
      <c r="D1104" s="173" t="s">
        <v>1237</v>
      </c>
      <c r="E1104" s="173" t="s">
        <v>1232</v>
      </c>
      <c r="F1104" s="173">
        <v>1</v>
      </c>
      <c r="G1104" s="173" t="s">
        <v>37</v>
      </c>
      <c r="H1104" s="173">
        <v>1</v>
      </c>
      <c r="I1104" s="173" t="s">
        <v>1683</v>
      </c>
      <c r="J1104" s="173" t="s">
        <v>10</v>
      </c>
      <c r="K1104" s="173" t="s">
        <v>13</v>
      </c>
      <c r="L1104" s="173"/>
      <c r="M1104" s="173" t="s">
        <v>39</v>
      </c>
      <c r="N1104" s="173">
        <v>890705341</v>
      </c>
      <c r="O1104" s="175">
        <v>7554622</v>
      </c>
      <c r="P1104" s="7"/>
      <c r="Q1104" s="16">
        <f>+IF(IFERROR(VLOOKUP(Tabla3[[#This Row],[Cliente factura]],Tabla4[[NIT]:[TOTAL CREDITO]],3,FALSE),0)="",0,IFERROR(VLOOKUP(Tabla3[[#This Row],[Cliente factura]],Tabla4[[NIT]:[TOTAL CREDITO]],3,FALSE),0))</f>
        <v>68342860</v>
      </c>
      <c r="R1104" s="9">
        <f>+IFERROR(VLOOKUP(Tabla3[[#This Row],[Cliente factura]],Tabla4[[NIT]:[TOTAL CREDITO]],6,FALSE),0)</f>
        <v>0</v>
      </c>
      <c r="S1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4" s="10" t="str">
        <f>VLOOKUP(Tabla3[[#This Row],[Razón social cliente factura]]&amp;Tabla3[[#This Row],[Desc. ciudad]],'Estandar de Rutas'!$C$1:$E$553,2,FALSE)</f>
        <v>6.1</v>
      </c>
      <c r="U1104" s="130">
        <f>IFERROR(VLOOKUP(Tabla3[[#This Row],[Referencia]]&amp;Tabla3[[#This Row],[Desc detalle ext 1]],Tabla1[[Referencia-Color]:[Disponibilidad]],3,FALSE),0)</f>
        <v>75</v>
      </c>
      <c r="V1104" s="13"/>
      <c r="W1104" s="17">
        <f>+Tabla3[[#This Row],[Cant. Programada]]*Tabla3[[#This Row],[Precio unit]]</f>
        <v>0</v>
      </c>
      <c r="X1104" s="8"/>
      <c r="Y1104" s="8"/>
      <c r="Z1104" s="8" t="str">
        <f>+Tabla3[[#This Row],[Referencia]]&amp;Tabla3[[#This Row],[Desc detalle ext 1]]</f>
        <v>CB 190R                                           ROJO NEGR</v>
      </c>
      <c r="AA1104" s="128" t="e">
        <f>+VLOOKUP(Tabla3[[#This Row],[CODIGO2]],ESTANDAR!$B$3:$C$9,2,FALSE)</f>
        <v>#N/A</v>
      </c>
      <c r="AB1104" s="128" t="str">
        <f>+MID(Tabla3[[#This Row],['# Viaje]],10,1)</f>
        <v/>
      </c>
    </row>
    <row r="1105" spans="1:28" ht="15" hidden="1" customHeight="1">
      <c r="A1105" s="173" t="s">
        <v>1682</v>
      </c>
      <c r="B1105" s="174">
        <v>42949</v>
      </c>
      <c r="C1105" s="173" t="s">
        <v>1231</v>
      </c>
      <c r="D1105" s="173" t="s">
        <v>1237</v>
      </c>
      <c r="E1105" s="173" t="s">
        <v>1232</v>
      </c>
      <c r="F1105" s="173">
        <v>1</v>
      </c>
      <c r="G1105" s="173" t="s">
        <v>37</v>
      </c>
      <c r="H1105" s="173">
        <v>1</v>
      </c>
      <c r="I1105" s="173" t="s">
        <v>1683</v>
      </c>
      <c r="J1105" s="173" t="s">
        <v>10</v>
      </c>
      <c r="K1105" s="173" t="s">
        <v>11</v>
      </c>
      <c r="L1105" s="173"/>
      <c r="M1105" s="173" t="s">
        <v>39</v>
      </c>
      <c r="N1105" s="173">
        <v>890705341</v>
      </c>
      <c r="O1105" s="175">
        <v>7554622</v>
      </c>
      <c r="P1105" s="7"/>
      <c r="Q1105" s="16">
        <f>+IF(IFERROR(VLOOKUP(Tabla3[[#This Row],[Cliente factura]],Tabla4[[NIT]:[TOTAL CREDITO]],3,FALSE),0)="",0,IFERROR(VLOOKUP(Tabla3[[#This Row],[Cliente factura]],Tabla4[[NIT]:[TOTAL CREDITO]],3,FALSE),0))</f>
        <v>68342860</v>
      </c>
      <c r="R1105" s="9">
        <f>+IFERROR(VLOOKUP(Tabla3[[#This Row],[Cliente factura]],Tabla4[[NIT]:[TOTAL CREDITO]],6,FALSE),0)</f>
        <v>0</v>
      </c>
      <c r="S1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5" s="10" t="str">
        <f>VLOOKUP(Tabla3[[#This Row],[Razón social cliente factura]]&amp;Tabla3[[#This Row],[Desc. ciudad]],'Estandar de Rutas'!$C$1:$E$553,2,FALSE)</f>
        <v>6.1</v>
      </c>
      <c r="U1105" s="130">
        <f>IFERROR(VLOOKUP(Tabla3[[#This Row],[Referencia]]&amp;Tabla3[[#This Row],[Desc detalle ext 1]],Tabla1[[Referencia-Color]:[Disponibilidad]],3,FALSE),0)</f>
        <v>0</v>
      </c>
      <c r="V1105" s="13"/>
      <c r="W1105" s="17">
        <f>+Tabla3[[#This Row],[Cant. Programada]]*Tabla3[[#This Row],[Precio unit]]</f>
        <v>0</v>
      </c>
      <c r="X1105" s="8"/>
      <c r="Y1105" s="8"/>
      <c r="Z1105" s="8" t="str">
        <f>+Tabla3[[#This Row],[Referencia]]&amp;Tabla3[[#This Row],[Desc detalle ext 1]]</f>
        <v>CB 190R                                           NEGRO ONI</v>
      </c>
      <c r="AA1105" s="128" t="e">
        <f>+VLOOKUP(Tabla3[[#This Row],[CODIGO2]],ESTANDAR!$B$3:$C$9,2,FALSE)</f>
        <v>#N/A</v>
      </c>
      <c r="AB1105" s="128" t="str">
        <f>+MID(Tabla3[[#This Row],['# Viaje]],10,1)</f>
        <v/>
      </c>
    </row>
    <row r="1106" spans="1:28" ht="15" hidden="1" customHeight="1">
      <c r="A1106" s="173" t="s">
        <v>1682</v>
      </c>
      <c r="B1106" s="174">
        <v>42949</v>
      </c>
      <c r="C1106" s="173" t="s">
        <v>1231</v>
      </c>
      <c r="D1106" s="173" t="s">
        <v>1237</v>
      </c>
      <c r="E1106" s="173" t="s">
        <v>1232</v>
      </c>
      <c r="F1106" s="173">
        <v>1</v>
      </c>
      <c r="G1106" s="173" t="s">
        <v>37</v>
      </c>
      <c r="H1106" s="173">
        <v>1</v>
      </c>
      <c r="I1106" s="173" t="s">
        <v>1683</v>
      </c>
      <c r="J1106" s="173" t="s">
        <v>1425</v>
      </c>
      <c r="K1106" s="173" t="s">
        <v>1426</v>
      </c>
      <c r="L1106" s="173"/>
      <c r="M1106" s="173" t="s">
        <v>39</v>
      </c>
      <c r="N1106" s="173">
        <v>890705341</v>
      </c>
      <c r="O1106" s="175">
        <v>7730252</v>
      </c>
      <c r="P1106" s="7"/>
      <c r="Q1106" s="16">
        <f>+IF(IFERROR(VLOOKUP(Tabla3[[#This Row],[Cliente factura]],Tabla4[[NIT]:[TOTAL CREDITO]],3,FALSE),0)="",0,IFERROR(VLOOKUP(Tabla3[[#This Row],[Cliente factura]],Tabla4[[NIT]:[TOTAL CREDITO]],3,FALSE),0))</f>
        <v>68342860</v>
      </c>
      <c r="R1106" s="9">
        <f>+IFERROR(VLOOKUP(Tabla3[[#This Row],[Cliente factura]],Tabla4[[NIT]:[TOTAL CREDITO]],6,FALSE),0)</f>
        <v>0</v>
      </c>
      <c r="S1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6" s="10" t="str">
        <f>VLOOKUP(Tabla3[[#This Row],[Razón social cliente factura]]&amp;Tabla3[[#This Row],[Desc. ciudad]],'Estandar de Rutas'!$C$1:$E$553,2,FALSE)</f>
        <v>6.1</v>
      </c>
      <c r="U1106" s="130">
        <f>IFERROR(VLOOKUP(Tabla3[[#This Row],[Referencia]]&amp;Tabla3[[#This Row],[Desc detalle ext 1]],Tabla1[[Referencia-Color]:[Disponibilidad]],3,FALSE),0)</f>
        <v>104</v>
      </c>
      <c r="V1106" s="13"/>
      <c r="W1106" s="17">
        <f>+Tabla3[[#This Row],[Cant. Programada]]*Tabla3[[#This Row],[Precio unit]]</f>
        <v>0</v>
      </c>
      <c r="X1106" s="8"/>
      <c r="Y1106" s="8"/>
      <c r="Z1106" s="8" t="str">
        <f>+Tabla3[[#This Row],[Referencia]]&amp;Tabla3[[#This Row],[Desc detalle ext 1]]</f>
        <v>CB 190 REPSOL                                     NARANJA B</v>
      </c>
      <c r="AA1106" s="128" t="e">
        <f>+VLOOKUP(Tabla3[[#This Row],[CODIGO2]],ESTANDAR!$B$3:$C$9,2,FALSE)</f>
        <v>#N/A</v>
      </c>
      <c r="AB1106" s="128" t="str">
        <f>+MID(Tabla3[[#This Row],['# Viaje]],10,1)</f>
        <v/>
      </c>
    </row>
    <row r="1107" spans="1:28" ht="15" hidden="1" customHeight="1">
      <c r="A1107" s="173" t="s">
        <v>1682</v>
      </c>
      <c r="B1107" s="174">
        <v>42949</v>
      </c>
      <c r="C1107" s="173" t="s">
        <v>1231</v>
      </c>
      <c r="D1107" s="173" t="s">
        <v>1237</v>
      </c>
      <c r="E1107" s="173" t="s">
        <v>1232</v>
      </c>
      <c r="F1107" s="173">
        <v>1</v>
      </c>
      <c r="G1107" s="173" t="s">
        <v>37</v>
      </c>
      <c r="H1107" s="173">
        <v>1</v>
      </c>
      <c r="I1107" s="173" t="s">
        <v>1683</v>
      </c>
      <c r="J1107" s="173" t="s">
        <v>354</v>
      </c>
      <c r="K1107" s="173" t="s">
        <v>474</v>
      </c>
      <c r="L1107" s="173"/>
      <c r="M1107" s="173" t="s">
        <v>39</v>
      </c>
      <c r="N1107" s="173">
        <v>890705341</v>
      </c>
      <c r="O1107" s="175">
        <v>6133613</v>
      </c>
      <c r="P1107" s="7"/>
      <c r="Q1107" s="16">
        <f>+IF(IFERROR(VLOOKUP(Tabla3[[#This Row],[Cliente factura]],Tabla4[[NIT]:[TOTAL CREDITO]],3,FALSE),0)="",0,IFERROR(VLOOKUP(Tabla3[[#This Row],[Cliente factura]],Tabla4[[NIT]:[TOTAL CREDITO]],3,FALSE),0))</f>
        <v>68342860</v>
      </c>
      <c r="R1107" s="9">
        <f>+IFERROR(VLOOKUP(Tabla3[[#This Row],[Cliente factura]],Tabla4[[NIT]:[TOTAL CREDITO]],6,FALSE),0)</f>
        <v>0</v>
      </c>
      <c r="S1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7" s="10" t="str">
        <f>VLOOKUP(Tabla3[[#This Row],[Razón social cliente factura]]&amp;Tabla3[[#This Row],[Desc. ciudad]],'Estandar de Rutas'!$C$1:$E$553,2,FALSE)</f>
        <v>6.1</v>
      </c>
      <c r="U1107" s="130">
        <f>IFERROR(VLOOKUP(Tabla3[[#This Row],[Referencia]]&amp;Tabla3[[#This Row],[Desc detalle ext 1]],Tabla1[[Referencia-Color]:[Disponibilidad]],3,FALSE),0)</f>
        <v>3</v>
      </c>
      <c r="V1107" s="13"/>
      <c r="W1107" s="17">
        <f>+Tabla3[[#This Row],[Cant. Programada]]*Tabla3[[#This Row],[Precio unit]]</f>
        <v>0</v>
      </c>
      <c r="X1107" s="8"/>
      <c r="Y1107" s="8"/>
      <c r="Z1107" s="8" t="str">
        <f>+Tabla3[[#This Row],[Referencia]]&amp;Tabla3[[#This Row],[Desc detalle ext 1]]</f>
        <v>CB 160F DLX                                       NARANJA N</v>
      </c>
      <c r="AA1107" s="128" t="e">
        <f>+VLOOKUP(Tabla3[[#This Row],[CODIGO2]],ESTANDAR!$B$3:$C$9,2,FALSE)</f>
        <v>#N/A</v>
      </c>
      <c r="AB1107" s="128" t="str">
        <f>+MID(Tabla3[[#This Row],['# Viaje]],10,1)</f>
        <v/>
      </c>
    </row>
    <row r="1108" spans="1:28" ht="15" hidden="1" customHeight="1">
      <c r="A1108" s="173" t="s">
        <v>1682</v>
      </c>
      <c r="B1108" s="174">
        <v>42949</v>
      </c>
      <c r="C1108" s="173" t="s">
        <v>1231</v>
      </c>
      <c r="D1108" s="173" t="s">
        <v>1237</v>
      </c>
      <c r="E1108" s="173" t="s">
        <v>1232</v>
      </c>
      <c r="F1108" s="173">
        <v>1</v>
      </c>
      <c r="G1108" s="173" t="s">
        <v>37</v>
      </c>
      <c r="H1108" s="173">
        <v>1</v>
      </c>
      <c r="I1108" s="173" t="s">
        <v>1683</v>
      </c>
      <c r="J1108" s="173" t="s">
        <v>354</v>
      </c>
      <c r="K1108" s="173" t="s">
        <v>355</v>
      </c>
      <c r="L1108" s="173"/>
      <c r="M1108" s="173" t="s">
        <v>39</v>
      </c>
      <c r="N1108" s="173">
        <v>890705341</v>
      </c>
      <c r="O1108" s="175">
        <v>6133613</v>
      </c>
      <c r="P1108" s="7"/>
      <c r="Q1108" s="16">
        <f>+IF(IFERROR(VLOOKUP(Tabla3[[#This Row],[Cliente factura]],Tabla4[[NIT]:[TOTAL CREDITO]],3,FALSE),0)="",0,IFERROR(VLOOKUP(Tabla3[[#This Row],[Cliente factura]],Tabla4[[NIT]:[TOTAL CREDITO]],3,FALSE),0))</f>
        <v>68342860</v>
      </c>
      <c r="R1108" s="9">
        <f>+IFERROR(VLOOKUP(Tabla3[[#This Row],[Cliente factura]],Tabla4[[NIT]:[TOTAL CREDITO]],6,FALSE),0)</f>
        <v>0</v>
      </c>
      <c r="S1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8" s="10" t="str">
        <f>VLOOKUP(Tabla3[[#This Row],[Razón social cliente factura]]&amp;Tabla3[[#This Row],[Desc. ciudad]],'Estandar de Rutas'!$C$1:$E$553,2,FALSE)</f>
        <v>6.1</v>
      </c>
      <c r="U1108" s="130">
        <f>IFERROR(VLOOKUP(Tabla3[[#This Row],[Referencia]]&amp;Tabla3[[#This Row],[Desc detalle ext 1]],Tabla1[[Referencia-Color]:[Disponibilidad]],3,FALSE),0)</f>
        <v>0</v>
      </c>
      <c r="V1108" s="13"/>
      <c r="W1108" s="17">
        <f>+Tabla3[[#This Row],[Cant. Programada]]*Tabla3[[#This Row],[Precio unit]]</f>
        <v>0</v>
      </c>
      <c r="X1108" s="8"/>
      <c r="Y1108" s="8"/>
      <c r="Z1108" s="8" t="str">
        <f>+Tabla3[[#This Row],[Referencia]]&amp;Tabla3[[#This Row],[Desc detalle ext 1]]</f>
        <v>CB 160F DLX                                       NEGRO PER</v>
      </c>
      <c r="AA1108" s="128" t="e">
        <f>+VLOOKUP(Tabla3[[#This Row],[CODIGO2]],ESTANDAR!$B$3:$C$9,2,FALSE)</f>
        <v>#N/A</v>
      </c>
      <c r="AB1108" s="128" t="str">
        <f>+MID(Tabla3[[#This Row],['# Viaje]],10,1)</f>
        <v/>
      </c>
    </row>
    <row r="1109" spans="1:28" ht="15" hidden="1" customHeight="1">
      <c r="A1109" s="173" t="s">
        <v>1682</v>
      </c>
      <c r="B1109" s="174">
        <v>42949</v>
      </c>
      <c r="C1109" s="173" t="s">
        <v>1231</v>
      </c>
      <c r="D1109" s="173" t="s">
        <v>1237</v>
      </c>
      <c r="E1109" s="173" t="s">
        <v>1232</v>
      </c>
      <c r="F1109" s="173">
        <v>1</v>
      </c>
      <c r="G1109" s="173" t="s">
        <v>37</v>
      </c>
      <c r="H1109" s="173">
        <v>1</v>
      </c>
      <c r="I1109" s="173" t="s">
        <v>1683</v>
      </c>
      <c r="J1109" s="173" t="s">
        <v>1433</v>
      </c>
      <c r="K1109" s="173" t="s">
        <v>1452</v>
      </c>
      <c r="L1109" s="173"/>
      <c r="M1109" s="173" t="s">
        <v>39</v>
      </c>
      <c r="N1109" s="173">
        <v>890705341</v>
      </c>
      <c r="O1109" s="175">
        <v>3521008</v>
      </c>
      <c r="P1109" s="7"/>
      <c r="Q1109" s="16">
        <f>+IF(IFERROR(VLOOKUP(Tabla3[[#This Row],[Cliente factura]],Tabla4[[NIT]:[TOTAL CREDITO]],3,FALSE),0)="",0,IFERROR(VLOOKUP(Tabla3[[#This Row],[Cliente factura]],Tabla4[[NIT]:[TOTAL CREDITO]],3,FALSE),0))</f>
        <v>68342860</v>
      </c>
      <c r="R1109" s="9">
        <f>+IFERROR(VLOOKUP(Tabla3[[#This Row],[Cliente factura]],Tabla4[[NIT]:[TOTAL CREDITO]],6,FALSE),0)</f>
        <v>0</v>
      </c>
      <c r="S1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9" s="10" t="str">
        <f>VLOOKUP(Tabla3[[#This Row],[Razón social cliente factura]]&amp;Tabla3[[#This Row],[Desc. ciudad]],'Estandar de Rutas'!$C$1:$E$553,2,FALSE)</f>
        <v>6.1</v>
      </c>
      <c r="U1109" s="130">
        <f>IFERROR(VLOOKUP(Tabla3[[#This Row],[Referencia]]&amp;Tabla3[[#This Row],[Desc detalle ext 1]],Tabla1[[Referencia-Color]:[Disponibilidad]],3,FALSE),0)</f>
        <v>0</v>
      </c>
      <c r="V1109" s="13"/>
      <c r="W1109" s="17">
        <f>+Tabla3[[#This Row],[Cant. Programada]]*Tabla3[[#This Row],[Precio unit]]</f>
        <v>0</v>
      </c>
      <c r="X1109" s="8"/>
      <c r="Y1109" s="8"/>
      <c r="Z1109" s="8" t="str">
        <f>+Tabla3[[#This Row],[Referencia]]&amp;Tabla3[[#This Row],[Desc detalle ext 1]]</f>
        <v xml:space="preserve">DIO  110                                          AZUL     </v>
      </c>
      <c r="AA1109" s="128" t="e">
        <f>+VLOOKUP(Tabla3[[#This Row],[CODIGO2]],ESTANDAR!$B$3:$C$9,2,FALSE)</f>
        <v>#N/A</v>
      </c>
      <c r="AB1109" s="128" t="str">
        <f>+MID(Tabla3[[#This Row],['# Viaje]],10,1)</f>
        <v/>
      </c>
    </row>
    <row r="1110" spans="1:28" ht="15" hidden="1" customHeight="1">
      <c r="A1110" s="173" t="s">
        <v>1682</v>
      </c>
      <c r="B1110" s="174">
        <v>42949</v>
      </c>
      <c r="C1110" s="173" t="s">
        <v>1231</v>
      </c>
      <c r="D1110" s="173" t="s">
        <v>1237</v>
      </c>
      <c r="E1110" s="173" t="s">
        <v>1232</v>
      </c>
      <c r="F1110" s="173">
        <v>1</v>
      </c>
      <c r="G1110" s="173" t="s">
        <v>37</v>
      </c>
      <c r="H1110" s="173">
        <v>1</v>
      </c>
      <c r="I1110" s="173" t="s">
        <v>1683</v>
      </c>
      <c r="J1110" s="173" t="s">
        <v>1433</v>
      </c>
      <c r="K1110" s="173" t="s">
        <v>1431</v>
      </c>
      <c r="L1110" s="173"/>
      <c r="M1110" s="173" t="s">
        <v>39</v>
      </c>
      <c r="N1110" s="173">
        <v>890705341</v>
      </c>
      <c r="O1110" s="175">
        <v>3521008</v>
      </c>
      <c r="P1110" s="7"/>
      <c r="Q1110" s="16">
        <f>+IF(IFERROR(VLOOKUP(Tabla3[[#This Row],[Cliente factura]],Tabla4[[NIT]:[TOTAL CREDITO]],3,FALSE),0)="",0,IFERROR(VLOOKUP(Tabla3[[#This Row],[Cliente factura]],Tabla4[[NIT]:[TOTAL CREDITO]],3,FALSE),0))</f>
        <v>68342860</v>
      </c>
      <c r="R1110" s="9">
        <f>+IFERROR(VLOOKUP(Tabla3[[#This Row],[Cliente factura]],Tabla4[[NIT]:[TOTAL CREDITO]],6,FALSE),0)</f>
        <v>0</v>
      </c>
      <c r="S1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0" s="10" t="str">
        <f>VLOOKUP(Tabla3[[#This Row],[Razón social cliente factura]]&amp;Tabla3[[#This Row],[Desc. ciudad]],'Estandar de Rutas'!$C$1:$E$553,2,FALSE)</f>
        <v>6.1</v>
      </c>
      <c r="U1110" s="130">
        <f>IFERROR(VLOOKUP(Tabla3[[#This Row],[Referencia]]&amp;Tabla3[[#This Row],[Desc detalle ext 1]],Tabla1[[Referencia-Color]:[Disponibilidad]],3,FALSE),0)</f>
        <v>0</v>
      </c>
      <c r="V1110" s="13"/>
      <c r="W1110" s="17">
        <f>+Tabla3[[#This Row],[Cant. Programada]]*Tabla3[[#This Row],[Precio unit]]</f>
        <v>0</v>
      </c>
      <c r="X1110" s="8"/>
      <c r="Y1110" s="8"/>
      <c r="Z1110" s="8" t="str">
        <f>+Tabla3[[#This Row],[Referencia]]&amp;Tabla3[[#This Row],[Desc detalle ext 1]]</f>
        <v xml:space="preserve">DIO  110                                          ROJO     </v>
      </c>
      <c r="AA1110" s="128" t="e">
        <f>+VLOOKUP(Tabla3[[#This Row],[CODIGO2]],ESTANDAR!$B$3:$C$9,2,FALSE)</f>
        <v>#N/A</v>
      </c>
      <c r="AB1110" s="128" t="str">
        <f>+MID(Tabla3[[#This Row],['# Viaje]],10,1)</f>
        <v/>
      </c>
    </row>
    <row r="1111" spans="1:28" ht="15" hidden="1" customHeight="1">
      <c r="A1111" s="173" t="s">
        <v>1682</v>
      </c>
      <c r="B1111" s="174">
        <v>42949</v>
      </c>
      <c r="C1111" s="173" t="s">
        <v>1231</v>
      </c>
      <c r="D1111" s="173" t="s">
        <v>1237</v>
      </c>
      <c r="E1111" s="173" t="s">
        <v>1232</v>
      </c>
      <c r="F1111" s="173">
        <v>1</v>
      </c>
      <c r="G1111" s="173" t="s">
        <v>37</v>
      </c>
      <c r="H1111" s="173">
        <v>1</v>
      </c>
      <c r="I1111" s="173" t="s">
        <v>1683</v>
      </c>
      <c r="J1111" s="173" t="s">
        <v>1428</v>
      </c>
      <c r="K1111" s="173" t="s">
        <v>1461</v>
      </c>
      <c r="L1111" s="173"/>
      <c r="M1111" s="173" t="s">
        <v>39</v>
      </c>
      <c r="N1111" s="173">
        <v>890705341</v>
      </c>
      <c r="O1111" s="175">
        <v>3067227</v>
      </c>
      <c r="P1111" s="7"/>
      <c r="Q1111" s="16">
        <f>+IF(IFERROR(VLOOKUP(Tabla3[[#This Row],[Cliente factura]],Tabla4[[NIT]:[TOTAL CREDITO]],3,FALSE),0)="",0,IFERROR(VLOOKUP(Tabla3[[#This Row],[Cliente factura]],Tabla4[[NIT]:[TOTAL CREDITO]],3,FALSE),0))</f>
        <v>68342860</v>
      </c>
      <c r="R1111" s="9">
        <f>+IFERROR(VLOOKUP(Tabla3[[#This Row],[Cliente factura]],Tabla4[[NIT]:[TOTAL CREDITO]],6,FALSE),0)</f>
        <v>0</v>
      </c>
      <c r="S1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1" s="10" t="str">
        <f>VLOOKUP(Tabla3[[#This Row],[Razón social cliente factura]]&amp;Tabla3[[#This Row],[Desc. ciudad]],'Estandar de Rutas'!$C$1:$E$553,2,FALSE)</f>
        <v>6.1</v>
      </c>
      <c r="U1111" s="130">
        <f>IFERROR(VLOOKUP(Tabla3[[#This Row],[Referencia]]&amp;Tabla3[[#This Row],[Desc detalle ext 1]],Tabla1[[Referencia-Color]:[Disponibilidad]],3,FALSE),0)</f>
        <v>0</v>
      </c>
      <c r="V1111" s="13"/>
      <c r="W1111" s="17">
        <f>+Tabla3[[#This Row],[Cant. Programada]]*Tabla3[[#This Row],[Precio unit]]</f>
        <v>0</v>
      </c>
      <c r="X1111" s="8"/>
      <c r="Y1111" s="8"/>
      <c r="Z1111" s="8" t="str">
        <f>+Tabla3[[#This Row],[Referencia]]&amp;Tabla3[[#This Row],[Desc detalle ext 1]]</f>
        <v>DREAM  NEO                                        ROJO ALFA</v>
      </c>
      <c r="AA1111" s="128" t="e">
        <f>+VLOOKUP(Tabla3[[#This Row],[CODIGO2]],ESTANDAR!$B$3:$C$9,2,FALSE)</f>
        <v>#N/A</v>
      </c>
      <c r="AB1111" s="128" t="str">
        <f>+MID(Tabla3[[#This Row],['# Viaje]],10,1)</f>
        <v/>
      </c>
    </row>
    <row r="1112" spans="1:28" ht="15" hidden="1" customHeight="1">
      <c r="A1112" s="173" t="s">
        <v>1682</v>
      </c>
      <c r="B1112" s="174">
        <v>42949</v>
      </c>
      <c r="C1112" s="173" t="s">
        <v>1231</v>
      </c>
      <c r="D1112" s="173" t="s">
        <v>1237</v>
      </c>
      <c r="E1112" s="173" t="s">
        <v>1232</v>
      </c>
      <c r="F1112" s="173">
        <v>1</v>
      </c>
      <c r="G1112" s="173" t="s">
        <v>37</v>
      </c>
      <c r="H1112" s="173">
        <v>1</v>
      </c>
      <c r="I1112" s="173" t="s">
        <v>1683</v>
      </c>
      <c r="J1112" s="173" t="s">
        <v>1430</v>
      </c>
      <c r="K1112" s="173" t="s">
        <v>1431</v>
      </c>
      <c r="L1112" s="173"/>
      <c r="M1112" s="173" t="s">
        <v>39</v>
      </c>
      <c r="N1112" s="173">
        <v>890705341</v>
      </c>
      <c r="O1112" s="175">
        <v>3941176</v>
      </c>
      <c r="P1112" s="7"/>
      <c r="Q1112" s="16">
        <f>+IF(IFERROR(VLOOKUP(Tabla3[[#This Row],[Cliente factura]],Tabla4[[NIT]:[TOTAL CREDITO]],3,FALSE),0)="",0,IFERROR(VLOOKUP(Tabla3[[#This Row],[Cliente factura]],Tabla4[[NIT]:[TOTAL CREDITO]],3,FALSE),0))</f>
        <v>68342860</v>
      </c>
      <c r="R1112" s="9">
        <f>+IFERROR(VLOOKUP(Tabla3[[#This Row],[Cliente factura]],Tabla4[[NIT]:[TOTAL CREDITO]],6,FALSE),0)</f>
        <v>0</v>
      </c>
      <c r="S1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2" s="10" t="str">
        <f>VLOOKUP(Tabla3[[#This Row],[Razón social cliente factura]]&amp;Tabla3[[#This Row],[Desc. ciudad]],'Estandar de Rutas'!$C$1:$E$553,2,FALSE)</f>
        <v>6.1</v>
      </c>
      <c r="U1112" s="130">
        <f>IFERROR(VLOOKUP(Tabla3[[#This Row],[Referencia]]&amp;Tabla3[[#This Row],[Desc detalle ext 1]],Tabla1[[Referencia-Color]:[Disponibilidad]],3,FALSE),0)</f>
        <v>0</v>
      </c>
      <c r="V1112" s="13"/>
      <c r="W1112" s="17">
        <f>+Tabla3[[#This Row],[Cant. Programada]]*Tabla3[[#This Row],[Precio unit]]</f>
        <v>0</v>
      </c>
      <c r="X1112" s="8"/>
      <c r="Y1112" s="8"/>
      <c r="Z1112" s="8" t="str">
        <f>+Tabla3[[#This Row],[Referencia]]&amp;Tabla3[[#This Row],[Desc detalle ext 1]]</f>
        <v xml:space="preserve">WAVE 110S                                         ROJO     </v>
      </c>
      <c r="AA1112" s="128" t="e">
        <f>+VLOOKUP(Tabla3[[#This Row],[CODIGO2]],ESTANDAR!$B$3:$C$9,2,FALSE)</f>
        <v>#N/A</v>
      </c>
      <c r="AB1112" s="128" t="str">
        <f>+MID(Tabla3[[#This Row],['# Viaje]],10,1)</f>
        <v/>
      </c>
    </row>
    <row r="1113" spans="1:28" ht="15" hidden="1" customHeight="1">
      <c r="A1113" s="173" t="s">
        <v>1682</v>
      </c>
      <c r="B1113" s="174">
        <v>42949</v>
      </c>
      <c r="C1113" s="173" t="s">
        <v>1231</v>
      </c>
      <c r="D1113" s="173" t="s">
        <v>1237</v>
      </c>
      <c r="E1113" s="173" t="s">
        <v>1232</v>
      </c>
      <c r="F1113" s="173">
        <v>1</v>
      </c>
      <c r="G1113" s="173" t="s">
        <v>37</v>
      </c>
      <c r="H1113" s="173">
        <v>1</v>
      </c>
      <c r="I1113" s="173" t="s">
        <v>1683</v>
      </c>
      <c r="J1113" s="173" t="s">
        <v>1430</v>
      </c>
      <c r="K1113" s="173" t="s">
        <v>16</v>
      </c>
      <c r="L1113" s="173"/>
      <c r="M1113" s="173" t="s">
        <v>39</v>
      </c>
      <c r="N1113" s="173">
        <v>890705341</v>
      </c>
      <c r="O1113" s="175">
        <v>3941176</v>
      </c>
      <c r="P1113" s="7"/>
      <c r="Q1113" s="16">
        <f>+IF(IFERROR(VLOOKUP(Tabla3[[#This Row],[Cliente factura]],Tabla4[[NIT]:[TOTAL CREDITO]],3,FALSE),0)="",0,IFERROR(VLOOKUP(Tabla3[[#This Row],[Cliente factura]],Tabla4[[NIT]:[TOTAL CREDITO]],3,FALSE),0))</f>
        <v>68342860</v>
      </c>
      <c r="R1113" s="9">
        <f>+IFERROR(VLOOKUP(Tabla3[[#This Row],[Cliente factura]],Tabla4[[NIT]:[TOTAL CREDITO]],6,FALSE),0)</f>
        <v>0</v>
      </c>
      <c r="S1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3" s="10" t="str">
        <f>VLOOKUP(Tabla3[[#This Row],[Razón social cliente factura]]&amp;Tabla3[[#This Row],[Desc. ciudad]],'Estandar de Rutas'!$C$1:$E$553,2,FALSE)</f>
        <v>6.1</v>
      </c>
      <c r="U1113" s="130">
        <f>IFERROR(VLOOKUP(Tabla3[[#This Row],[Referencia]]&amp;Tabla3[[#This Row],[Desc detalle ext 1]],Tabla1[[Referencia-Color]:[Disponibilidad]],3,FALSE),0)</f>
        <v>0</v>
      </c>
      <c r="V1113" s="13"/>
      <c r="W1113" s="17">
        <f>+Tabla3[[#This Row],[Cant. Programada]]*Tabla3[[#This Row],[Precio unit]]</f>
        <v>0</v>
      </c>
      <c r="X1113" s="8"/>
      <c r="Y1113" s="8"/>
      <c r="Z1113" s="8" t="str">
        <f>+Tabla3[[#This Row],[Referencia]]&amp;Tabla3[[#This Row],[Desc detalle ext 1]]</f>
        <v xml:space="preserve">WAVE 110S                                         NEGRO    </v>
      </c>
      <c r="AA1113" s="128" t="e">
        <f>+VLOOKUP(Tabla3[[#This Row],[CODIGO2]],ESTANDAR!$B$3:$C$9,2,FALSE)</f>
        <v>#N/A</v>
      </c>
      <c r="AB1113" s="128" t="str">
        <f>+MID(Tabla3[[#This Row],['# Viaje]],10,1)</f>
        <v/>
      </c>
    </row>
    <row r="1114" spans="1:28" ht="15" hidden="1" customHeight="1">
      <c r="A1114" s="173" t="s">
        <v>1682</v>
      </c>
      <c r="B1114" s="174">
        <v>42949</v>
      </c>
      <c r="C1114" s="173" t="s">
        <v>1231</v>
      </c>
      <c r="D1114" s="173" t="s">
        <v>1237</v>
      </c>
      <c r="E1114" s="173" t="s">
        <v>1232</v>
      </c>
      <c r="F1114" s="173">
        <v>1</v>
      </c>
      <c r="G1114" s="173" t="s">
        <v>37</v>
      </c>
      <c r="H1114" s="173">
        <v>1</v>
      </c>
      <c r="I1114" s="173" t="s">
        <v>1683</v>
      </c>
      <c r="J1114" s="173" t="s">
        <v>1234</v>
      </c>
      <c r="K1114" s="173" t="s">
        <v>355</v>
      </c>
      <c r="L1114" s="173"/>
      <c r="M1114" s="173" t="s">
        <v>39</v>
      </c>
      <c r="N1114" s="173">
        <v>890705341</v>
      </c>
      <c r="O1114" s="175">
        <v>5453782</v>
      </c>
      <c r="P1114" s="7"/>
      <c r="Q1114" s="16">
        <f>+IF(IFERROR(VLOOKUP(Tabla3[[#This Row],[Cliente factura]],Tabla4[[NIT]:[TOTAL CREDITO]],3,FALSE),0)="",0,IFERROR(VLOOKUP(Tabla3[[#This Row],[Cliente factura]],Tabla4[[NIT]:[TOTAL CREDITO]],3,FALSE),0))</f>
        <v>68342860</v>
      </c>
      <c r="R1114" s="9">
        <f>+IFERROR(VLOOKUP(Tabla3[[#This Row],[Cliente factura]],Tabla4[[NIT]:[TOTAL CREDITO]],6,FALSE),0)</f>
        <v>0</v>
      </c>
      <c r="S1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4" s="10" t="str">
        <f>VLOOKUP(Tabla3[[#This Row],[Razón social cliente factura]]&amp;Tabla3[[#This Row],[Desc. ciudad]],'Estandar de Rutas'!$C$1:$E$553,2,FALSE)</f>
        <v>6.1</v>
      </c>
      <c r="U1114" s="130">
        <f>IFERROR(VLOOKUP(Tabla3[[#This Row],[Referencia]]&amp;Tabla3[[#This Row],[Desc detalle ext 1]],Tabla1[[Referencia-Color]:[Disponibilidad]],3,FALSE),0)</f>
        <v>0</v>
      </c>
      <c r="V1114" s="13"/>
      <c r="W1114" s="17">
        <f>+Tabla3[[#This Row],[Cant. Programada]]*Tabla3[[#This Row],[Precio unit]]</f>
        <v>0</v>
      </c>
      <c r="X1114" s="8"/>
      <c r="Y1114" s="8"/>
      <c r="Z1114" s="8" t="str">
        <f>+Tabla3[[#This Row],[Referencia]]&amp;Tabla3[[#This Row],[Desc detalle ext 1]]</f>
        <v>CB 160F STD                                       NEGRO PER</v>
      </c>
      <c r="AA1114" s="128" t="e">
        <f>+VLOOKUP(Tabla3[[#This Row],[CODIGO2]],ESTANDAR!$B$3:$C$9,2,FALSE)</f>
        <v>#N/A</v>
      </c>
      <c r="AB1114" s="128" t="str">
        <f>+MID(Tabla3[[#This Row],['# Viaje]],10,1)</f>
        <v/>
      </c>
    </row>
    <row r="1115" spans="1:28" ht="15" hidden="1" customHeight="1">
      <c r="A1115" s="173" t="s">
        <v>1682</v>
      </c>
      <c r="B1115" s="174">
        <v>42949</v>
      </c>
      <c r="C1115" s="173" t="s">
        <v>1231</v>
      </c>
      <c r="D1115" s="173" t="s">
        <v>1237</v>
      </c>
      <c r="E1115" s="173" t="s">
        <v>1232</v>
      </c>
      <c r="F1115" s="173">
        <v>3</v>
      </c>
      <c r="G1115" s="173" t="s">
        <v>37</v>
      </c>
      <c r="H1115" s="173">
        <v>3</v>
      </c>
      <c r="I1115" s="173" t="s">
        <v>1683</v>
      </c>
      <c r="J1115" s="173" t="s">
        <v>1451</v>
      </c>
      <c r="K1115" s="173" t="s">
        <v>16</v>
      </c>
      <c r="L1115" s="173"/>
      <c r="M1115" s="173" t="s">
        <v>39</v>
      </c>
      <c r="N1115" s="173">
        <v>890705341</v>
      </c>
      <c r="O1115" s="175">
        <v>3696639</v>
      </c>
      <c r="P1115" s="7"/>
      <c r="Q1115" s="16">
        <f>+IF(IFERROR(VLOOKUP(Tabla3[[#This Row],[Cliente factura]],Tabla4[[NIT]:[TOTAL CREDITO]],3,FALSE),0)="",0,IFERROR(VLOOKUP(Tabla3[[#This Row],[Cliente factura]],Tabla4[[NIT]:[TOTAL CREDITO]],3,FALSE),0))</f>
        <v>68342860</v>
      </c>
      <c r="R1115" s="9">
        <f>+IFERROR(VLOOKUP(Tabla3[[#This Row],[Cliente factura]],Tabla4[[NIT]:[TOTAL CREDITO]],6,FALSE),0)</f>
        <v>0</v>
      </c>
      <c r="S1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5" s="10" t="str">
        <f>VLOOKUP(Tabla3[[#This Row],[Razón social cliente factura]]&amp;Tabla3[[#This Row],[Desc. ciudad]],'Estandar de Rutas'!$C$1:$E$553,2,FALSE)</f>
        <v>6.1</v>
      </c>
      <c r="U1115" s="130">
        <f>IFERROR(VLOOKUP(Tabla3[[#This Row],[Referencia]]&amp;Tabla3[[#This Row],[Desc detalle ext 1]],Tabla1[[Referencia-Color]:[Disponibilidad]],3,FALSE),0)</f>
        <v>3</v>
      </c>
      <c r="V1115" s="13"/>
      <c r="W1115" s="17">
        <f>+Tabla3[[#This Row],[Cant. Programada]]*Tabla3[[#This Row],[Precio unit]]</f>
        <v>0</v>
      </c>
      <c r="X1115" s="8"/>
      <c r="Y1115" s="8"/>
      <c r="Z1115" s="8" t="str">
        <f>+Tabla3[[#This Row],[Referencia]]&amp;Tabla3[[#This Row],[Desc detalle ext 1]]</f>
        <v xml:space="preserve">CB 110 DLX                                        NEGRO    </v>
      </c>
      <c r="AA1115" s="128" t="e">
        <f>+VLOOKUP(Tabla3[[#This Row],[CODIGO2]],ESTANDAR!$B$3:$C$9,2,FALSE)</f>
        <v>#N/A</v>
      </c>
      <c r="AB1115" s="128" t="str">
        <f>+MID(Tabla3[[#This Row],['# Viaje]],10,1)</f>
        <v/>
      </c>
    </row>
    <row r="1116" spans="1:28" ht="15" hidden="1" customHeight="1">
      <c r="A1116" s="173" t="s">
        <v>1684</v>
      </c>
      <c r="B1116" s="174">
        <v>42949</v>
      </c>
      <c r="C1116" s="173" t="s">
        <v>1231</v>
      </c>
      <c r="D1116" s="173" t="s">
        <v>1237</v>
      </c>
      <c r="E1116" s="173" t="s">
        <v>1232</v>
      </c>
      <c r="F1116" s="173">
        <v>2</v>
      </c>
      <c r="G1116" s="173" t="s">
        <v>37</v>
      </c>
      <c r="H1116" s="173">
        <v>2</v>
      </c>
      <c r="I1116" s="173" t="s">
        <v>1685</v>
      </c>
      <c r="J1116" s="173" t="s">
        <v>14</v>
      </c>
      <c r="K1116" s="173" t="s">
        <v>16</v>
      </c>
      <c r="L1116" s="173"/>
      <c r="M1116" s="173" t="s">
        <v>38</v>
      </c>
      <c r="N1116" s="173">
        <v>890705341</v>
      </c>
      <c r="O1116" s="175">
        <v>3360504</v>
      </c>
      <c r="P1116" s="7"/>
      <c r="Q1116" s="16">
        <f>+IF(IFERROR(VLOOKUP(Tabla3[[#This Row],[Cliente factura]],Tabla4[[NIT]:[TOTAL CREDITO]],3,FALSE),0)="",0,IFERROR(VLOOKUP(Tabla3[[#This Row],[Cliente factura]],Tabla4[[NIT]:[TOTAL CREDITO]],3,FALSE),0))</f>
        <v>68342860</v>
      </c>
      <c r="R1116" s="9">
        <f>+IFERROR(VLOOKUP(Tabla3[[#This Row],[Cliente factura]],Tabla4[[NIT]:[TOTAL CREDITO]],6,FALSE),0)</f>
        <v>0</v>
      </c>
      <c r="S1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6" s="10" t="str">
        <f>VLOOKUP(Tabla3[[#This Row],[Razón social cliente factura]]&amp;Tabla3[[#This Row],[Desc. ciudad]],'Estandar de Rutas'!$C$1:$E$553,2,FALSE)</f>
        <v>6.1.A</v>
      </c>
      <c r="U1116" s="130">
        <f>IFERROR(VLOOKUP(Tabla3[[#This Row],[Referencia]]&amp;Tabla3[[#This Row],[Desc detalle ext 1]],Tabla1[[Referencia-Color]:[Disponibilidad]],3,FALSE),0)</f>
        <v>83</v>
      </c>
      <c r="V1116" s="13"/>
      <c r="W1116" s="17">
        <f>+Tabla3[[#This Row],[Cant. Programada]]*Tabla3[[#This Row],[Precio unit]]</f>
        <v>0</v>
      </c>
      <c r="X1116" s="8"/>
      <c r="Y1116" s="8"/>
      <c r="Z1116" s="8" t="str">
        <f>+Tabla3[[#This Row],[Referencia]]&amp;Tabla3[[#This Row],[Desc detalle ext 1]]</f>
        <v xml:space="preserve">*CB-110                                           NEGRO    </v>
      </c>
      <c r="AA1116" s="128" t="e">
        <f>+VLOOKUP(Tabla3[[#This Row],[CODIGO2]],ESTANDAR!$B$3:$C$9,2,FALSE)</f>
        <v>#N/A</v>
      </c>
      <c r="AB1116" s="128" t="str">
        <f>+MID(Tabla3[[#This Row],['# Viaje]],10,1)</f>
        <v/>
      </c>
    </row>
    <row r="1117" spans="1:28" ht="15" hidden="1" customHeight="1">
      <c r="A1117" s="173" t="s">
        <v>1684</v>
      </c>
      <c r="B1117" s="174">
        <v>42949</v>
      </c>
      <c r="C1117" s="173" t="s">
        <v>1231</v>
      </c>
      <c r="D1117" s="173" t="s">
        <v>1237</v>
      </c>
      <c r="E1117" s="173" t="s">
        <v>1232</v>
      </c>
      <c r="F1117" s="173">
        <v>1</v>
      </c>
      <c r="G1117" s="173" t="s">
        <v>37</v>
      </c>
      <c r="H1117" s="173">
        <v>1</v>
      </c>
      <c r="I1117" s="173" t="s">
        <v>1685</v>
      </c>
      <c r="J1117" s="173" t="s">
        <v>27</v>
      </c>
      <c r="K1117" s="173" t="s">
        <v>16</v>
      </c>
      <c r="L1117" s="173"/>
      <c r="M1117" s="173" t="s">
        <v>38</v>
      </c>
      <c r="N1117" s="173">
        <v>890705341</v>
      </c>
      <c r="O1117" s="175">
        <v>5789916</v>
      </c>
      <c r="P1117" s="7"/>
      <c r="Q1117" s="16">
        <f>+IF(IFERROR(VLOOKUP(Tabla3[[#This Row],[Cliente factura]],Tabla4[[NIT]:[TOTAL CREDITO]],3,FALSE),0)="",0,IFERROR(VLOOKUP(Tabla3[[#This Row],[Cliente factura]],Tabla4[[NIT]:[TOTAL CREDITO]],3,FALSE),0))</f>
        <v>68342860</v>
      </c>
      <c r="R1117" s="9">
        <f>+IFERROR(VLOOKUP(Tabla3[[#This Row],[Cliente factura]],Tabla4[[NIT]:[TOTAL CREDITO]],6,FALSE),0)</f>
        <v>0</v>
      </c>
      <c r="S1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7" s="10" t="str">
        <f>VLOOKUP(Tabla3[[#This Row],[Razón social cliente factura]]&amp;Tabla3[[#This Row],[Desc. ciudad]],'Estandar de Rutas'!$C$1:$E$553,2,FALSE)</f>
        <v>6.1.A</v>
      </c>
      <c r="U1117" s="130">
        <f>IFERROR(VLOOKUP(Tabla3[[#This Row],[Referencia]]&amp;Tabla3[[#This Row],[Desc detalle ext 1]],Tabla1[[Referencia-Color]:[Disponibilidad]],3,FALSE),0)</f>
        <v>3</v>
      </c>
      <c r="V1117" s="13"/>
      <c r="W1117" s="17">
        <f>+Tabla3[[#This Row],[Cant. Programada]]*Tabla3[[#This Row],[Precio unit]]</f>
        <v>0</v>
      </c>
      <c r="X1117" s="8"/>
      <c r="Y1117" s="8"/>
      <c r="Z1117" s="8" t="str">
        <f>+Tabla3[[#This Row],[Referencia]]&amp;Tabla3[[#This Row],[Desc detalle ext 1]]</f>
        <v xml:space="preserve">*XR 150L                                          NEGRO    </v>
      </c>
      <c r="AA1117" s="128" t="e">
        <f>+VLOOKUP(Tabla3[[#This Row],[CODIGO2]],ESTANDAR!$B$3:$C$9,2,FALSE)</f>
        <v>#N/A</v>
      </c>
      <c r="AB1117" s="128" t="str">
        <f>+MID(Tabla3[[#This Row],['# Viaje]],10,1)</f>
        <v/>
      </c>
    </row>
    <row r="1118" spans="1:28" ht="15" hidden="1" customHeight="1">
      <c r="A1118" s="173" t="s">
        <v>1684</v>
      </c>
      <c r="B1118" s="174">
        <v>42949</v>
      </c>
      <c r="C1118" s="173" t="s">
        <v>1231</v>
      </c>
      <c r="D1118" s="173" t="s">
        <v>1237</v>
      </c>
      <c r="E1118" s="173" t="s">
        <v>1232</v>
      </c>
      <c r="F1118" s="173">
        <v>1</v>
      </c>
      <c r="G1118" s="173" t="s">
        <v>37</v>
      </c>
      <c r="H1118" s="173">
        <v>1</v>
      </c>
      <c r="I1118" s="173" t="s">
        <v>1685</v>
      </c>
      <c r="J1118" s="173" t="s">
        <v>10</v>
      </c>
      <c r="K1118" s="173" t="s">
        <v>13</v>
      </c>
      <c r="L1118" s="173"/>
      <c r="M1118" s="173" t="s">
        <v>38</v>
      </c>
      <c r="N1118" s="173">
        <v>890705341</v>
      </c>
      <c r="O1118" s="175">
        <v>7554622</v>
      </c>
      <c r="P1118" s="7"/>
      <c r="Q1118" s="16">
        <f>+IF(IFERROR(VLOOKUP(Tabla3[[#This Row],[Cliente factura]],Tabla4[[NIT]:[TOTAL CREDITO]],3,FALSE),0)="",0,IFERROR(VLOOKUP(Tabla3[[#This Row],[Cliente factura]],Tabla4[[NIT]:[TOTAL CREDITO]],3,FALSE),0))</f>
        <v>68342860</v>
      </c>
      <c r="R1118" s="9">
        <f>+IFERROR(VLOOKUP(Tabla3[[#This Row],[Cliente factura]],Tabla4[[NIT]:[TOTAL CREDITO]],6,FALSE),0)</f>
        <v>0</v>
      </c>
      <c r="S1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8" s="10" t="str">
        <f>VLOOKUP(Tabla3[[#This Row],[Razón social cliente factura]]&amp;Tabla3[[#This Row],[Desc. ciudad]],'Estandar de Rutas'!$C$1:$E$553,2,FALSE)</f>
        <v>6.1.A</v>
      </c>
      <c r="U1118" s="130">
        <f>IFERROR(VLOOKUP(Tabla3[[#This Row],[Referencia]]&amp;Tabla3[[#This Row],[Desc detalle ext 1]],Tabla1[[Referencia-Color]:[Disponibilidad]],3,FALSE),0)</f>
        <v>75</v>
      </c>
      <c r="V1118" s="13"/>
      <c r="W1118" s="17">
        <f>+Tabla3[[#This Row],[Cant. Programada]]*Tabla3[[#This Row],[Precio unit]]</f>
        <v>0</v>
      </c>
      <c r="X1118" s="8"/>
      <c r="Y1118" s="8"/>
      <c r="Z1118" s="8" t="str">
        <f>+Tabla3[[#This Row],[Referencia]]&amp;Tabla3[[#This Row],[Desc detalle ext 1]]</f>
        <v>CB 190R                                           ROJO NEGR</v>
      </c>
      <c r="AA1118" s="128" t="e">
        <f>+VLOOKUP(Tabla3[[#This Row],[CODIGO2]],ESTANDAR!$B$3:$C$9,2,FALSE)</f>
        <v>#N/A</v>
      </c>
      <c r="AB1118" s="128" t="str">
        <f>+MID(Tabla3[[#This Row],['# Viaje]],10,1)</f>
        <v/>
      </c>
    </row>
    <row r="1119" spans="1:28" ht="15" hidden="1" customHeight="1">
      <c r="A1119" s="173" t="s">
        <v>1684</v>
      </c>
      <c r="B1119" s="174">
        <v>42949</v>
      </c>
      <c r="C1119" s="173" t="s">
        <v>1231</v>
      </c>
      <c r="D1119" s="173" t="s">
        <v>1237</v>
      </c>
      <c r="E1119" s="173" t="s">
        <v>1232</v>
      </c>
      <c r="F1119" s="173">
        <v>1</v>
      </c>
      <c r="G1119" s="173" t="s">
        <v>37</v>
      </c>
      <c r="H1119" s="173">
        <v>1</v>
      </c>
      <c r="I1119" s="173" t="s">
        <v>1685</v>
      </c>
      <c r="J1119" s="173" t="s">
        <v>1425</v>
      </c>
      <c r="K1119" s="173" t="s">
        <v>1426</v>
      </c>
      <c r="L1119" s="173"/>
      <c r="M1119" s="173" t="s">
        <v>38</v>
      </c>
      <c r="N1119" s="173">
        <v>890705341</v>
      </c>
      <c r="O1119" s="175">
        <v>7730252</v>
      </c>
      <c r="P1119" s="7"/>
      <c r="Q1119" s="16">
        <f>+IF(IFERROR(VLOOKUP(Tabla3[[#This Row],[Cliente factura]],Tabla4[[NIT]:[TOTAL CREDITO]],3,FALSE),0)="",0,IFERROR(VLOOKUP(Tabla3[[#This Row],[Cliente factura]],Tabla4[[NIT]:[TOTAL CREDITO]],3,FALSE),0))</f>
        <v>68342860</v>
      </c>
      <c r="R1119" s="9">
        <f>+IFERROR(VLOOKUP(Tabla3[[#This Row],[Cliente factura]],Tabla4[[NIT]:[TOTAL CREDITO]],6,FALSE),0)</f>
        <v>0</v>
      </c>
      <c r="S1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9" s="10" t="str">
        <f>VLOOKUP(Tabla3[[#This Row],[Razón social cliente factura]]&amp;Tabla3[[#This Row],[Desc. ciudad]],'Estandar de Rutas'!$C$1:$E$553,2,FALSE)</f>
        <v>6.1.A</v>
      </c>
      <c r="U1119" s="130">
        <f>IFERROR(VLOOKUP(Tabla3[[#This Row],[Referencia]]&amp;Tabla3[[#This Row],[Desc detalle ext 1]],Tabla1[[Referencia-Color]:[Disponibilidad]],3,FALSE),0)</f>
        <v>104</v>
      </c>
      <c r="V1119" s="13"/>
      <c r="W1119" s="17">
        <f>+Tabla3[[#This Row],[Cant. Programada]]*Tabla3[[#This Row],[Precio unit]]</f>
        <v>0</v>
      </c>
      <c r="X1119" s="8"/>
      <c r="Y1119" s="8"/>
      <c r="Z1119" s="8" t="str">
        <f>+Tabla3[[#This Row],[Referencia]]&amp;Tabla3[[#This Row],[Desc detalle ext 1]]</f>
        <v>CB 190 REPSOL                                     NARANJA B</v>
      </c>
      <c r="AA1119" s="128" t="e">
        <f>+VLOOKUP(Tabla3[[#This Row],[CODIGO2]],ESTANDAR!$B$3:$C$9,2,FALSE)</f>
        <v>#N/A</v>
      </c>
      <c r="AB1119" s="128" t="str">
        <f>+MID(Tabla3[[#This Row],['# Viaje]],10,1)</f>
        <v/>
      </c>
    </row>
    <row r="1120" spans="1:28" ht="15" hidden="1" customHeight="1">
      <c r="A1120" s="173" t="s">
        <v>1684</v>
      </c>
      <c r="B1120" s="174">
        <v>42949</v>
      </c>
      <c r="C1120" s="173" t="s">
        <v>1231</v>
      </c>
      <c r="D1120" s="173" t="s">
        <v>1237</v>
      </c>
      <c r="E1120" s="173" t="s">
        <v>1232</v>
      </c>
      <c r="F1120" s="173">
        <v>1</v>
      </c>
      <c r="G1120" s="173" t="s">
        <v>37</v>
      </c>
      <c r="H1120" s="173">
        <v>1</v>
      </c>
      <c r="I1120" s="173" t="s">
        <v>1685</v>
      </c>
      <c r="J1120" s="173" t="s">
        <v>354</v>
      </c>
      <c r="K1120" s="173" t="s">
        <v>355</v>
      </c>
      <c r="L1120" s="173"/>
      <c r="M1120" s="173" t="s">
        <v>38</v>
      </c>
      <c r="N1120" s="173">
        <v>890705341</v>
      </c>
      <c r="O1120" s="175">
        <v>6133613</v>
      </c>
      <c r="P1120" s="7"/>
      <c r="Q1120" s="16">
        <f>+IF(IFERROR(VLOOKUP(Tabla3[[#This Row],[Cliente factura]],Tabla4[[NIT]:[TOTAL CREDITO]],3,FALSE),0)="",0,IFERROR(VLOOKUP(Tabla3[[#This Row],[Cliente factura]],Tabla4[[NIT]:[TOTAL CREDITO]],3,FALSE),0))</f>
        <v>68342860</v>
      </c>
      <c r="R1120" s="9">
        <f>+IFERROR(VLOOKUP(Tabla3[[#This Row],[Cliente factura]],Tabla4[[NIT]:[TOTAL CREDITO]],6,FALSE),0)</f>
        <v>0</v>
      </c>
      <c r="S1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0" s="10" t="str">
        <f>VLOOKUP(Tabla3[[#This Row],[Razón social cliente factura]]&amp;Tabla3[[#This Row],[Desc. ciudad]],'Estandar de Rutas'!$C$1:$E$553,2,FALSE)</f>
        <v>6.1.A</v>
      </c>
      <c r="U1120" s="130">
        <f>IFERROR(VLOOKUP(Tabla3[[#This Row],[Referencia]]&amp;Tabla3[[#This Row],[Desc detalle ext 1]],Tabla1[[Referencia-Color]:[Disponibilidad]],3,FALSE),0)</f>
        <v>0</v>
      </c>
      <c r="V1120" s="13"/>
      <c r="W1120" s="17">
        <f>+Tabla3[[#This Row],[Cant. Programada]]*Tabla3[[#This Row],[Precio unit]]</f>
        <v>0</v>
      </c>
      <c r="X1120" s="8"/>
      <c r="Y1120" s="8"/>
      <c r="Z1120" s="8" t="str">
        <f>+Tabla3[[#This Row],[Referencia]]&amp;Tabla3[[#This Row],[Desc detalle ext 1]]</f>
        <v>CB 160F DLX                                       NEGRO PER</v>
      </c>
      <c r="AA1120" s="128" t="e">
        <f>+VLOOKUP(Tabla3[[#This Row],[CODIGO2]],ESTANDAR!$B$3:$C$9,2,FALSE)</f>
        <v>#N/A</v>
      </c>
      <c r="AB1120" s="128" t="str">
        <f>+MID(Tabla3[[#This Row],['# Viaje]],10,1)</f>
        <v/>
      </c>
    </row>
    <row r="1121" spans="1:28" ht="15" hidden="1" customHeight="1">
      <c r="A1121" s="173" t="s">
        <v>1684</v>
      </c>
      <c r="B1121" s="174">
        <v>42949</v>
      </c>
      <c r="C1121" s="173" t="s">
        <v>1231</v>
      </c>
      <c r="D1121" s="173" t="s">
        <v>1237</v>
      </c>
      <c r="E1121" s="173" t="s">
        <v>1232</v>
      </c>
      <c r="F1121" s="173">
        <v>1</v>
      </c>
      <c r="G1121" s="173" t="s">
        <v>37</v>
      </c>
      <c r="H1121" s="173">
        <v>1</v>
      </c>
      <c r="I1121" s="173" t="s">
        <v>1685</v>
      </c>
      <c r="J1121" s="173" t="s">
        <v>354</v>
      </c>
      <c r="K1121" s="173" t="s">
        <v>474</v>
      </c>
      <c r="L1121" s="173"/>
      <c r="M1121" s="173" t="s">
        <v>38</v>
      </c>
      <c r="N1121" s="173">
        <v>890705341</v>
      </c>
      <c r="O1121" s="175">
        <v>6133613</v>
      </c>
      <c r="P1121" s="7"/>
      <c r="Q1121" s="16">
        <f>+IF(IFERROR(VLOOKUP(Tabla3[[#This Row],[Cliente factura]],Tabla4[[NIT]:[TOTAL CREDITO]],3,FALSE),0)="",0,IFERROR(VLOOKUP(Tabla3[[#This Row],[Cliente factura]],Tabla4[[NIT]:[TOTAL CREDITO]],3,FALSE),0))</f>
        <v>68342860</v>
      </c>
      <c r="R1121" s="9">
        <f>+IFERROR(VLOOKUP(Tabla3[[#This Row],[Cliente factura]],Tabla4[[NIT]:[TOTAL CREDITO]],6,FALSE),0)</f>
        <v>0</v>
      </c>
      <c r="S1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1" s="10" t="str">
        <f>VLOOKUP(Tabla3[[#This Row],[Razón social cliente factura]]&amp;Tabla3[[#This Row],[Desc. ciudad]],'Estandar de Rutas'!$C$1:$E$553,2,FALSE)</f>
        <v>6.1.A</v>
      </c>
      <c r="U1121" s="130">
        <f>IFERROR(VLOOKUP(Tabla3[[#This Row],[Referencia]]&amp;Tabla3[[#This Row],[Desc detalle ext 1]],Tabla1[[Referencia-Color]:[Disponibilidad]],3,FALSE),0)</f>
        <v>3</v>
      </c>
      <c r="V1121" s="13"/>
      <c r="W1121" s="17">
        <f>+Tabla3[[#This Row],[Cant. Programada]]*Tabla3[[#This Row],[Precio unit]]</f>
        <v>0</v>
      </c>
      <c r="X1121" s="8"/>
      <c r="Y1121" s="8"/>
      <c r="Z1121" s="8" t="str">
        <f>+Tabla3[[#This Row],[Referencia]]&amp;Tabla3[[#This Row],[Desc detalle ext 1]]</f>
        <v>CB 160F DLX                                       NARANJA N</v>
      </c>
      <c r="AA1121" s="128" t="e">
        <f>+VLOOKUP(Tabla3[[#This Row],[CODIGO2]],ESTANDAR!$B$3:$C$9,2,FALSE)</f>
        <v>#N/A</v>
      </c>
      <c r="AB1121" s="128" t="str">
        <f>+MID(Tabla3[[#This Row],['# Viaje]],10,1)</f>
        <v/>
      </c>
    </row>
    <row r="1122" spans="1:28" ht="15" hidden="1" customHeight="1">
      <c r="A1122" s="173" t="s">
        <v>1684</v>
      </c>
      <c r="B1122" s="174">
        <v>42949</v>
      </c>
      <c r="C1122" s="173" t="s">
        <v>1231</v>
      </c>
      <c r="D1122" s="173" t="s">
        <v>1237</v>
      </c>
      <c r="E1122" s="173" t="s">
        <v>1232</v>
      </c>
      <c r="F1122" s="173">
        <v>1</v>
      </c>
      <c r="G1122" s="173" t="s">
        <v>37</v>
      </c>
      <c r="H1122" s="173">
        <v>1</v>
      </c>
      <c r="I1122" s="173" t="s">
        <v>1685</v>
      </c>
      <c r="J1122" s="173" t="s">
        <v>1428</v>
      </c>
      <c r="K1122" s="173" t="s">
        <v>1429</v>
      </c>
      <c r="L1122" s="173"/>
      <c r="M1122" s="173" t="s">
        <v>38</v>
      </c>
      <c r="N1122" s="173">
        <v>890705341</v>
      </c>
      <c r="O1122" s="175">
        <v>3067227</v>
      </c>
      <c r="P1122" s="7"/>
      <c r="Q1122" s="16">
        <f>+IF(IFERROR(VLOOKUP(Tabla3[[#This Row],[Cliente factura]],Tabla4[[NIT]:[TOTAL CREDITO]],3,FALSE),0)="",0,IFERROR(VLOOKUP(Tabla3[[#This Row],[Cliente factura]],Tabla4[[NIT]:[TOTAL CREDITO]],3,FALSE),0))</f>
        <v>68342860</v>
      </c>
      <c r="R1122" s="9">
        <f>+IFERROR(VLOOKUP(Tabla3[[#This Row],[Cliente factura]],Tabla4[[NIT]:[TOTAL CREDITO]],6,FALSE),0)</f>
        <v>0</v>
      </c>
      <c r="S1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2" s="10" t="str">
        <f>VLOOKUP(Tabla3[[#This Row],[Razón social cliente factura]]&amp;Tabla3[[#This Row],[Desc. ciudad]],'Estandar de Rutas'!$C$1:$E$553,2,FALSE)</f>
        <v>6.1.A</v>
      </c>
      <c r="U1122" s="130">
        <f>IFERROR(VLOOKUP(Tabla3[[#This Row],[Referencia]]&amp;Tabla3[[#This Row],[Desc detalle ext 1]],Tabla1[[Referencia-Color]:[Disponibilidad]],3,FALSE),0)</f>
        <v>0</v>
      </c>
      <c r="V1122" s="13"/>
      <c r="W1122" s="17">
        <f>+Tabla3[[#This Row],[Cant. Programada]]*Tabla3[[#This Row],[Precio unit]]</f>
        <v>0</v>
      </c>
      <c r="X1122" s="8"/>
      <c r="Y1122" s="8"/>
      <c r="Z1122" s="8" t="str">
        <f>+Tabla3[[#This Row],[Referencia]]&amp;Tabla3[[#This Row],[Desc detalle ext 1]]</f>
        <v>DREAM  NEO                                        NEGRO AZU</v>
      </c>
      <c r="AA1122" s="128" t="e">
        <f>+VLOOKUP(Tabla3[[#This Row],[CODIGO2]],ESTANDAR!$B$3:$C$9,2,FALSE)</f>
        <v>#N/A</v>
      </c>
      <c r="AB1122" s="128" t="str">
        <f>+MID(Tabla3[[#This Row],['# Viaje]],10,1)</f>
        <v/>
      </c>
    </row>
    <row r="1123" spans="1:28" ht="15" hidden="1" customHeight="1">
      <c r="A1123" s="173" t="s">
        <v>1684</v>
      </c>
      <c r="B1123" s="174">
        <v>42949</v>
      </c>
      <c r="C1123" s="173" t="s">
        <v>1231</v>
      </c>
      <c r="D1123" s="173" t="s">
        <v>1237</v>
      </c>
      <c r="E1123" s="173" t="s">
        <v>1232</v>
      </c>
      <c r="F1123" s="173">
        <v>1</v>
      </c>
      <c r="G1123" s="173" t="s">
        <v>37</v>
      </c>
      <c r="H1123" s="173">
        <v>1</v>
      </c>
      <c r="I1123" s="173" t="s">
        <v>1685</v>
      </c>
      <c r="J1123" s="173" t="s">
        <v>1430</v>
      </c>
      <c r="K1123" s="173" t="s">
        <v>1431</v>
      </c>
      <c r="L1123" s="173"/>
      <c r="M1123" s="173" t="s">
        <v>38</v>
      </c>
      <c r="N1123" s="173">
        <v>890705341</v>
      </c>
      <c r="O1123" s="175">
        <v>3941176</v>
      </c>
      <c r="P1123" s="7"/>
      <c r="Q1123" s="16">
        <f>+IF(IFERROR(VLOOKUP(Tabla3[[#This Row],[Cliente factura]],Tabla4[[NIT]:[TOTAL CREDITO]],3,FALSE),0)="",0,IFERROR(VLOOKUP(Tabla3[[#This Row],[Cliente factura]],Tabla4[[NIT]:[TOTAL CREDITO]],3,FALSE),0))</f>
        <v>68342860</v>
      </c>
      <c r="R1123" s="9">
        <f>+IFERROR(VLOOKUP(Tabla3[[#This Row],[Cliente factura]],Tabla4[[NIT]:[TOTAL CREDITO]],6,FALSE),0)</f>
        <v>0</v>
      </c>
      <c r="S1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3" s="10" t="str">
        <f>VLOOKUP(Tabla3[[#This Row],[Razón social cliente factura]]&amp;Tabla3[[#This Row],[Desc. ciudad]],'Estandar de Rutas'!$C$1:$E$553,2,FALSE)</f>
        <v>6.1.A</v>
      </c>
      <c r="U1123" s="130">
        <f>IFERROR(VLOOKUP(Tabla3[[#This Row],[Referencia]]&amp;Tabla3[[#This Row],[Desc detalle ext 1]],Tabla1[[Referencia-Color]:[Disponibilidad]],3,FALSE),0)</f>
        <v>0</v>
      </c>
      <c r="V1123" s="13"/>
      <c r="W1123" s="17">
        <f>+Tabla3[[#This Row],[Cant. Programada]]*Tabla3[[#This Row],[Precio unit]]</f>
        <v>0</v>
      </c>
      <c r="X1123" s="8"/>
      <c r="Y1123" s="8"/>
      <c r="Z1123" s="8" t="str">
        <f>+Tabla3[[#This Row],[Referencia]]&amp;Tabla3[[#This Row],[Desc detalle ext 1]]</f>
        <v xml:space="preserve">WAVE 110S                                         ROJO     </v>
      </c>
      <c r="AA1123" s="128" t="e">
        <f>+VLOOKUP(Tabla3[[#This Row],[CODIGO2]],ESTANDAR!$B$3:$C$9,2,FALSE)</f>
        <v>#N/A</v>
      </c>
      <c r="AB1123" s="128" t="str">
        <f>+MID(Tabla3[[#This Row],['# Viaje]],10,1)</f>
        <v/>
      </c>
    </row>
    <row r="1124" spans="1:28" ht="15" hidden="1" customHeight="1">
      <c r="A1124" s="173" t="s">
        <v>1684</v>
      </c>
      <c r="B1124" s="174">
        <v>42949</v>
      </c>
      <c r="C1124" s="173" t="s">
        <v>1231</v>
      </c>
      <c r="D1124" s="173" t="s">
        <v>1237</v>
      </c>
      <c r="E1124" s="173" t="s">
        <v>1232</v>
      </c>
      <c r="F1124" s="173">
        <v>1</v>
      </c>
      <c r="G1124" s="173" t="s">
        <v>37</v>
      </c>
      <c r="H1124" s="173">
        <v>1</v>
      </c>
      <c r="I1124" s="173" t="s">
        <v>1685</v>
      </c>
      <c r="J1124" s="173" t="s">
        <v>1451</v>
      </c>
      <c r="K1124" s="173" t="s">
        <v>16</v>
      </c>
      <c r="L1124" s="173"/>
      <c r="M1124" s="173" t="s">
        <v>38</v>
      </c>
      <c r="N1124" s="173">
        <v>890705341</v>
      </c>
      <c r="O1124" s="175">
        <v>3696639</v>
      </c>
      <c r="P1124" s="7"/>
      <c r="Q1124" s="16">
        <f>+IF(IFERROR(VLOOKUP(Tabla3[[#This Row],[Cliente factura]],Tabla4[[NIT]:[TOTAL CREDITO]],3,FALSE),0)="",0,IFERROR(VLOOKUP(Tabla3[[#This Row],[Cliente factura]],Tabla4[[NIT]:[TOTAL CREDITO]],3,FALSE),0))</f>
        <v>68342860</v>
      </c>
      <c r="R1124" s="9">
        <f>+IFERROR(VLOOKUP(Tabla3[[#This Row],[Cliente factura]],Tabla4[[NIT]:[TOTAL CREDITO]],6,FALSE),0)</f>
        <v>0</v>
      </c>
      <c r="S1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4" s="10" t="str">
        <f>VLOOKUP(Tabla3[[#This Row],[Razón social cliente factura]]&amp;Tabla3[[#This Row],[Desc. ciudad]],'Estandar de Rutas'!$C$1:$E$553,2,FALSE)</f>
        <v>6.1.A</v>
      </c>
      <c r="U1124" s="130">
        <f>IFERROR(VLOOKUP(Tabla3[[#This Row],[Referencia]]&amp;Tabla3[[#This Row],[Desc detalle ext 1]],Tabla1[[Referencia-Color]:[Disponibilidad]],3,FALSE),0)</f>
        <v>3</v>
      </c>
      <c r="V1124" s="13"/>
      <c r="W1124" s="17">
        <f>+Tabla3[[#This Row],[Cant. Programada]]*Tabla3[[#This Row],[Precio unit]]</f>
        <v>0</v>
      </c>
      <c r="X1124" s="8"/>
      <c r="Y1124" s="8"/>
      <c r="Z1124" s="8" t="str">
        <f>+Tabla3[[#This Row],[Referencia]]&amp;Tabla3[[#This Row],[Desc detalle ext 1]]</f>
        <v xml:space="preserve">CB 110 DLX                                        NEGRO    </v>
      </c>
      <c r="AA1124" s="128" t="e">
        <f>+VLOOKUP(Tabla3[[#This Row],[CODIGO2]],ESTANDAR!$B$3:$C$9,2,FALSE)</f>
        <v>#N/A</v>
      </c>
      <c r="AB1124" s="128" t="str">
        <f>+MID(Tabla3[[#This Row],['# Viaje]],10,1)</f>
        <v/>
      </c>
    </row>
    <row r="1125" spans="1:28" ht="15" hidden="1" customHeight="1">
      <c r="A1125" s="173" t="s">
        <v>1686</v>
      </c>
      <c r="B1125" s="174">
        <v>42949</v>
      </c>
      <c r="C1125" s="173" t="s">
        <v>1231</v>
      </c>
      <c r="D1125" s="173" t="s">
        <v>1237</v>
      </c>
      <c r="E1125" s="173" t="s">
        <v>1232</v>
      </c>
      <c r="F1125" s="173">
        <v>1</v>
      </c>
      <c r="G1125" s="173" t="s">
        <v>37</v>
      </c>
      <c r="H1125" s="173">
        <v>1</v>
      </c>
      <c r="I1125" s="173" t="s">
        <v>1687</v>
      </c>
      <c r="J1125" s="173" t="s">
        <v>14</v>
      </c>
      <c r="K1125" s="173" t="s">
        <v>1417</v>
      </c>
      <c r="L1125" s="173"/>
      <c r="M1125" s="173" t="s">
        <v>207</v>
      </c>
      <c r="N1125" s="173">
        <v>890705341</v>
      </c>
      <c r="O1125" s="175">
        <v>3360504</v>
      </c>
      <c r="P1125" s="7"/>
      <c r="Q1125" s="16">
        <f>+IF(IFERROR(VLOOKUP(Tabla3[[#This Row],[Cliente factura]],Tabla4[[NIT]:[TOTAL CREDITO]],3,FALSE),0)="",0,IFERROR(VLOOKUP(Tabla3[[#This Row],[Cliente factura]],Tabla4[[NIT]:[TOTAL CREDITO]],3,FALSE),0))</f>
        <v>68342860</v>
      </c>
      <c r="R1125" s="9">
        <f>+IFERROR(VLOOKUP(Tabla3[[#This Row],[Cliente factura]],Tabla4[[NIT]:[TOTAL CREDITO]],6,FALSE),0)</f>
        <v>0</v>
      </c>
      <c r="S1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5" s="10" t="str">
        <f>VLOOKUP(Tabla3[[#This Row],[Razón social cliente factura]]&amp;Tabla3[[#This Row],[Desc. ciudad]],'Estandar de Rutas'!$C$1:$E$553,2,FALSE)</f>
        <v>6.1</v>
      </c>
      <c r="U1125" s="130">
        <f>IFERROR(VLOOKUP(Tabla3[[#This Row],[Referencia]]&amp;Tabla3[[#This Row],[Desc detalle ext 1]],Tabla1[[Referencia-Color]:[Disponibilidad]],3,FALSE),0)</f>
        <v>24</v>
      </c>
      <c r="V1125" s="13"/>
      <c r="W1125" s="17">
        <f>+Tabla3[[#This Row],[Cant. Programada]]*Tabla3[[#This Row],[Precio unit]]</f>
        <v>0</v>
      </c>
      <c r="X1125" s="8"/>
      <c r="Y1125" s="8"/>
      <c r="Z1125" s="8" t="str">
        <f>+Tabla3[[#This Row],[Referencia]]&amp;Tabla3[[#This Row],[Desc detalle ext 1]]</f>
        <v xml:space="preserve">*CB-110                                           GRIS MET </v>
      </c>
      <c r="AA1125" s="128" t="e">
        <f>+VLOOKUP(Tabla3[[#This Row],[CODIGO2]],ESTANDAR!$B$3:$C$9,2,FALSE)</f>
        <v>#N/A</v>
      </c>
      <c r="AB1125" s="128" t="str">
        <f>+MID(Tabla3[[#This Row],['# Viaje]],10,1)</f>
        <v/>
      </c>
    </row>
    <row r="1126" spans="1:28" ht="15" hidden="1" customHeight="1">
      <c r="A1126" s="173" t="s">
        <v>1686</v>
      </c>
      <c r="B1126" s="174">
        <v>42949</v>
      </c>
      <c r="C1126" s="173" t="s">
        <v>1231</v>
      </c>
      <c r="D1126" s="173" t="s">
        <v>1237</v>
      </c>
      <c r="E1126" s="173" t="s">
        <v>1232</v>
      </c>
      <c r="F1126" s="173">
        <v>1</v>
      </c>
      <c r="G1126" s="173" t="s">
        <v>37</v>
      </c>
      <c r="H1126" s="173">
        <v>1</v>
      </c>
      <c r="I1126" s="173" t="s">
        <v>1687</v>
      </c>
      <c r="J1126" s="173" t="s">
        <v>14</v>
      </c>
      <c r="K1126" s="173" t="s">
        <v>17</v>
      </c>
      <c r="L1126" s="173"/>
      <c r="M1126" s="173" t="s">
        <v>207</v>
      </c>
      <c r="N1126" s="173">
        <v>890705341</v>
      </c>
      <c r="O1126" s="175">
        <v>3360504</v>
      </c>
      <c r="P1126" s="7"/>
      <c r="Q1126" s="16">
        <f>+IF(IFERROR(VLOOKUP(Tabla3[[#This Row],[Cliente factura]],Tabla4[[NIT]:[TOTAL CREDITO]],3,FALSE),0)="",0,IFERROR(VLOOKUP(Tabla3[[#This Row],[Cliente factura]],Tabla4[[NIT]:[TOTAL CREDITO]],3,FALSE),0))</f>
        <v>68342860</v>
      </c>
      <c r="R1126" s="9">
        <f>+IFERROR(VLOOKUP(Tabla3[[#This Row],[Cliente factura]],Tabla4[[NIT]:[TOTAL CREDITO]],6,FALSE),0)</f>
        <v>0</v>
      </c>
      <c r="S1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6" s="10" t="str">
        <f>VLOOKUP(Tabla3[[#This Row],[Razón social cliente factura]]&amp;Tabla3[[#This Row],[Desc. ciudad]],'Estandar de Rutas'!$C$1:$E$553,2,FALSE)</f>
        <v>6.1</v>
      </c>
      <c r="U1126" s="130">
        <f>IFERROR(VLOOKUP(Tabla3[[#This Row],[Referencia]]&amp;Tabla3[[#This Row],[Desc detalle ext 1]],Tabla1[[Referencia-Color]:[Disponibilidad]],3,FALSE),0)</f>
        <v>38</v>
      </c>
      <c r="V1126" s="13"/>
      <c r="W1126" s="17">
        <f>+Tabla3[[#This Row],[Cant. Programada]]*Tabla3[[#This Row],[Precio unit]]</f>
        <v>0</v>
      </c>
      <c r="X1126" s="8"/>
      <c r="Y1126" s="8"/>
      <c r="Z1126" s="8" t="str">
        <f>+Tabla3[[#This Row],[Referencia]]&amp;Tabla3[[#This Row],[Desc detalle ext 1]]</f>
        <v>*CB-110                                           ROJO SPOR</v>
      </c>
      <c r="AA1126" s="128" t="e">
        <f>+VLOOKUP(Tabla3[[#This Row],[CODIGO2]],ESTANDAR!$B$3:$C$9,2,FALSE)</f>
        <v>#N/A</v>
      </c>
      <c r="AB1126" s="128" t="str">
        <f>+MID(Tabla3[[#This Row],['# Viaje]],10,1)</f>
        <v/>
      </c>
    </row>
    <row r="1127" spans="1:28" ht="15" hidden="1" customHeight="1">
      <c r="A1127" s="173" t="s">
        <v>1686</v>
      </c>
      <c r="B1127" s="174">
        <v>42949</v>
      </c>
      <c r="C1127" s="173" t="s">
        <v>1231</v>
      </c>
      <c r="D1127" s="173" t="s">
        <v>1237</v>
      </c>
      <c r="E1127" s="173" t="s">
        <v>1232</v>
      </c>
      <c r="F1127" s="173">
        <v>2</v>
      </c>
      <c r="G1127" s="173" t="s">
        <v>37</v>
      </c>
      <c r="H1127" s="173">
        <v>2</v>
      </c>
      <c r="I1127" s="173" t="s">
        <v>1687</v>
      </c>
      <c r="J1127" s="173" t="s">
        <v>14</v>
      </c>
      <c r="K1127" s="173" t="s">
        <v>16</v>
      </c>
      <c r="L1127" s="173"/>
      <c r="M1127" s="173" t="s">
        <v>207</v>
      </c>
      <c r="N1127" s="173">
        <v>890705341</v>
      </c>
      <c r="O1127" s="175">
        <v>3360504</v>
      </c>
      <c r="P1127" s="7"/>
      <c r="Q1127" s="16">
        <f>+IF(IFERROR(VLOOKUP(Tabla3[[#This Row],[Cliente factura]],Tabla4[[NIT]:[TOTAL CREDITO]],3,FALSE),0)="",0,IFERROR(VLOOKUP(Tabla3[[#This Row],[Cliente factura]],Tabla4[[NIT]:[TOTAL CREDITO]],3,FALSE),0))</f>
        <v>68342860</v>
      </c>
      <c r="R1127" s="9">
        <f>+IFERROR(VLOOKUP(Tabla3[[#This Row],[Cliente factura]],Tabla4[[NIT]:[TOTAL CREDITO]],6,FALSE),0)</f>
        <v>0</v>
      </c>
      <c r="S1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7" s="10" t="str">
        <f>VLOOKUP(Tabla3[[#This Row],[Razón social cliente factura]]&amp;Tabla3[[#This Row],[Desc. ciudad]],'Estandar de Rutas'!$C$1:$E$553,2,FALSE)</f>
        <v>6.1</v>
      </c>
      <c r="U1127" s="130">
        <f>IFERROR(VLOOKUP(Tabla3[[#This Row],[Referencia]]&amp;Tabla3[[#This Row],[Desc detalle ext 1]],Tabla1[[Referencia-Color]:[Disponibilidad]],3,FALSE),0)</f>
        <v>83</v>
      </c>
      <c r="V1127" s="13"/>
      <c r="W1127" s="17">
        <f>+Tabla3[[#This Row],[Cant. Programada]]*Tabla3[[#This Row],[Precio unit]]</f>
        <v>0</v>
      </c>
      <c r="X1127" s="8"/>
      <c r="Y1127" s="8"/>
      <c r="Z1127" s="8" t="str">
        <f>+Tabla3[[#This Row],[Referencia]]&amp;Tabla3[[#This Row],[Desc detalle ext 1]]</f>
        <v xml:space="preserve">*CB-110                                           NEGRO    </v>
      </c>
      <c r="AA1127" s="128" t="e">
        <f>+VLOOKUP(Tabla3[[#This Row],[CODIGO2]],ESTANDAR!$B$3:$C$9,2,FALSE)</f>
        <v>#N/A</v>
      </c>
      <c r="AB1127" s="128" t="str">
        <f>+MID(Tabla3[[#This Row],['# Viaje]],10,1)</f>
        <v/>
      </c>
    </row>
    <row r="1128" spans="1:28" ht="15" hidden="1" customHeight="1">
      <c r="A1128" s="173" t="s">
        <v>1686</v>
      </c>
      <c r="B1128" s="174">
        <v>42949</v>
      </c>
      <c r="C1128" s="173" t="s">
        <v>1231</v>
      </c>
      <c r="D1128" s="173" t="s">
        <v>1237</v>
      </c>
      <c r="E1128" s="173" t="s">
        <v>1232</v>
      </c>
      <c r="F1128" s="173">
        <v>1</v>
      </c>
      <c r="G1128" s="173" t="s">
        <v>37</v>
      </c>
      <c r="H1128" s="173">
        <v>1</v>
      </c>
      <c r="I1128" s="173" t="s">
        <v>1687</v>
      </c>
      <c r="J1128" s="173" t="s">
        <v>18</v>
      </c>
      <c r="K1128" s="173" t="s">
        <v>1419</v>
      </c>
      <c r="L1128" s="173"/>
      <c r="M1128" s="173" t="s">
        <v>207</v>
      </c>
      <c r="N1128" s="173">
        <v>890705341</v>
      </c>
      <c r="O1128" s="175">
        <v>5168067</v>
      </c>
      <c r="P1128" s="7"/>
      <c r="Q1128" s="16">
        <f>+IF(IFERROR(VLOOKUP(Tabla3[[#This Row],[Cliente factura]],Tabla4[[NIT]:[TOTAL CREDITO]],3,FALSE),0)="",0,IFERROR(VLOOKUP(Tabla3[[#This Row],[Cliente factura]],Tabla4[[NIT]:[TOTAL CREDITO]],3,FALSE),0))</f>
        <v>68342860</v>
      </c>
      <c r="R1128" s="9">
        <f>+IFERROR(VLOOKUP(Tabla3[[#This Row],[Cliente factura]],Tabla4[[NIT]:[TOTAL CREDITO]],6,FALSE),0)</f>
        <v>0</v>
      </c>
      <c r="S1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8" s="10" t="str">
        <f>VLOOKUP(Tabla3[[#This Row],[Razón social cliente factura]]&amp;Tabla3[[#This Row],[Desc. ciudad]],'Estandar de Rutas'!$C$1:$E$553,2,FALSE)</f>
        <v>6.1</v>
      </c>
      <c r="U1128" s="130">
        <f>IFERROR(VLOOKUP(Tabla3[[#This Row],[Referencia]]&amp;Tabla3[[#This Row],[Desc detalle ext 1]],Tabla1[[Referencia-Color]:[Disponibilidad]],3,FALSE),0)</f>
        <v>18</v>
      </c>
      <c r="V1128" s="13"/>
      <c r="W1128" s="17">
        <f>+Tabla3[[#This Row],[Cant. Programada]]*Tabla3[[#This Row],[Precio unit]]</f>
        <v>0</v>
      </c>
      <c r="X1128" s="8"/>
      <c r="Y1128" s="8"/>
      <c r="Z1128" s="8" t="str">
        <f>+Tabla3[[#This Row],[Referencia]]&amp;Tabla3[[#This Row],[Desc detalle ext 1]]</f>
        <v>*INVICTA                                          AZUL NEON</v>
      </c>
      <c r="AA1128" s="128" t="e">
        <f>+VLOOKUP(Tabla3[[#This Row],[CODIGO2]],ESTANDAR!$B$3:$C$9,2,FALSE)</f>
        <v>#N/A</v>
      </c>
      <c r="AB1128" s="128" t="str">
        <f>+MID(Tabla3[[#This Row],['# Viaje]],10,1)</f>
        <v/>
      </c>
    </row>
    <row r="1129" spans="1:28" ht="15" hidden="1" customHeight="1">
      <c r="A1129" s="173" t="s">
        <v>1686</v>
      </c>
      <c r="B1129" s="174">
        <v>42949</v>
      </c>
      <c r="C1129" s="173" t="s">
        <v>1231</v>
      </c>
      <c r="D1129" s="173" t="s">
        <v>1237</v>
      </c>
      <c r="E1129" s="173" t="s">
        <v>1232</v>
      </c>
      <c r="F1129" s="173">
        <v>6</v>
      </c>
      <c r="G1129" s="173" t="s">
        <v>37</v>
      </c>
      <c r="H1129" s="173">
        <v>6</v>
      </c>
      <c r="I1129" s="173" t="s">
        <v>1687</v>
      </c>
      <c r="J1129" s="173" t="s">
        <v>27</v>
      </c>
      <c r="K1129" s="173" t="s">
        <v>32</v>
      </c>
      <c r="L1129" s="173"/>
      <c r="M1129" s="173" t="s">
        <v>207</v>
      </c>
      <c r="N1129" s="173">
        <v>890705341</v>
      </c>
      <c r="O1129" s="175">
        <v>5789916</v>
      </c>
      <c r="P1129" s="7"/>
      <c r="Q1129" s="16">
        <f>+IF(IFERROR(VLOOKUP(Tabla3[[#This Row],[Cliente factura]],Tabla4[[NIT]:[TOTAL CREDITO]],3,FALSE),0)="",0,IFERROR(VLOOKUP(Tabla3[[#This Row],[Cliente factura]],Tabla4[[NIT]:[TOTAL CREDITO]],3,FALSE),0))</f>
        <v>68342860</v>
      </c>
      <c r="R1129" s="9">
        <f>+IFERROR(VLOOKUP(Tabla3[[#This Row],[Cliente factura]],Tabla4[[NIT]:[TOTAL CREDITO]],6,FALSE),0)</f>
        <v>0</v>
      </c>
      <c r="S1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9" s="10" t="str">
        <f>VLOOKUP(Tabla3[[#This Row],[Razón social cliente factura]]&amp;Tabla3[[#This Row],[Desc. ciudad]],'Estandar de Rutas'!$C$1:$E$553,2,FALSE)</f>
        <v>6.1</v>
      </c>
      <c r="U1129" s="130">
        <f>IFERROR(VLOOKUP(Tabla3[[#This Row],[Referencia]]&amp;Tabla3[[#This Row],[Desc detalle ext 1]],Tabla1[[Referencia-Color]:[Disponibilidad]],3,FALSE),0)</f>
        <v>7</v>
      </c>
      <c r="V1129" s="13"/>
      <c r="W1129" s="17">
        <f>+Tabla3[[#This Row],[Cant. Programada]]*Tabla3[[#This Row],[Precio unit]]</f>
        <v>0</v>
      </c>
      <c r="X1129" s="8"/>
      <c r="Y1129" s="8"/>
      <c r="Z1129" s="8" t="str">
        <f>+Tabla3[[#This Row],[Referencia]]&amp;Tabla3[[#This Row],[Desc detalle ext 1]]</f>
        <v>*XR 150L                                          NEGRO ROJ</v>
      </c>
      <c r="AA1129" s="128" t="e">
        <f>+VLOOKUP(Tabla3[[#This Row],[CODIGO2]],ESTANDAR!$B$3:$C$9,2,FALSE)</f>
        <v>#N/A</v>
      </c>
      <c r="AB1129" s="128" t="str">
        <f>+MID(Tabla3[[#This Row],['# Viaje]],10,1)</f>
        <v/>
      </c>
    </row>
    <row r="1130" spans="1:28" ht="15" hidden="1" customHeight="1">
      <c r="A1130" s="173" t="s">
        <v>1686</v>
      </c>
      <c r="B1130" s="174">
        <v>42949</v>
      </c>
      <c r="C1130" s="173" t="s">
        <v>1231</v>
      </c>
      <c r="D1130" s="173" t="s">
        <v>1237</v>
      </c>
      <c r="E1130" s="173" t="s">
        <v>1232</v>
      </c>
      <c r="F1130" s="173">
        <v>5</v>
      </c>
      <c r="G1130" s="173" t="s">
        <v>37</v>
      </c>
      <c r="H1130" s="173">
        <v>5</v>
      </c>
      <c r="I1130" s="173" t="s">
        <v>1687</v>
      </c>
      <c r="J1130" s="173" t="s">
        <v>27</v>
      </c>
      <c r="K1130" s="173" t="s">
        <v>26</v>
      </c>
      <c r="L1130" s="173"/>
      <c r="M1130" s="173" t="s">
        <v>207</v>
      </c>
      <c r="N1130" s="173">
        <v>890705341</v>
      </c>
      <c r="O1130" s="175">
        <v>5789916</v>
      </c>
      <c r="P1130" s="7"/>
      <c r="Q1130" s="16">
        <f>+IF(IFERROR(VLOOKUP(Tabla3[[#This Row],[Cliente factura]],Tabla4[[NIT]:[TOTAL CREDITO]],3,FALSE),0)="",0,IFERROR(VLOOKUP(Tabla3[[#This Row],[Cliente factura]],Tabla4[[NIT]:[TOTAL CREDITO]],3,FALSE),0))</f>
        <v>68342860</v>
      </c>
      <c r="R1130" s="9">
        <f>+IFERROR(VLOOKUP(Tabla3[[#This Row],[Cliente factura]],Tabla4[[NIT]:[TOTAL CREDITO]],6,FALSE),0)</f>
        <v>0</v>
      </c>
      <c r="S1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0" s="10" t="str">
        <f>VLOOKUP(Tabla3[[#This Row],[Razón social cliente factura]]&amp;Tabla3[[#This Row],[Desc. ciudad]],'Estandar de Rutas'!$C$1:$E$553,2,FALSE)</f>
        <v>6.1</v>
      </c>
      <c r="U1130" s="130">
        <f>IFERROR(VLOOKUP(Tabla3[[#This Row],[Referencia]]&amp;Tabla3[[#This Row],[Desc detalle ext 1]],Tabla1[[Referencia-Color]:[Disponibilidad]],3,FALSE),0)</f>
        <v>59</v>
      </c>
      <c r="V1130" s="13"/>
      <c r="W1130" s="17">
        <f>+Tabla3[[#This Row],[Cant. Programada]]*Tabla3[[#This Row],[Precio unit]]</f>
        <v>0</v>
      </c>
      <c r="X1130" s="8"/>
      <c r="Y1130" s="8"/>
      <c r="Z1130" s="8" t="str">
        <f>+Tabla3[[#This Row],[Referencia]]&amp;Tabla3[[#This Row],[Desc detalle ext 1]]</f>
        <v>*XR 150L                                          NEGRO BLA</v>
      </c>
      <c r="AA1130" s="128" t="e">
        <f>+VLOOKUP(Tabla3[[#This Row],[CODIGO2]],ESTANDAR!$B$3:$C$9,2,FALSE)</f>
        <v>#N/A</v>
      </c>
      <c r="AB1130" s="128" t="str">
        <f>+MID(Tabla3[[#This Row],['# Viaje]],10,1)</f>
        <v/>
      </c>
    </row>
    <row r="1131" spans="1:28" ht="15" hidden="1" customHeight="1">
      <c r="A1131" s="173" t="s">
        <v>1686</v>
      </c>
      <c r="B1131" s="174">
        <v>42949</v>
      </c>
      <c r="C1131" s="173" t="s">
        <v>1231</v>
      </c>
      <c r="D1131" s="173" t="s">
        <v>1237</v>
      </c>
      <c r="E1131" s="173" t="s">
        <v>1232</v>
      </c>
      <c r="F1131" s="173">
        <v>6</v>
      </c>
      <c r="G1131" s="173" t="s">
        <v>37</v>
      </c>
      <c r="H1131" s="173">
        <v>6</v>
      </c>
      <c r="I1131" s="173" t="s">
        <v>1687</v>
      </c>
      <c r="J1131" s="173" t="s">
        <v>27</v>
      </c>
      <c r="K1131" s="173" t="s">
        <v>16</v>
      </c>
      <c r="L1131" s="174"/>
      <c r="M1131" s="173" t="s">
        <v>207</v>
      </c>
      <c r="N1131" s="173">
        <v>890705341</v>
      </c>
      <c r="O1131" s="175">
        <v>5789916</v>
      </c>
      <c r="P1131" s="7"/>
      <c r="Q1131" s="16">
        <f>+IF(IFERROR(VLOOKUP(Tabla3[[#This Row],[Cliente factura]],Tabla4[[NIT]:[TOTAL CREDITO]],3,FALSE),0)="",0,IFERROR(VLOOKUP(Tabla3[[#This Row],[Cliente factura]],Tabla4[[NIT]:[TOTAL CREDITO]],3,FALSE),0))</f>
        <v>68342860</v>
      </c>
      <c r="R1131" s="9">
        <f>+IFERROR(VLOOKUP(Tabla3[[#This Row],[Cliente factura]],Tabla4[[NIT]:[TOTAL CREDITO]],6,FALSE),0)</f>
        <v>0</v>
      </c>
      <c r="S1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1" s="10" t="str">
        <f>VLOOKUP(Tabla3[[#This Row],[Razón social cliente factura]]&amp;Tabla3[[#This Row],[Desc. ciudad]],'Estandar de Rutas'!$C$1:$E$553,2,FALSE)</f>
        <v>6.1</v>
      </c>
      <c r="U1131" s="130">
        <f>IFERROR(VLOOKUP(Tabla3[[#This Row],[Referencia]]&amp;Tabla3[[#This Row],[Desc detalle ext 1]],Tabla1[[Referencia-Color]:[Disponibilidad]],3,FALSE),0)</f>
        <v>3</v>
      </c>
      <c r="V1131" s="13"/>
      <c r="W1131" s="17">
        <f>+Tabla3[[#This Row],[Cant. Programada]]*Tabla3[[#This Row],[Precio unit]]</f>
        <v>0</v>
      </c>
      <c r="X1131" s="8"/>
      <c r="Y1131" s="8"/>
      <c r="Z1131" s="8" t="str">
        <f>+Tabla3[[#This Row],[Referencia]]&amp;Tabla3[[#This Row],[Desc detalle ext 1]]</f>
        <v xml:space="preserve">*XR 150L                                          NEGRO    </v>
      </c>
      <c r="AA1131" s="128" t="e">
        <f>+VLOOKUP(Tabla3[[#This Row],[CODIGO2]],ESTANDAR!$B$3:$C$9,2,FALSE)</f>
        <v>#N/A</v>
      </c>
      <c r="AB1131" s="128" t="str">
        <f>+MID(Tabla3[[#This Row],['# Viaje]],10,1)</f>
        <v/>
      </c>
    </row>
    <row r="1132" spans="1:28" ht="15" hidden="1" customHeight="1">
      <c r="A1132" s="173" t="s">
        <v>1686</v>
      </c>
      <c r="B1132" s="174">
        <v>42949</v>
      </c>
      <c r="C1132" s="173" t="s">
        <v>1231</v>
      </c>
      <c r="D1132" s="173" t="s">
        <v>1237</v>
      </c>
      <c r="E1132" s="173" t="s">
        <v>1232</v>
      </c>
      <c r="F1132" s="173">
        <v>1</v>
      </c>
      <c r="G1132" s="173" t="s">
        <v>37</v>
      </c>
      <c r="H1132" s="173">
        <v>1</v>
      </c>
      <c r="I1132" s="173" t="s">
        <v>1687</v>
      </c>
      <c r="J1132" s="173" t="s">
        <v>10</v>
      </c>
      <c r="K1132" s="173" t="s">
        <v>13</v>
      </c>
      <c r="L1132" s="173"/>
      <c r="M1132" s="173" t="s">
        <v>207</v>
      </c>
      <c r="N1132" s="173">
        <v>890705341</v>
      </c>
      <c r="O1132" s="175">
        <v>7554622</v>
      </c>
      <c r="P1132" s="7"/>
      <c r="Q1132" s="16">
        <f>+IF(IFERROR(VLOOKUP(Tabla3[[#This Row],[Cliente factura]],Tabla4[[NIT]:[TOTAL CREDITO]],3,FALSE),0)="",0,IFERROR(VLOOKUP(Tabla3[[#This Row],[Cliente factura]],Tabla4[[NIT]:[TOTAL CREDITO]],3,FALSE),0))</f>
        <v>68342860</v>
      </c>
      <c r="R1132" s="9">
        <f>+IFERROR(VLOOKUP(Tabla3[[#This Row],[Cliente factura]],Tabla4[[NIT]:[TOTAL CREDITO]],6,FALSE),0)</f>
        <v>0</v>
      </c>
      <c r="S1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2" s="10" t="str">
        <f>VLOOKUP(Tabla3[[#This Row],[Razón social cliente factura]]&amp;Tabla3[[#This Row],[Desc. ciudad]],'Estandar de Rutas'!$C$1:$E$553,2,FALSE)</f>
        <v>6.1</v>
      </c>
      <c r="U1132" s="130">
        <f>IFERROR(VLOOKUP(Tabla3[[#This Row],[Referencia]]&amp;Tabla3[[#This Row],[Desc detalle ext 1]],Tabla1[[Referencia-Color]:[Disponibilidad]],3,FALSE),0)</f>
        <v>75</v>
      </c>
      <c r="V1132" s="13"/>
      <c r="W1132" s="17">
        <f>+Tabla3[[#This Row],[Cant. Programada]]*Tabla3[[#This Row],[Precio unit]]</f>
        <v>0</v>
      </c>
      <c r="X1132" s="8"/>
      <c r="Y1132" s="8"/>
      <c r="Z1132" s="8" t="str">
        <f>+Tabla3[[#This Row],[Referencia]]&amp;Tabla3[[#This Row],[Desc detalle ext 1]]</f>
        <v>CB 190R                                           ROJO NEGR</v>
      </c>
      <c r="AA1132" s="128" t="e">
        <f>+VLOOKUP(Tabla3[[#This Row],[CODIGO2]],ESTANDAR!$B$3:$C$9,2,FALSE)</f>
        <v>#N/A</v>
      </c>
      <c r="AB1132" s="128" t="str">
        <f>+MID(Tabla3[[#This Row],['# Viaje]],10,1)</f>
        <v/>
      </c>
    </row>
    <row r="1133" spans="1:28" ht="15" hidden="1" customHeight="1">
      <c r="A1133" s="173" t="s">
        <v>1686</v>
      </c>
      <c r="B1133" s="174">
        <v>42949</v>
      </c>
      <c r="C1133" s="173" t="s">
        <v>1231</v>
      </c>
      <c r="D1133" s="173" t="s">
        <v>1237</v>
      </c>
      <c r="E1133" s="173" t="s">
        <v>1232</v>
      </c>
      <c r="F1133" s="173">
        <v>1</v>
      </c>
      <c r="G1133" s="173" t="s">
        <v>37</v>
      </c>
      <c r="H1133" s="173">
        <v>1</v>
      </c>
      <c r="I1133" s="173" t="s">
        <v>1687</v>
      </c>
      <c r="J1133" s="173" t="s">
        <v>354</v>
      </c>
      <c r="K1133" s="173" t="s">
        <v>17</v>
      </c>
      <c r="L1133" s="173"/>
      <c r="M1133" s="173" t="s">
        <v>207</v>
      </c>
      <c r="N1133" s="173">
        <v>890705341</v>
      </c>
      <c r="O1133" s="175">
        <v>6133613</v>
      </c>
      <c r="P1133" s="7"/>
      <c r="Q1133" s="16">
        <f>+IF(IFERROR(VLOOKUP(Tabla3[[#This Row],[Cliente factura]],Tabla4[[NIT]:[TOTAL CREDITO]],3,FALSE),0)="",0,IFERROR(VLOOKUP(Tabla3[[#This Row],[Cliente factura]],Tabla4[[NIT]:[TOTAL CREDITO]],3,FALSE),0))</f>
        <v>68342860</v>
      </c>
      <c r="R1133" s="9">
        <f>+IFERROR(VLOOKUP(Tabla3[[#This Row],[Cliente factura]],Tabla4[[NIT]:[TOTAL CREDITO]],6,FALSE),0)</f>
        <v>0</v>
      </c>
      <c r="S1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3" s="10" t="str">
        <f>VLOOKUP(Tabla3[[#This Row],[Razón social cliente factura]]&amp;Tabla3[[#This Row],[Desc. ciudad]],'Estandar de Rutas'!$C$1:$E$553,2,FALSE)</f>
        <v>6.1</v>
      </c>
      <c r="U1133" s="130">
        <f>IFERROR(VLOOKUP(Tabla3[[#This Row],[Referencia]]&amp;Tabla3[[#This Row],[Desc detalle ext 1]],Tabla1[[Referencia-Color]:[Disponibilidad]],3,FALSE),0)</f>
        <v>48</v>
      </c>
      <c r="V1133" s="13"/>
      <c r="W1133" s="17">
        <f>+Tabla3[[#This Row],[Cant. Programada]]*Tabla3[[#This Row],[Precio unit]]</f>
        <v>0</v>
      </c>
      <c r="X1133" s="8"/>
      <c r="Y1133" s="8"/>
      <c r="Z1133" s="8" t="str">
        <f>+Tabla3[[#This Row],[Referencia]]&amp;Tabla3[[#This Row],[Desc detalle ext 1]]</f>
        <v>CB 160F DLX                                       ROJO SPOR</v>
      </c>
      <c r="AA1133" s="128" t="e">
        <f>+VLOOKUP(Tabla3[[#This Row],[CODIGO2]],ESTANDAR!$B$3:$C$9,2,FALSE)</f>
        <v>#N/A</v>
      </c>
      <c r="AB1133" s="128" t="str">
        <f>+MID(Tabla3[[#This Row],['# Viaje]],10,1)</f>
        <v/>
      </c>
    </row>
    <row r="1134" spans="1:28" ht="15" hidden="1" customHeight="1">
      <c r="A1134" s="173" t="s">
        <v>1686</v>
      </c>
      <c r="B1134" s="174">
        <v>42949</v>
      </c>
      <c r="C1134" s="173" t="s">
        <v>1231</v>
      </c>
      <c r="D1134" s="173" t="s">
        <v>1237</v>
      </c>
      <c r="E1134" s="173" t="s">
        <v>1232</v>
      </c>
      <c r="F1134" s="173">
        <v>1</v>
      </c>
      <c r="G1134" s="173" t="s">
        <v>37</v>
      </c>
      <c r="H1134" s="173">
        <v>1</v>
      </c>
      <c r="I1134" s="173" t="s">
        <v>1687</v>
      </c>
      <c r="J1134" s="173" t="s">
        <v>354</v>
      </c>
      <c r="K1134" s="173" t="s">
        <v>355</v>
      </c>
      <c r="L1134" s="173"/>
      <c r="M1134" s="173" t="s">
        <v>207</v>
      </c>
      <c r="N1134" s="173">
        <v>890705341</v>
      </c>
      <c r="O1134" s="175">
        <v>6133613</v>
      </c>
      <c r="P1134" s="7"/>
      <c r="Q1134" s="16">
        <f>+IF(IFERROR(VLOOKUP(Tabla3[[#This Row],[Cliente factura]],Tabla4[[NIT]:[TOTAL CREDITO]],3,FALSE),0)="",0,IFERROR(VLOOKUP(Tabla3[[#This Row],[Cliente factura]],Tabla4[[NIT]:[TOTAL CREDITO]],3,FALSE),0))</f>
        <v>68342860</v>
      </c>
      <c r="R1134" s="9">
        <f>+IFERROR(VLOOKUP(Tabla3[[#This Row],[Cliente factura]],Tabla4[[NIT]:[TOTAL CREDITO]],6,FALSE),0)</f>
        <v>0</v>
      </c>
      <c r="S1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4" s="10" t="str">
        <f>VLOOKUP(Tabla3[[#This Row],[Razón social cliente factura]]&amp;Tabla3[[#This Row],[Desc. ciudad]],'Estandar de Rutas'!$C$1:$E$553,2,FALSE)</f>
        <v>6.1</v>
      </c>
      <c r="U1134" s="130">
        <f>IFERROR(VLOOKUP(Tabla3[[#This Row],[Referencia]]&amp;Tabla3[[#This Row],[Desc detalle ext 1]],Tabla1[[Referencia-Color]:[Disponibilidad]],3,FALSE),0)</f>
        <v>0</v>
      </c>
      <c r="V1134" s="13"/>
      <c r="W1134" s="17">
        <f>+Tabla3[[#This Row],[Cant. Programada]]*Tabla3[[#This Row],[Precio unit]]</f>
        <v>0</v>
      </c>
      <c r="X1134" s="8"/>
      <c r="Y1134" s="8"/>
      <c r="Z1134" s="8" t="str">
        <f>+Tabla3[[#This Row],[Referencia]]&amp;Tabla3[[#This Row],[Desc detalle ext 1]]</f>
        <v>CB 160F DLX                                       NEGRO PER</v>
      </c>
      <c r="AA1134" s="128" t="e">
        <f>+VLOOKUP(Tabla3[[#This Row],[CODIGO2]],ESTANDAR!$B$3:$C$9,2,FALSE)</f>
        <v>#N/A</v>
      </c>
      <c r="AB1134" s="128" t="str">
        <f>+MID(Tabla3[[#This Row],['# Viaje]],10,1)</f>
        <v/>
      </c>
    </row>
    <row r="1135" spans="1:28" ht="15" hidden="1" customHeight="1">
      <c r="A1135" s="173" t="s">
        <v>1686</v>
      </c>
      <c r="B1135" s="174">
        <v>42949</v>
      </c>
      <c r="C1135" s="173" t="s">
        <v>1231</v>
      </c>
      <c r="D1135" s="173" t="s">
        <v>1237</v>
      </c>
      <c r="E1135" s="173" t="s">
        <v>1232</v>
      </c>
      <c r="F1135" s="173">
        <v>1</v>
      </c>
      <c r="G1135" s="173" t="s">
        <v>37</v>
      </c>
      <c r="H1135" s="173">
        <v>1</v>
      </c>
      <c r="I1135" s="173" t="s">
        <v>1687</v>
      </c>
      <c r="J1135" s="173" t="s">
        <v>1433</v>
      </c>
      <c r="K1135" s="173" t="s">
        <v>1452</v>
      </c>
      <c r="L1135" s="173"/>
      <c r="M1135" s="173" t="s">
        <v>207</v>
      </c>
      <c r="N1135" s="173">
        <v>890705341</v>
      </c>
      <c r="O1135" s="175">
        <v>3521008</v>
      </c>
      <c r="P1135" s="7"/>
      <c r="Q1135" s="16">
        <f>+IF(IFERROR(VLOOKUP(Tabla3[[#This Row],[Cliente factura]],Tabla4[[NIT]:[TOTAL CREDITO]],3,FALSE),0)="",0,IFERROR(VLOOKUP(Tabla3[[#This Row],[Cliente factura]],Tabla4[[NIT]:[TOTAL CREDITO]],3,FALSE),0))</f>
        <v>68342860</v>
      </c>
      <c r="R1135" s="9">
        <f>+IFERROR(VLOOKUP(Tabla3[[#This Row],[Cliente factura]],Tabla4[[NIT]:[TOTAL CREDITO]],6,FALSE),0)</f>
        <v>0</v>
      </c>
      <c r="S1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5" s="10" t="str">
        <f>VLOOKUP(Tabla3[[#This Row],[Razón social cliente factura]]&amp;Tabla3[[#This Row],[Desc. ciudad]],'Estandar de Rutas'!$C$1:$E$553,2,FALSE)</f>
        <v>6.1</v>
      </c>
      <c r="U1135" s="130">
        <f>IFERROR(VLOOKUP(Tabla3[[#This Row],[Referencia]]&amp;Tabla3[[#This Row],[Desc detalle ext 1]],Tabla1[[Referencia-Color]:[Disponibilidad]],3,FALSE),0)</f>
        <v>0</v>
      </c>
      <c r="V1135" s="13"/>
      <c r="W1135" s="17">
        <f>+Tabla3[[#This Row],[Cant. Programada]]*Tabla3[[#This Row],[Precio unit]]</f>
        <v>0</v>
      </c>
      <c r="X1135" s="8"/>
      <c r="Y1135" s="8"/>
      <c r="Z1135" s="8" t="str">
        <f>+Tabla3[[#This Row],[Referencia]]&amp;Tabla3[[#This Row],[Desc detalle ext 1]]</f>
        <v xml:space="preserve">DIO  110                                          AZUL     </v>
      </c>
      <c r="AA1135" s="128" t="e">
        <f>+VLOOKUP(Tabla3[[#This Row],[CODIGO2]],ESTANDAR!$B$3:$C$9,2,FALSE)</f>
        <v>#N/A</v>
      </c>
      <c r="AB1135" s="128" t="str">
        <f>+MID(Tabla3[[#This Row],['# Viaje]],10,1)</f>
        <v/>
      </c>
    </row>
    <row r="1136" spans="1:28" ht="15" hidden="1" customHeight="1">
      <c r="A1136" s="173" t="s">
        <v>1686</v>
      </c>
      <c r="B1136" s="174">
        <v>42949</v>
      </c>
      <c r="C1136" s="173" t="s">
        <v>1231</v>
      </c>
      <c r="D1136" s="173" t="s">
        <v>1237</v>
      </c>
      <c r="E1136" s="173" t="s">
        <v>1232</v>
      </c>
      <c r="F1136" s="173">
        <v>1</v>
      </c>
      <c r="G1136" s="173" t="s">
        <v>37</v>
      </c>
      <c r="H1136" s="173">
        <v>1</v>
      </c>
      <c r="I1136" s="173" t="s">
        <v>1687</v>
      </c>
      <c r="J1136" s="173" t="s">
        <v>1433</v>
      </c>
      <c r="K1136" s="173" t="s">
        <v>1434</v>
      </c>
      <c r="L1136" s="173"/>
      <c r="M1136" s="173" t="s">
        <v>207</v>
      </c>
      <c r="N1136" s="173">
        <v>890705341</v>
      </c>
      <c r="O1136" s="175">
        <v>3521008</v>
      </c>
      <c r="P1136" s="7"/>
      <c r="Q1136" s="16">
        <f>+IF(IFERROR(VLOOKUP(Tabla3[[#This Row],[Cliente factura]],Tabla4[[NIT]:[TOTAL CREDITO]],3,FALSE),0)="",0,IFERROR(VLOOKUP(Tabla3[[#This Row],[Cliente factura]],Tabla4[[NIT]:[TOTAL CREDITO]],3,FALSE),0))</f>
        <v>68342860</v>
      </c>
      <c r="R1136" s="9">
        <f>+IFERROR(VLOOKUP(Tabla3[[#This Row],[Cliente factura]],Tabla4[[NIT]:[TOTAL CREDITO]],6,FALSE),0)</f>
        <v>0</v>
      </c>
      <c r="S1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6" s="10" t="str">
        <f>VLOOKUP(Tabla3[[#This Row],[Razón social cliente factura]]&amp;Tabla3[[#This Row],[Desc. ciudad]],'Estandar de Rutas'!$C$1:$E$553,2,FALSE)</f>
        <v>6.1</v>
      </c>
      <c r="U1136" s="130">
        <f>IFERROR(VLOOKUP(Tabla3[[#This Row],[Referencia]]&amp;Tabla3[[#This Row],[Desc detalle ext 1]],Tabla1[[Referencia-Color]:[Disponibilidad]],3,FALSE),0)</f>
        <v>23</v>
      </c>
      <c r="V1136" s="36"/>
      <c r="W1136" s="17">
        <f>+Tabla3[[#This Row],[Cant. Programada]]*Tabla3[[#This Row],[Precio unit]]</f>
        <v>0</v>
      </c>
      <c r="X1136" s="8"/>
      <c r="Y1136" s="8"/>
      <c r="Z1136" s="8" t="str">
        <f>+Tabla3[[#This Row],[Referencia]]&amp;Tabla3[[#This Row],[Desc detalle ext 1]]</f>
        <v>DIO  110                                          BLANCO NE</v>
      </c>
      <c r="AA1136" s="128" t="e">
        <f>+VLOOKUP(Tabla3[[#This Row],[CODIGO2]],ESTANDAR!$B$3:$C$9,2,FALSE)</f>
        <v>#N/A</v>
      </c>
      <c r="AB1136" s="128" t="str">
        <f>+MID(Tabla3[[#This Row],['# Viaje]],10,1)</f>
        <v/>
      </c>
    </row>
    <row r="1137" spans="1:28" ht="15" hidden="1" customHeight="1">
      <c r="A1137" s="173" t="s">
        <v>1686</v>
      </c>
      <c r="B1137" s="174">
        <v>42949</v>
      </c>
      <c r="C1137" s="173" t="s">
        <v>1231</v>
      </c>
      <c r="D1137" s="173" t="s">
        <v>1237</v>
      </c>
      <c r="E1137" s="173" t="s">
        <v>1232</v>
      </c>
      <c r="F1137" s="173">
        <v>1</v>
      </c>
      <c r="G1137" s="173" t="s">
        <v>37</v>
      </c>
      <c r="H1137" s="173">
        <v>1</v>
      </c>
      <c r="I1137" s="173" t="s">
        <v>1687</v>
      </c>
      <c r="J1137" s="173" t="s">
        <v>1433</v>
      </c>
      <c r="K1137" s="173" t="s">
        <v>1431</v>
      </c>
      <c r="L1137" s="173"/>
      <c r="M1137" s="173" t="s">
        <v>207</v>
      </c>
      <c r="N1137" s="173">
        <v>890705341</v>
      </c>
      <c r="O1137" s="175">
        <v>3521008</v>
      </c>
      <c r="P1137" s="7"/>
      <c r="Q1137" s="16">
        <f>+IF(IFERROR(VLOOKUP(Tabla3[[#This Row],[Cliente factura]],Tabla4[[NIT]:[TOTAL CREDITO]],3,FALSE),0)="",0,IFERROR(VLOOKUP(Tabla3[[#This Row],[Cliente factura]],Tabla4[[NIT]:[TOTAL CREDITO]],3,FALSE),0))</f>
        <v>68342860</v>
      </c>
      <c r="R1137" s="9">
        <f>+IFERROR(VLOOKUP(Tabla3[[#This Row],[Cliente factura]],Tabla4[[NIT]:[TOTAL CREDITO]],6,FALSE),0)</f>
        <v>0</v>
      </c>
      <c r="S1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7" s="10" t="str">
        <f>VLOOKUP(Tabla3[[#This Row],[Razón social cliente factura]]&amp;Tabla3[[#This Row],[Desc. ciudad]],'Estandar de Rutas'!$C$1:$E$553,2,FALSE)</f>
        <v>6.1</v>
      </c>
      <c r="U1137" s="130">
        <f>IFERROR(VLOOKUP(Tabla3[[#This Row],[Referencia]]&amp;Tabla3[[#This Row],[Desc detalle ext 1]],Tabla1[[Referencia-Color]:[Disponibilidad]],3,FALSE),0)</f>
        <v>0</v>
      </c>
      <c r="V1137" s="68"/>
      <c r="W1137" s="17">
        <f>+Tabla3[[#This Row],[Cant. Programada]]*Tabla3[[#This Row],[Precio unit]]</f>
        <v>0</v>
      </c>
      <c r="X1137" s="8"/>
      <c r="Y1137" s="8"/>
      <c r="Z1137" s="8" t="str">
        <f>+Tabla3[[#This Row],[Referencia]]&amp;Tabla3[[#This Row],[Desc detalle ext 1]]</f>
        <v xml:space="preserve">DIO  110                                          ROJO     </v>
      </c>
      <c r="AA1137" s="128" t="e">
        <f>+VLOOKUP(Tabla3[[#This Row],[CODIGO2]],ESTANDAR!$B$3:$C$9,2,FALSE)</f>
        <v>#N/A</v>
      </c>
      <c r="AB1137" s="128" t="str">
        <f>+MID(Tabla3[[#This Row],['# Viaje]],10,1)</f>
        <v/>
      </c>
    </row>
    <row r="1138" spans="1:28" ht="15" hidden="1" customHeight="1">
      <c r="A1138" s="173" t="s">
        <v>1686</v>
      </c>
      <c r="B1138" s="174">
        <v>42949</v>
      </c>
      <c r="C1138" s="173" t="s">
        <v>1231</v>
      </c>
      <c r="D1138" s="173" t="s">
        <v>1237</v>
      </c>
      <c r="E1138" s="173" t="s">
        <v>1232</v>
      </c>
      <c r="F1138" s="173">
        <v>1</v>
      </c>
      <c r="G1138" s="173" t="s">
        <v>37</v>
      </c>
      <c r="H1138" s="173">
        <v>1</v>
      </c>
      <c r="I1138" s="173" t="s">
        <v>1687</v>
      </c>
      <c r="J1138" s="173" t="s">
        <v>1430</v>
      </c>
      <c r="K1138" s="173" t="s">
        <v>1431</v>
      </c>
      <c r="L1138" s="173"/>
      <c r="M1138" s="173" t="s">
        <v>207</v>
      </c>
      <c r="N1138" s="173">
        <v>890705341</v>
      </c>
      <c r="O1138" s="175">
        <v>3941176</v>
      </c>
      <c r="P1138" s="7"/>
      <c r="Q1138" s="16">
        <f>+IF(IFERROR(VLOOKUP(Tabla3[[#This Row],[Cliente factura]],Tabla4[[NIT]:[TOTAL CREDITO]],3,FALSE),0)="",0,IFERROR(VLOOKUP(Tabla3[[#This Row],[Cliente factura]],Tabla4[[NIT]:[TOTAL CREDITO]],3,FALSE),0))</f>
        <v>68342860</v>
      </c>
      <c r="R1138" s="9">
        <f>+IFERROR(VLOOKUP(Tabla3[[#This Row],[Cliente factura]],Tabla4[[NIT]:[TOTAL CREDITO]],6,FALSE),0)</f>
        <v>0</v>
      </c>
      <c r="S1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8" s="10" t="str">
        <f>VLOOKUP(Tabla3[[#This Row],[Razón social cliente factura]]&amp;Tabla3[[#This Row],[Desc. ciudad]],'Estandar de Rutas'!$C$1:$E$553,2,FALSE)</f>
        <v>6.1</v>
      </c>
      <c r="U1138" s="130">
        <f>IFERROR(VLOOKUP(Tabla3[[#This Row],[Referencia]]&amp;Tabla3[[#This Row],[Desc detalle ext 1]],Tabla1[[Referencia-Color]:[Disponibilidad]],3,FALSE),0)</f>
        <v>0</v>
      </c>
      <c r="V1138" s="68"/>
      <c r="W1138" s="17">
        <f>+Tabla3[[#This Row],[Cant. Programada]]*Tabla3[[#This Row],[Precio unit]]</f>
        <v>0</v>
      </c>
      <c r="X1138" s="8"/>
      <c r="Y1138" s="8"/>
      <c r="Z1138" s="8" t="str">
        <f>+Tabla3[[#This Row],[Referencia]]&amp;Tabla3[[#This Row],[Desc detalle ext 1]]</f>
        <v xml:space="preserve">WAVE 110S                                         ROJO     </v>
      </c>
      <c r="AA1138" s="128" t="e">
        <f>+VLOOKUP(Tabla3[[#This Row],[CODIGO2]],ESTANDAR!$B$3:$C$9,2,FALSE)</f>
        <v>#N/A</v>
      </c>
      <c r="AB1138" s="128" t="str">
        <f>+MID(Tabla3[[#This Row],['# Viaje]],10,1)</f>
        <v/>
      </c>
    </row>
    <row r="1139" spans="1:28" ht="15" hidden="1" customHeight="1">
      <c r="A1139" s="173" t="s">
        <v>1686</v>
      </c>
      <c r="B1139" s="174">
        <v>42949</v>
      </c>
      <c r="C1139" s="173" t="s">
        <v>1231</v>
      </c>
      <c r="D1139" s="173" t="s">
        <v>1237</v>
      </c>
      <c r="E1139" s="173" t="s">
        <v>1232</v>
      </c>
      <c r="F1139" s="173">
        <v>1</v>
      </c>
      <c r="G1139" s="173" t="s">
        <v>37</v>
      </c>
      <c r="H1139" s="173">
        <v>1</v>
      </c>
      <c r="I1139" s="173" t="s">
        <v>1687</v>
      </c>
      <c r="J1139" s="173" t="s">
        <v>1430</v>
      </c>
      <c r="K1139" s="173" t="s">
        <v>16</v>
      </c>
      <c r="L1139" s="173"/>
      <c r="M1139" s="173" t="s">
        <v>207</v>
      </c>
      <c r="N1139" s="173">
        <v>890705341</v>
      </c>
      <c r="O1139" s="175">
        <v>3941176</v>
      </c>
      <c r="P1139" s="7"/>
      <c r="Q1139" s="16">
        <f>+IF(IFERROR(VLOOKUP(Tabla3[[#This Row],[Cliente factura]],Tabla4[[NIT]:[TOTAL CREDITO]],3,FALSE),0)="",0,IFERROR(VLOOKUP(Tabla3[[#This Row],[Cliente factura]],Tabla4[[NIT]:[TOTAL CREDITO]],3,FALSE),0))</f>
        <v>68342860</v>
      </c>
      <c r="R1139" s="9">
        <f>+IFERROR(VLOOKUP(Tabla3[[#This Row],[Cliente factura]],Tabla4[[NIT]:[TOTAL CREDITO]],6,FALSE),0)</f>
        <v>0</v>
      </c>
      <c r="S1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9" s="10" t="str">
        <f>VLOOKUP(Tabla3[[#This Row],[Razón social cliente factura]]&amp;Tabla3[[#This Row],[Desc. ciudad]],'Estandar de Rutas'!$C$1:$E$553,2,FALSE)</f>
        <v>6.1</v>
      </c>
      <c r="U1139" s="130">
        <f>IFERROR(VLOOKUP(Tabla3[[#This Row],[Referencia]]&amp;Tabla3[[#This Row],[Desc detalle ext 1]],Tabla1[[Referencia-Color]:[Disponibilidad]],3,FALSE),0)</f>
        <v>0</v>
      </c>
      <c r="V1139" s="68"/>
      <c r="W1139" s="17">
        <f>+Tabla3[[#This Row],[Cant. Programada]]*Tabla3[[#This Row],[Precio unit]]</f>
        <v>0</v>
      </c>
      <c r="X1139" s="8"/>
      <c r="Y1139" s="8"/>
      <c r="Z1139" s="8" t="str">
        <f>+Tabla3[[#This Row],[Referencia]]&amp;Tabla3[[#This Row],[Desc detalle ext 1]]</f>
        <v xml:space="preserve">WAVE 110S                                         NEGRO    </v>
      </c>
      <c r="AA1139" s="128" t="e">
        <f>+VLOOKUP(Tabla3[[#This Row],[CODIGO2]],ESTANDAR!$B$3:$C$9,2,FALSE)</f>
        <v>#N/A</v>
      </c>
      <c r="AB1139" s="128" t="str">
        <f>+MID(Tabla3[[#This Row],['# Viaje]],10,1)</f>
        <v/>
      </c>
    </row>
    <row r="1140" spans="1:28" ht="15" hidden="1" customHeight="1">
      <c r="A1140" s="173" t="s">
        <v>1686</v>
      </c>
      <c r="B1140" s="174">
        <v>42949</v>
      </c>
      <c r="C1140" s="173" t="s">
        <v>1231</v>
      </c>
      <c r="D1140" s="173" t="s">
        <v>1237</v>
      </c>
      <c r="E1140" s="173" t="s">
        <v>1232</v>
      </c>
      <c r="F1140" s="173">
        <v>1</v>
      </c>
      <c r="G1140" s="173" t="s">
        <v>37</v>
      </c>
      <c r="H1140" s="173">
        <v>1</v>
      </c>
      <c r="I1140" s="173" t="s">
        <v>1687</v>
      </c>
      <c r="J1140" s="173" t="s">
        <v>1234</v>
      </c>
      <c r="K1140" s="173" t="s">
        <v>17</v>
      </c>
      <c r="L1140" s="173"/>
      <c r="M1140" s="173" t="s">
        <v>207</v>
      </c>
      <c r="N1140" s="173">
        <v>890705341</v>
      </c>
      <c r="O1140" s="175">
        <v>5453782</v>
      </c>
      <c r="P1140" s="7"/>
      <c r="Q1140" s="16">
        <f>+IF(IFERROR(VLOOKUP(Tabla3[[#This Row],[Cliente factura]],Tabla4[[NIT]:[TOTAL CREDITO]],3,FALSE),0)="",0,IFERROR(VLOOKUP(Tabla3[[#This Row],[Cliente factura]],Tabla4[[NIT]:[TOTAL CREDITO]],3,FALSE),0))</f>
        <v>68342860</v>
      </c>
      <c r="R1140" s="9">
        <f>+IFERROR(VLOOKUP(Tabla3[[#This Row],[Cliente factura]],Tabla4[[NIT]:[TOTAL CREDITO]],6,FALSE),0)</f>
        <v>0</v>
      </c>
      <c r="S1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0" s="10" t="str">
        <f>VLOOKUP(Tabla3[[#This Row],[Razón social cliente factura]]&amp;Tabla3[[#This Row],[Desc. ciudad]],'Estandar de Rutas'!$C$1:$E$553,2,FALSE)</f>
        <v>6.1</v>
      </c>
      <c r="U1140" s="130">
        <f>IFERROR(VLOOKUP(Tabla3[[#This Row],[Referencia]]&amp;Tabla3[[#This Row],[Desc detalle ext 1]],Tabla1[[Referencia-Color]:[Disponibilidad]],3,FALSE),0)</f>
        <v>0</v>
      </c>
      <c r="V1140" s="37"/>
      <c r="W1140" s="17">
        <f>+Tabla3[[#This Row],[Cant. Programada]]*Tabla3[[#This Row],[Precio unit]]</f>
        <v>0</v>
      </c>
      <c r="X1140" s="8"/>
      <c r="Y1140" s="8"/>
      <c r="Z1140" s="8" t="str">
        <f>+Tabla3[[#This Row],[Referencia]]&amp;Tabla3[[#This Row],[Desc detalle ext 1]]</f>
        <v>CB 160F STD                                       ROJO SPOR</v>
      </c>
      <c r="AA1140" s="128" t="e">
        <f>+VLOOKUP(Tabla3[[#This Row],[CODIGO2]],ESTANDAR!$B$3:$C$9,2,FALSE)</f>
        <v>#N/A</v>
      </c>
      <c r="AB1140" s="128" t="str">
        <f>+MID(Tabla3[[#This Row],['# Viaje]],10,1)</f>
        <v/>
      </c>
    </row>
    <row r="1141" spans="1:28" ht="15" hidden="1" customHeight="1">
      <c r="A1141" s="173" t="s">
        <v>1686</v>
      </c>
      <c r="B1141" s="174">
        <v>42949</v>
      </c>
      <c r="C1141" s="173" t="s">
        <v>1231</v>
      </c>
      <c r="D1141" s="173" t="s">
        <v>1237</v>
      </c>
      <c r="E1141" s="173" t="s">
        <v>1232</v>
      </c>
      <c r="F1141" s="173">
        <v>1</v>
      </c>
      <c r="G1141" s="173" t="s">
        <v>37</v>
      </c>
      <c r="H1141" s="173">
        <v>1</v>
      </c>
      <c r="I1141" s="173" t="s">
        <v>1687</v>
      </c>
      <c r="J1141" s="173" t="s">
        <v>1234</v>
      </c>
      <c r="K1141" s="173" t="s">
        <v>355</v>
      </c>
      <c r="L1141" s="173"/>
      <c r="M1141" s="173" t="s">
        <v>207</v>
      </c>
      <c r="N1141" s="173">
        <v>890705341</v>
      </c>
      <c r="O1141" s="175">
        <v>5453782</v>
      </c>
      <c r="P1141" s="7"/>
      <c r="Q1141" s="16">
        <f>+IF(IFERROR(VLOOKUP(Tabla3[[#This Row],[Cliente factura]],Tabla4[[NIT]:[TOTAL CREDITO]],3,FALSE),0)="",0,IFERROR(VLOOKUP(Tabla3[[#This Row],[Cliente factura]],Tabla4[[NIT]:[TOTAL CREDITO]],3,FALSE),0))</f>
        <v>68342860</v>
      </c>
      <c r="R1141" s="9">
        <f>+IFERROR(VLOOKUP(Tabla3[[#This Row],[Cliente factura]],Tabla4[[NIT]:[TOTAL CREDITO]],6,FALSE),0)</f>
        <v>0</v>
      </c>
      <c r="S1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1" s="10" t="str">
        <f>VLOOKUP(Tabla3[[#This Row],[Razón social cliente factura]]&amp;Tabla3[[#This Row],[Desc. ciudad]],'Estandar de Rutas'!$C$1:$E$553,2,FALSE)</f>
        <v>6.1</v>
      </c>
      <c r="U1141" s="130">
        <f>IFERROR(VLOOKUP(Tabla3[[#This Row],[Referencia]]&amp;Tabla3[[#This Row],[Desc detalle ext 1]],Tabla1[[Referencia-Color]:[Disponibilidad]],3,FALSE),0)</f>
        <v>0</v>
      </c>
      <c r="V1141" s="37"/>
      <c r="W1141" s="17">
        <f>+Tabla3[[#This Row],[Cant. Programada]]*Tabla3[[#This Row],[Precio unit]]</f>
        <v>0</v>
      </c>
      <c r="X1141" s="8"/>
      <c r="Y1141" s="8"/>
      <c r="Z1141" s="8" t="str">
        <f>+Tabla3[[#This Row],[Referencia]]&amp;Tabla3[[#This Row],[Desc detalle ext 1]]</f>
        <v>CB 160F STD                                       NEGRO PER</v>
      </c>
      <c r="AA1141" s="128" t="e">
        <f>+VLOOKUP(Tabla3[[#This Row],[CODIGO2]],ESTANDAR!$B$3:$C$9,2,FALSE)</f>
        <v>#N/A</v>
      </c>
      <c r="AB1141" s="128" t="str">
        <f>+MID(Tabla3[[#This Row],['# Viaje]],10,1)</f>
        <v/>
      </c>
    </row>
    <row r="1142" spans="1:28" ht="15" hidden="1" customHeight="1">
      <c r="A1142" s="173" t="s">
        <v>1686</v>
      </c>
      <c r="B1142" s="174">
        <v>42949</v>
      </c>
      <c r="C1142" s="173" t="s">
        <v>1231</v>
      </c>
      <c r="D1142" s="173" t="s">
        <v>1237</v>
      </c>
      <c r="E1142" s="173" t="s">
        <v>1232</v>
      </c>
      <c r="F1142" s="173">
        <v>1</v>
      </c>
      <c r="G1142" s="173" t="s">
        <v>37</v>
      </c>
      <c r="H1142" s="173">
        <v>1</v>
      </c>
      <c r="I1142" s="173" t="s">
        <v>1687</v>
      </c>
      <c r="J1142" s="173" t="s">
        <v>1451</v>
      </c>
      <c r="K1142" s="173" t="s">
        <v>1431</v>
      </c>
      <c r="L1142" s="173"/>
      <c r="M1142" s="173" t="s">
        <v>207</v>
      </c>
      <c r="N1142" s="173">
        <v>890705341</v>
      </c>
      <c r="O1142" s="175">
        <v>3696639</v>
      </c>
      <c r="P1142" s="7"/>
      <c r="Q1142" s="16">
        <f>+IF(IFERROR(VLOOKUP(Tabla3[[#This Row],[Cliente factura]],Tabla4[[NIT]:[TOTAL CREDITO]],3,FALSE),0)="",0,IFERROR(VLOOKUP(Tabla3[[#This Row],[Cliente factura]],Tabla4[[NIT]:[TOTAL CREDITO]],3,FALSE),0))</f>
        <v>68342860</v>
      </c>
      <c r="R1142" s="9">
        <f>+IFERROR(VLOOKUP(Tabla3[[#This Row],[Cliente factura]],Tabla4[[NIT]:[TOTAL CREDITO]],6,FALSE),0)</f>
        <v>0</v>
      </c>
      <c r="S1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2" s="10" t="str">
        <f>VLOOKUP(Tabla3[[#This Row],[Razón social cliente factura]]&amp;Tabla3[[#This Row],[Desc. ciudad]],'Estandar de Rutas'!$C$1:$E$553,2,FALSE)</f>
        <v>6.1</v>
      </c>
      <c r="U1142" s="130">
        <f>IFERROR(VLOOKUP(Tabla3[[#This Row],[Referencia]]&amp;Tabla3[[#This Row],[Desc detalle ext 1]],Tabla1[[Referencia-Color]:[Disponibilidad]],3,FALSE),0)</f>
        <v>21</v>
      </c>
      <c r="V1142" s="37"/>
      <c r="W1142" s="17">
        <f>+Tabla3[[#This Row],[Cant. Programada]]*Tabla3[[#This Row],[Precio unit]]</f>
        <v>0</v>
      </c>
      <c r="X1142" s="8"/>
      <c r="Y1142" s="8"/>
      <c r="Z1142" s="8" t="str">
        <f>+Tabla3[[#This Row],[Referencia]]&amp;Tabla3[[#This Row],[Desc detalle ext 1]]</f>
        <v xml:space="preserve">CB 110 DLX                                        ROJO     </v>
      </c>
      <c r="AA1142" s="128" t="e">
        <f>+VLOOKUP(Tabla3[[#This Row],[CODIGO2]],ESTANDAR!$B$3:$C$9,2,FALSE)</f>
        <v>#N/A</v>
      </c>
      <c r="AB1142" s="128" t="str">
        <f>+MID(Tabla3[[#This Row],['# Viaje]],10,1)</f>
        <v/>
      </c>
    </row>
    <row r="1143" spans="1:28" ht="15" hidden="1" customHeight="1">
      <c r="A1143" s="173" t="s">
        <v>1686</v>
      </c>
      <c r="B1143" s="174">
        <v>42949</v>
      </c>
      <c r="C1143" s="173" t="s">
        <v>1231</v>
      </c>
      <c r="D1143" s="173" t="s">
        <v>1237</v>
      </c>
      <c r="E1143" s="173" t="s">
        <v>1232</v>
      </c>
      <c r="F1143" s="173">
        <v>2</v>
      </c>
      <c r="G1143" s="173" t="s">
        <v>37</v>
      </c>
      <c r="H1143" s="173">
        <v>2</v>
      </c>
      <c r="I1143" s="173" t="s">
        <v>1687</v>
      </c>
      <c r="J1143" s="173" t="s">
        <v>1451</v>
      </c>
      <c r="K1143" s="173" t="s">
        <v>1452</v>
      </c>
      <c r="L1143" s="173"/>
      <c r="M1143" s="173" t="s">
        <v>207</v>
      </c>
      <c r="N1143" s="173">
        <v>890705341</v>
      </c>
      <c r="O1143" s="175">
        <v>3696639</v>
      </c>
      <c r="P1143" s="7"/>
      <c r="Q1143" s="16">
        <f>+IF(IFERROR(VLOOKUP(Tabla3[[#This Row],[Cliente factura]],Tabla4[[NIT]:[TOTAL CREDITO]],3,FALSE),0)="",0,IFERROR(VLOOKUP(Tabla3[[#This Row],[Cliente factura]],Tabla4[[NIT]:[TOTAL CREDITO]],3,FALSE),0))</f>
        <v>68342860</v>
      </c>
      <c r="R1143" s="9">
        <f>+IFERROR(VLOOKUP(Tabla3[[#This Row],[Cliente factura]],Tabla4[[NIT]:[TOTAL CREDITO]],6,FALSE),0)</f>
        <v>0</v>
      </c>
      <c r="S1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3" s="10" t="str">
        <f>VLOOKUP(Tabla3[[#This Row],[Razón social cliente factura]]&amp;Tabla3[[#This Row],[Desc. ciudad]],'Estandar de Rutas'!$C$1:$E$553,2,FALSE)</f>
        <v>6.1</v>
      </c>
      <c r="U1143" s="130">
        <f>IFERROR(VLOOKUP(Tabla3[[#This Row],[Referencia]]&amp;Tabla3[[#This Row],[Desc detalle ext 1]],Tabla1[[Referencia-Color]:[Disponibilidad]],3,FALSE),0)</f>
        <v>21</v>
      </c>
      <c r="V1143" s="37"/>
      <c r="W1143" s="17">
        <f>+Tabla3[[#This Row],[Cant. Programada]]*Tabla3[[#This Row],[Precio unit]]</f>
        <v>0</v>
      </c>
      <c r="X1143" s="8"/>
      <c r="Y1143" s="8"/>
      <c r="Z1143" s="8" t="str">
        <f>+Tabla3[[#This Row],[Referencia]]&amp;Tabla3[[#This Row],[Desc detalle ext 1]]</f>
        <v xml:space="preserve">CB 110 DLX                                        AZUL     </v>
      </c>
      <c r="AA1143" s="128" t="e">
        <f>+VLOOKUP(Tabla3[[#This Row],[CODIGO2]],ESTANDAR!$B$3:$C$9,2,FALSE)</f>
        <v>#N/A</v>
      </c>
      <c r="AB1143" s="128" t="str">
        <f>+MID(Tabla3[[#This Row],['# Viaje]],10,1)</f>
        <v/>
      </c>
    </row>
    <row r="1144" spans="1:28" ht="15" hidden="1" customHeight="1">
      <c r="A1144" s="173" t="s">
        <v>1686</v>
      </c>
      <c r="B1144" s="174">
        <v>42949</v>
      </c>
      <c r="C1144" s="173" t="s">
        <v>1231</v>
      </c>
      <c r="D1144" s="173" t="s">
        <v>1237</v>
      </c>
      <c r="E1144" s="173" t="s">
        <v>1232</v>
      </c>
      <c r="F1144" s="173">
        <v>5</v>
      </c>
      <c r="G1144" s="173" t="s">
        <v>37</v>
      </c>
      <c r="H1144" s="173">
        <v>5</v>
      </c>
      <c r="I1144" s="173" t="s">
        <v>1687</v>
      </c>
      <c r="J1144" s="173" t="s">
        <v>1451</v>
      </c>
      <c r="K1144" s="173" t="s">
        <v>16</v>
      </c>
      <c r="L1144" s="173"/>
      <c r="M1144" s="173" t="s">
        <v>207</v>
      </c>
      <c r="N1144" s="173">
        <v>890705341</v>
      </c>
      <c r="O1144" s="175">
        <v>3696639</v>
      </c>
      <c r="P1144" s="7"/>
      <c r="Q1144" s="16">
        <f>+IF(IFERROR(VLOOKUP(Tabla3[[#This Row],[Cliente factura]],Tabla4[[NIT]:[TOTAL CREDITO]],3,FALSE),0)="",0,IFERROR(VLOOKUP(Tabla3[[#This Row],[Cliente factura]],Tabla4[[NIT]:[TOTAL CREDITO]],3,FALSE),0))</f>
        <v>68342860</v>
      </c>
      <c r="R1144" s="9">
        <f>+IFERROR(VLOOKUP(Tabla3[[#This Row],[Cliente factura]],Tabla4[[NIT]:[TOTAL CREDITO]],6,FALSE),0)</f>
        <v>0</v>
      </c>
      <c r="S1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4" s="10" t="str">
        <f>VLOOKUP(Tabla3[[#This Row],[Razón social cliente factura]]&amp;Tabla3[[#This Row],[Desc. ciudad]],'Estandar de Rutas'!$C$1:$E$553,2,FALSE)</f>
        <v>6.1</v>
      </c>
      <c r="U1144" s="130">
        <f>IFERROR(VLOOKUP(Tabla3[[#This Row],[Referencia]]&amp;Tabla3[[#This Row],[Desc detalle ext 1]],Tabla1[[Referencia-Color]:[Disponibilidad]],3,FALSE),0)</f>
        <v>3</v>
      </c>
      <c r="V1144" s="37"/>
      <c r="W1144" s="17">
        <f>+Tabla3[[#This Row],[Cant. Programada]]*Tabla3[[#This Row],[Precio unit]]</f>
        <v>0</v>
      </c>
      <c r="X1144" s="8"/>
      <c r="Y1144" s="8"/>
      <c r="Z1144" s="8" t="str">
        <f>+Tabla3[[#This Row],[Referencia]]&amp;Tabla3[[#This Row],[Desc detalle ext 1]]</f>
        <v xml:space="preserve">CB 110 DLX                                        NEGRO    </v>
      </c>
      <c r="AA1144" s="128" t="e">
        <f>+VLOOKUP(Tabla3[[#This Row],[CODIGO2]],ESTANDAR!$B$3:$C$9,2,FALSE)</f>
        <v>#N/A</v>
      </c>
      <c r="AB1144" s="128" t="str">
        <f>+MID(Tabla3[[#This Row],['# Viaje]],10,1)</f>
        <v/>
      </c>
    </row>
    <row r="1145" spans="1:28" ht="15" hidden="1" customHeight="1">
      <c r="A1145" s="173" t="s">
        <v>1688</v>
      </c>
      <c r="B1145" s="174">
        <v>42949</v>
      </c>
      <c r="C1145" s="173" t="s">
        <v>1231</v>
      </c>
      <c r="D1145" s="173" t="s">
        <v>1237</v>
      </c>
      <c r="E1145" s="173" t="s">
        <v>1232</v>
      </c>
      <c r="F1145" s="173">
        <v>1</v>
      </c>
      <c r="G1145" s="173" t="s">
        <v>9</v>
      </c>
      <c r="H1145" s="173">
        <v>1</v>
      </c>
      <c r="I1145" s="173" t="s">
        <v>1689</v>
      </c>
      <c r="J1145" s="173" t="s">
        <v>27</v>
      </c>
      <c r="K1145" s="173" t="s">
        <v>32</v>
      </c>
      <c r="L1145" s="173"/>
      <c r="M1145" s="173" t="s">
        <v>40</v>
      </c>
      <c r="N1145" s="173">
        <v>900129262</v>
      </c>
      <c r="O1145" s="175">
        <v>5789916</v>
      </c>
      <c r="P1145" s="7"/>
      <c r="Q1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5" s="9">
        <f>+IFERROR(VLOOKUP(Tabla3[[#This Row],[Cliente factura]],Tabla4[[NIT]:[TOTAL CREDITO]],6,FALSE),0)</f>
        <v>0</v>
      </c>
      <c r="S1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5" s="10" t="str">
        <f>VLOOKUP(Tabla3[[#This Row],[Razón social cliente factura]]&amp;Tabla3[[#This Row],[Desc. ciudad]],'Estandar de Rutas'!$C$1:$E$553,2,FALSE)</f>
        <v>5.1.A</v>
      </c>
      <c r="U1145" s="130">
        <f>IFERROR(VLOOKUP(Tabla3[[#This Row],[Referencia]]&amp;Tabla3[[#This Row],[Desc detalle ext 1]],Tabla1[[Referencia-Color]:[Disponibilidad]],3,FALSE),0)</f>
        <v>7</v>
      </c>
      <c r="V1145" s="13"/>
      <c r="W1145" s="17">
        <f>+Tabla3[[#This Row],[Cant. Programada]]*Tabla3[[#This Row],[Precio unit]]</f>
        <v>0</v>
      </c>
      <c r="X1145" s="8"/>
      <c r="Y1145" s="8"/>
      <c r="Z1145" s="8" t="str">
        <f>+Tabla3[[#This Row],[Referencia]]&amp;Tabla3[[#This Row],[Desc detalle ext 1]]</f>
        <v>*XR 150L                                          NEGRO ROJ</v>
      </c>
      <c r="AA1145" s="128" t="e">
        <f>+VLOOKUP(Tabla3[[#This Row],[CODIGO2]],ESTANDAR!$B$3:$C$9,2,FALSE)</f>
        <v>#N/A</v>
      </c>
      <c r="AB1145" s="128" t="str">
        <f>+MID(Tabla3[[#This Row],['# Viaje]],10,1)</f>
        <v/>
      </c>
    </row>
    <row r="1146" spans="1:28" ht="15" hidden="1" customHeight="1">
      <c r="A1146" s="173" t="s">
        <v>1688</v>
      </c>
      <c r="B1146" s="174">
        <v>42949</v>
      </c>
      <c r="C1146" s="173" t="s">
        <v>1231</v>
      </c>
      <c r="D1146" s="173" t="s">
        <v>1237</v>
      </c>
      <c r="E1146" s="173" t="s">
        <v>1232</v>
      </c>
      <c r="F1146" s="173">
        <v>1</v>
      </c>
      <c r="G1146" s="173" t="s">
        <v>9</v>
      </c>
      <c r="H1146" s="173">
        <v>1</v>
      </c>
      <c r="I1146" s="173" t="s">
        <v>1689</v>
      </c>
      <c r="J1146" s="173" t="s">
        <v>27</v>
      </c>
      <c r="K1146" s="173" t="s">
        <v>16</v>
      </c>
      <c r="L1146" s="173"/>
      <c r="M1146" s="173" t="s">
        <v>40</v>
      </c>
      <c r="N1146" s="173">
        <v>900129262</v>
      </c>
      <c r="O1146" s="175">
        <v>5789916</v>
      </c>
      <c r="P1146" s="7"/>
      <c r="Q1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6" s="9">
        <f>+IFERROR(VLOOKUP(Tabla3[[#This Row],[Cliente factura]],Tabla4[[NIT]:[TOTAL CREDITO]],6,FALSE),0)</f>
        <v>0</v>
      </c>
      <c r="S1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6" s="10" t="str">
        <f>VLOOKUP(Tabla3[[#This Row],[Razón social cliente factura]]&amp;Tabla3[[#This Row],[Desc. ciudad]],'Estandar de Rutas'!$C$1:$E$553,2,FALSE)</f>
        <v>5.1.A</v>
      </c>
      <c r="U1146" s="130">
        <f>IFERROR(VLOOKUP(Tabla3[[#This Row],[Referencia]]&amp;Tabla3[[#This Row],[Desc detalle ext 1]],Tabla1[[Referencia-Color]:[Disponibilidad]],3,FALSE),0)</f>
        <v>3</v>
      </c>
      <c r="V1146" s="13"/>
      <c r="W1146" s="17">
        <f>+Tabla3[[#This Row],[Cant. Programada]]*Tabla3[[#This Row],[Precio unit]]</f>
        <v>0</v>
      </c>
      <c r="X1146" s="8"/>
      <c r="Y1146" s="8"/>
      <c r="Z1146" s="8" t="str">
        <f>+Tabla3[[#This Row],[Referencia]]&amp;Tabla3[[#This Row],[Desc detalle ext 1]]</f>
        <v xml:space="preserve">*XR 150L                                          NEGRO    </v>
      </c>
      <c r="AA1146" s="128" t="e">
        <f>+VLOOKUP(Tabla3[[#This Row],[CODIGO2]],ESTANDAR!$B$3:$C$9,2,FALSE)</f>
        <v>#N/A</v>
      </c>
      <c r="AB1146" s="128" t="str">
        <f>+MID(Tabla3[[#This Row],['# Viaje]],10,1)</f>
        <v/>
      </c>
    </row>
    <row r="1147" spans="1:28" ht="15" hidden="1" customHeight="1">
      <c r="A1147" s="173" t="s">
        <v>1688</v>
      </c>
      <c r="B1147" s="174">
        <v>42949</v>
      </c>
      <c r="C1147" s="173" t="s">
        <v>1231</v>
      </c>
      <c r="D1147" s="173" t="s">
        <v>1237</v>
      </c>
      <c r="E1147" s="173" t="s">
        <v>1232</v>
      </c>
      <c r="F1147" s="173">
        <v>2</v>
      </c>
      <c r="G1147" s="173" t="s">
        <v>9</v>
      </c>
      <c r="H1147" s="173">
        <v>2</v>
      </c>
      <c r="I1147" s="173" t="s">
        <v>1689</v>
      </c>
      <c r="J1147" s="173" t="s">
        <v>354</v>
      </c>
      <c r="K1147" s="173" t="s">
        <v>355</v>
      </c>
      <c r="L1147" s="173"/>
      <c r="M1147" s="173" t="s">
        <v>40</v>
      </c>
      <c r="N1147" s="173">
        <v>900129262</v>
      </c>
      <c r="O1147" s="175">
        <v>6133613</v>
      </c>
      <c r="P1147" s="7"/>
      <c r="Q1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7" s="9">
        <f>+IFERROR(VLOOKUP(Tabla3[[#This Row],[Cliente factura]],Tabla4[[NIT]:[TOTAL CREDITO]],6,FALSE),0)</f>
        <v>0</v>
      </c>
      <c r="S1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7" s="10" t="str">
        <f>VLOOKUP(Tabla3[[#This Row],[Razón social cliente factura]]&amp;Tabla3[[#This Row],[Desc. ciudad]],'Estandar de Rutas'!$C$1:$E$553,2,FALSE)</f>
        <v>5.1.A</v>
      </c>
      <c r="U1147" s="130">
        <f>IFERROR(VLOOKUP(Tabla3[[#This Row],[Referencia]]&amp;Tabla3[[#This Row],[Desc detalle ext 1]],Tabla1[[Referencia-Color]:[Disponibilidad]],3,FALSE),0)</f>
        <v>0</v>
      </c>
      <c r="V1147" s="13"/>
      <c r="W1147" s="17">
        <f>+Tabla3[[#This Row],[Cant. Programada]]*Tabla3[[#This Row],[Precio unit]]</f>
        <v>0</v>
      </c>
      <c r="X1147" s="8"/>
      <c r="Y1147" s="8"/>
      <c r="Z1147" s="8" t="str">
        <f>+Tabla3[[#This Row],[Referencia]]&amp;Tabla3[[#This Row],[Desc detalle ext 1]]</f>
        <v>CB 160F DLX                                       NEGRO PER</v>
      </c>
      <c r="AA1147" s="128" t="e">
        <f>+VLOOKUP(Tabla3[[#This Row],[CODIGO2]],ESTANDAR!$B$3:$C$9,2,FALSE)</f>
        <v>#N/A</v>
      </c>
      <c r="AB1147" s="128" t="str">
        <f>+MID(Tabla3[[#This Row],['# Viaje]],10,1)</f>
        <v/>
      </c>
    </row>
    <row r="1148" spans="1:28" ht="15" hidden="1" customHeight="1">
      <c r="A1148" s="173" t="s">
        <v>1688</v>
      </c>
      <c r="B1148" s="174">
        <v>42949</v>
      </c>
      <c r="C1148" s="173" t="s">
        <v>1231</v>
      </c>
      <c r="D1148" s="173" t="s">
        <v>1237</v>
      </c>
      <c r="E1148" s="173" t="s">
        <v>1232</v>
      </c>
      <c r="F1148" s="173">
        <v>1</v>
      </c>
      <c r="G1148" s="173" t="s">
        <v>9</v>
      </c>
      <c r="H1148" s="173">
        <v>1</v>
      </c>
      <c r="I1148" s="173" t="s">
        <v>1689</v>
      </c>
      <c r="J1148" s="173" t="s">
        <v>1433</v>
      </c>
      <c r="K1148" s="173" t="s">
        <v>1431</v>
      </c>
      <c r="L1148" s="173"/>
      <c r="M1148" s="173" t="s">
        <v>40</v>
      </c>
      <c r="N1148" s="173">
        <v>900129262</v>
      </c>
      <c r="O1148" s="175">
        <v>3521008</v>
      </c>
      <c r="P1148" s="7"/>
      <c r="Q1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8" s="9">
        <f>+IFERROR(VLOOKUP(Tabla3[[#This Row],[Cliente factura]],Tabla4[[NIT]:[TOTAL CREDITO]],6,FALSE),0)</f>
        <v>0</v>
      </c>
      <c r="S1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8" s="10" t="str">
        <f>VLOOKUP(Tabla3[[#This Row],[Razón social cliente factura]]&amp;Tabla3[[#This Row],[Desc. ciudad]],'Estandar de Rutas'!$C$1:$E$553,2,FALSE)</f>
        <v>5.1.A</v>
      </c>
      <c r="U1148" s="130">
        <f>IFERROR(VLOOKUP(Tabla3[[#This Row],[Referencia]]&amp;Tabla3[[#This Row],[Desc detalle ext 1]],Tabla1[[Referencia-Color]:[Disponibilidad]],3,FALSE),0)</f>
        <v>0</v>
      </c>
      <c r="V1148" s="13"/>
      <c r="W1148" s="17">
        <f>+Tabla3[[#This Row],[Cant. Programada]]*Tabla3[[#This Row],[Precio unit]]</f>
        <v>0</v>
      </c>
      <c r="X1148" s="8"/>
      <c r="Y1148" s="8"/>
      <c r="Z1148" s="8" t="str">
        <f>+Tabla3[[#This Row],[Referencia]]&amp;Tabla3[[#This Row],[Desc detalle ext 1]]</f>
        <v xml:space="preserve">DIO  110                                          ROJO     </v>
      </c>
      <c r="AA1148" s="128" t="e">
        <f>+VLOOKUP(Tabla3[[#This Row],[CODIGO2]],ESTANDAR!$B$3:$C$9,2,FALSE)</f>
        <v>#N/A</v>
      </c>
      <c r="AB1148" s="128" t="str">
        <f>+MID(Tabla3[[#This Row],['# Viaje]],10,1)</f>
        <v/>
      </c>
    </row>
    <row r="1149" spans="1:28" ht="15" hidden="1" customHeight="1">
      <c r="A1149" s="173" t="s">
        <v>1688</v>
      </c>
      <c r="B1149" s="174">
        <v>42949</v>
      </c>
      <c r="C1149" s="173" t="s">
        <v>1231</v>
      </c>
      <c r="D1149" s="173" t="s">
        <v>1237</v>
      </c>
      <c r="E1149" s="173" t="s">
        <v>1232</v>
      </c>
      <c r="F1149" s="173">
        <v>1</v>
      </c>
      <c r="G1149" s="173" t="s">
        <v>9</v>
      </c>
      <c r="H1149" s="173">
        <v>1</v>
      </c>
      <c r="I1149" s="173" t="s">
        <v>1689</v>
      </c>
      <c r="J1149" s="173" t="s">
        <v>1433</v>
      </c>
      <c r="K1149" s="173" t="s">
        <v>1452</v>
      </c>
      <c r="L1149" s="173"/>
      <c r="M1149" s="173" t="s">
        <v>40</v>
      </c>
      <c r="N1149" s="173">
        <v>900129262</v>
      </c>
      <c r="O1149" s="175">
        <v>3521008</v>
      </c>
      <c r="P1149" s="7"/>
      <c r="Q1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9" s="9">
        <f>+IFERROR(VLOOKUP(Tabla3[[#This Row],[Cliente factura]],Tabla4[[NIT]:[TOTAL CREDITO]],6,FALSE),0)</f>
        <v>0</v>
      </c>
      <c r="S1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9" s="10" t="str">
        <f>VLOOKUP(Tabla3[[#This Row],[Razón social cliente factura]]&amp;Tabla3[[#This Row],[Desc. ciudad]],'Estandar de Rutas'!$C$1:$E$553,2,FALSE)</f>
        <v>5.1.A</v>
      </c>
      <c r="U1149" s="130">
        <f>IFERROR(VLOOKUP(Tabla3[[#This Row],[Referencia]]&amp;Tabla3[[#This Row],[Desc detalle ext 1]],Tabla1[[Referencia-Color]:[Disponibilidad]],3,FALSE),0)</f>
        <v>0</v>
      </c>
      <c r="V1149" s="13"/>
      <c r="W1149" s="17">
        <f>+Tabla3[[#This Row],[Cant. Programada]]*Tabla3[[#This Row],[Precio unit]]</f>
        <v>0</v>
      </c>
      <c r="X1149" s="8"/>
      <c r="Y1149" s="8"/>
      <c r="Z1149" s="8" t="str">
        <f>+Tabla3[[#This Row],[Referencia]]&amp;Tabla3[[#This Row],[Desc detalle ext 1]]</f>
        <v xml:space="preserve">DIO  110                                          AZUL     </v>
      </c>
      <c r="AA1149" s="128" t="e">
        <f>+VLOOKUP(Tabla3[[#This Row],[CODIGO2]],ESTANDAR!$B$3:$C$9,2,FALSE)</f>
        <v>#N/A</v>
      </c>
      <c r="AB1149" s="128" t="str">
        <f>+MID(Tabla3[[#This Row],['# Viaje]],10,1)</f>
        <v/>
      </c>
    </row>
    <row r="1150" spans="1:28" ht="15" hidden="1" customHeight="1">
      <c r="A1150" s="173" t="s">
        <v>1688</v>
      </c>
      <c r="B1150" s="174">
        <v>42949</v>
      </c>
      <c r="C1150" s="173" t="s">
        <v>1231</v>
      </c>
      <c r="D1150" s="173" t="s">
        <v>1237</v>
      </c>
      <c r="E1150" s="173" t="s">
        <v>1232</v>
      </c>
      <c r="F1150" s="173">
        <v>1</v>
      </c>
      <c r="G1150" s="173" t="s">
        <v>9</v>
      </c>
      <c r="H1150" s="173">
        <v>1</v>
      </c>
      <c r="I1150" s="173" t="s">
        <v>1689</v>
      </c>
      <c r="J1150" s="173" t="s">
        <v>1428</v>
      </c>
      <c r="K1150" s="173" t="s">
        <v>1429</v>
      </c>
      <c r="L1150" s="173"/>
      <c r="M1150" s="173" t="s">
        <v>40</v>
      </c>
      <c r="N1150" s="173">
        <v>900129262</v>
      </c>
      <c r="O1150" s="175">
        <v>3067227</v>
      </c>
      <c r="P1150" s="7"/>
      <c r="Q1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0" s="9">
        <f>+IFERROR(VLOOKUP(Tabla3[[#This Row],[Cliente factura]],Tabla4[[NIT]:[TOTAL CREDITO]],6,FALSE),0)</f>
        <v>0</v>
      </c>
      <c r="S1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0" s="10" t="str">
        <f>VLOOKUP(Tabla3[[#This Row],[Razón social cliente factura]]&amp;Tabla3[[#This Row],[Desc. ciudad]],'Estandar de Rutas'!$C$1:$E$553,2,FALSE)</f>
        <v>5.1.A</v>
      </c>
      <c r="U1150" s="130">
        <f>IFERROR(VLOOKUP(Tabla3[[#This Row],[Referencia]]&amp;Tabla3[[#This Row],[Desc detalle ext 1]],Tabla1[[Referencia-Color]:[Disponibilidad]],3,FALSE),0)</f>
        <v>0</v>
      </c>
      <c r="V1150" s="13"/>
      <c r="W1150" s="17">
        <f>+Tabla3[[#This Row],[Cant. Programada]]*Tabla3[[#This Row],[Precio unit]]</f>
        <v>0</v>
      </c>
      <c r="X1150" s="8"/>
      <c r="Y1150" s="8"/>
      <c r="Z1150" s="8" t="str">
        <f>+Tabla3[[#This Row],[Referencia]]&amp;Tabla3[[#This Row],[Desc detalle ext 1]]</f>
        <v>DREAM  NEO                                        NEGRO AZU</v>
      </c>
      <c r="AA1150" s="128" t="e">
        <f>+VLOOKUP(Tabla3[[#This Row],[CODIGO2]],ESTANDAR!$B$3:$C$9,2,FALSE)</f>
        <v>#N/A</v>
      </c>
      <c r="AB1150" s="128" t="str">
        <f>+MID(Tabla3[[#This Row],['# Viaje]],10,1)</f>
        <v/>
      </c>
    </row>
    <row r="1151" spans="1:28" ht="15" hidden="1" customHeight="1">
      <c r="A1151" s="173" t="s">
        <v>1688</v>
      </c>
      <c r="B1151" s="174">
        <v>42949</v>
      </c>
      <c r="C1151" s="173" t="s">
        <v>1231</v>
      </c>
      <c r="D1151" s="173" t="s">
        <v>1237</v>
      </c>
      <c r="E1151" s="173" t="s">
        <v>1232</v>
      </c>
      <c r="F1151" s="173">
        <v>1</v>
      </c>
      <c r="G1151" s="173" t="s">
        <v>9</v>
      </c>
      <c r="H1151" s="173">
        <v>1</v>
      </c>
      <c r="I1151" s="173" t="s">
        <v>1689</v>
      </c>
      <c r="J1151" s="173" t="s">
        <v>1430</v>
      </c>
      <c r="K1151" s="173" t="s">
        <v>1432</v>
      </c>
      <c r="L1151" s="173"/>
      <c r="M1151" s="173" t="s">
        <v>40</v>
      </c>
      <c r="N1151" s="173">
        <v>900129262</v>
      </c>
      <c r="O1151" s="175">
        <v>3941176</v>
      </c>
      <c r="P1151" s="7"/>
      <c r="Q1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1" s="9">
        <f>+IFERROR(VLOOKUP(Tabla3[[#This Row],[Cliente factura]],Tabla4[[NIT]:[TOTAL CREDITO]],6,FALSE),0)</f>
        <v>0</v>
      </c>
      <c r="S1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1" s="10" t="str">
        <f>VLOOKUP(Tabla3[[#This Row],[Razón social cliente factura]]&amp;Tabla3[[#This Row],[Desc. ciudad]],'Estandar de Rutas'!$C$1:$E$553,2,FALSE)</f>
        <v>5.1.A</v>
      </c>
      <c r="U1151" s="130">
        <f>IFERROR(VLOOKUP(Tabla3[[#This Row],[Referencia]]&amp;Tabla3[[#This Row],[Desc detalle ext 1]],Tabla1[[Referencia-Color]:[Disponibilidad]],3,FALSE),0)</f>
        <v>23</v>
      </c>
      <c r="V1151" s="13"/>
      <c r="W1151" s="17">
        <f>+Tabla3[[#This Row],[Cant. Programada]]*Tabla3[[#This Row],[Precio unit]]</f>
        <v>0</v>
      </c>
      <c r="X1151" s="8"/>
      <c r="Y1151" s="8"/>
      <c r="Z1151" s="8" t="str">
        <f>+Tabla3[[#This Row],[Referencia]]&amp;Tabla3[[#This Row],[Desc detalle ext 1]]</f>
        <v xml:space="preserve">WAVE 110S                                         BLANCO   </v>
      </c>
      <c r="AA1151" s="128" t="e">
        <f>+VLOOKUP(Tabla3[[#This Row],[CODIGO2]],ESTANDAR!$B$3:$C$9,2,FALSE)</f>
        <v>#N/A</v>
      </c>
      <c r="AB1151" s="128" t="str">
        <f>+MID(Tabla3[[#This Row],['# Viaje]],10,1)</f>
        <v/>
      </c>
    </row>
    <row r="1152" spans="1:28" ht="15" hidden="1" customHeight="1">
      <c r="A1152" s="173" t="s">
        <v>1688</v>
      </c>
      <c r="B1152" s="174">
        <v>42949</v>
      </c>
      <c r="C1152" s="173" t="s">
        <v>1231</v>
      </c>
      <c r="D1152" s="173" t="s">
        <v>1237</v>
      </c>
      <c r="E1152" s="173" t="s">
        <v>1232</v>
      </c>
      <c r="F1152" s="173">
        <v>1</v>
      </c>
      <c r="G1152" s="173" t="s">
        <v>9</v>
      </c>
      <c r="H1152" s="173">
        <v>1</v>
      </c>
      <c r="I1152" s="173" t="s">
        <v>1689</v>
      </c>
      <c r="J1152" s="173" t="s">
        <v>1430</v>
      </c>
      <c r="K1152" s="173" t="s">
        <v>16</v>
      </c>
      <c r="L1152" s="173"/>
      <c r="M1152" s="173" t="s">
        <v>40</v>
      </c>
      <c r="N1152" s="173">
        <v>900129262</v>
      </c>
      <c r="O1152" s="175">
        <v>3941176</v>
      </c>
      <c r="P1152" s="7"/>
      <c r="Q1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2" s="9">
        <f>+IFERROR(VLOOKUP(Tabla3[[#This Row],[Cliente factura]],Tabla4[[NIT]:[TOTAL CREDITO]],6,FALSE),0)</f>
        <v>0</v>
      </c>
      <c r="S1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2" s="10" t="str">
        <f>VLOOKUP(Tabla3[[#This Row],[Razón social cliente factura]]&amp;Tabla3[[#This Row],[Desc. ciudad]],'Estandar de Rutas'!$C$1:$E$553,2,FALSE)</f>
        <v>5.1.A</v>
      </c>
      <c r="U1152" s="130">
        <f>IFERROR(VLOOKUP(Tabla3[[#This Row],[Referencia]]&amp;Tabla3[[#This Row],[Desc detalle ext 1]],Tabla1[[Referencia-Color]:[Disponibilidad]],3,FALSE),0)</f>
        <v>0</v>
      </c>
      <c r="V1152" s="13"/>
      <c r="W1152" s="17">
        <f>+Tabla3[[#This Row],[Cant. Programada]]*Tabla3[[#This Row],[Precio unit]]</f>
        <v>0</v>
      </c>
      <c r="X1152" s="8"/>
      <c r="Y1152" s="8"/>
      <c r="Z1152" s="8" t="str">
        <f>+Tabla3[[#This Row],[Referencia]]&amp;Tabla3[[#This Row],[Desc detalle ext 1]]</f>
        <v xml:space="preserve">WAVE 110S                                         NEGRO    </v>
      </c>
      <c r="AA1152" s="128" t="e">
        <f>+VLOOKUP(Tabla3[[#This Row],[CODIGO2]],ESTANDAR!$B$3:$C$9,2,FALSE)</f>
        <v>#N/A</v>
      </c>
      <c r="AB1152" s="128" t="str">
        <f>+MID(Tabla3[[#This Row],['# Viaje]],10,1)</f>
        <v/>
      </c>
    </row>
    <row r="1153" spans="1:28" ht="15" hidden="1" customHeight="1">
      <c r="A1153" s="173" t="s">
        <v>1688</v>
      </c>
      <c r="B1153" s="174">
        <v>42949</v>
      </c>
      <c r="C1153" s="173" t="s">
        <v>1231</v>
      </c>
      <c r="D1153" s="173" t="s">
        <v>1237</v>
      </c>
      <c r="E1153" s="173" t="s">
        <v>1232</v>
      </c>
      <c r="F1153" s="173">
        <v>1</v>
      </c>
      <c r="G1153" s="173" t="s">
        <v>9</v>
      </c>
      <c r="H1153" s="173">
        <v>1</v>
      </c>
      <c r="I1153" s="173" t="s">
        <v>1689</v>
      </c>
      <c r="J1153" s="173" t="s">
        <v>1234</v>
      </c>
      <c r="K1153" s="173" t="s">
        <v>17</v>
      </c>
      <c r="L1153" s="173"/>
      <c r="M1153" s="173" t="s">
        <v>40</v>
      </c>
      <c r="N1153" s="173">
        <v>900129262</v>
      </c>
      <c r="O1153" s="175">
        <v>5453782</v>
      </c>
      <c r="P1153" s="7"/>
      <c r="Q1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3" s="9">
        <f>+IFERROR(VLOOKUP(Tabla3[[#This Row],[Cliente factura]],Tabla4[[NIT]:[TOTAL CREDITO]],6,FALSE),0)</f>
        <v>0</v>
      </c>
      <c r="S1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3" s="10" t="str">
        <f>VLOOKUP(Tabla3[[#This Row],[Razón social cliente factura]]&amp;Tabla3[[#This Row],[Desc. ciudad]],'Estandar de Rutas'!$C$1:$E$553,2,FALSE)</f>
        <v>5.1.A</v>
      </c>
      <c r="U1153" s="130">
        <f>IFERROR(VLOOKUP(Tabla3[[#This Row],[Referencia]]&amp;Tabla3[[#This Row],[Desc detalle ext 1]],Tabla1[[Referencia-Color]:[Disponibilidad]],3,FALSE),0)</f>
        <v>0</v>
      </c>
      <c r="V1153" s="13"/>
      <c r="W1153" s="17">
        <f>+Tabla3[[#This Row],[Cant. Programada]]*Tabla3[[#This Row],[Precio unit]]</f>
        <v>0</v>
      </c>
      <c r="X1153" s="8"/>
      <c r="Y1153" s="8"/>
      <c r="Z1153" s="8" t="str">
        <f>+Tabla3[[#This Row],[Referencia]]&amp;Tabla3[[#This Row],[Desc detalle ext 1]]</f>
        <v>CB 160F STD                                       ROJO SPOR</v>
      </c>
      <c r="AA1153" s="128" t="e">
        <f>+VLOOKUP(Tabla3[[#This Row],[CODIGO2]],ESTANDAR!$B$3:$C$9,2,FALSE)</f>
        <v>#N/A</v>
      </c>
      <c r="AB1153" s="128" t="str">
        <f>+MID(Tabla3[[#This Row],['# Viaje]],10,1)</f>
        <v/>
      </c>
    </row>
    <row r="1154" spans="1:28" ht="15" hidden="1" customHeight="1">
      <c r="A1154" s="173" t="s">
        <v>1688</v>
      </c>
      <c r="B1154" s="174">
        <v>42949</v>
      </c>
      <c r="C1154" s="173" t="s">
        <v>1231</v>
      </c>
      <c r="D1154" s="173" t="s">
        <v>1237</v>
      </c>
      <c r="E1154" s="173" t="s">
        <v>1232</v>
      </c>
      <c r="F1154" s="173">
        <v>2</v>
      </c>
      <c r="G1154" s="173" t="s">
        <v>9</v>
      </c>
      <c r="H1154" s="173">
        <v>2</v>
      </c>
      <c r="I1154" s="173" t="s">
        <v>1689</v>
      </c>
      <c r="J1154" s="173" t="s">
        <v>1234</v>
      </c>
      <c r="K1154" s="173" t="s">
        <v>355</v>
      </c>
      <c r="L1154" s="173"/>
      <c r="M1154" s="173" t="s">
        <v>40</v>
      </c>
      <c r="N1154" s="173">
        <v>900129262</v>
      </c>
      <c r="O1154" s="175">
        <v>5453782</v>
      </c>
      <c r="P1154" s="7"/>
      <c r="Q1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4" s="9">
        <f>+IFERROR(VLOOKUP(Tabla3[[#This Row],[Cliente factura]],Tabla4[[NIT]:[TOTAL CREDITO]],6,FALSE),0)</f>
        <v>0</v>
      </c>
      <c r="S1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4" s="10" t="str">
        <f>VLOOKUP(Tabla3[[#This Row],[Razón social cliente factura]]&amp;Tabla3[[#This Row],[Desc. ciudad]],'Estandar de Rutas'!$C$1:$E$553,2,FALSE)</f>
        <v>5.1.A</v>
      </c>
      <c r="U1154" s="130">
        <f>IFERROR(VLOOKUP(Tabla3[[#This Row],[Referencia]]&amp;Tabla3[[#This Row],[Desc detalle ext 1]],Tabla1[[Referencia-Color]:[Disponibilidad]],3,FALSE),0)</f>
        <v>0</v>
      </c>
      <c r="V1154" s="13"/>
      <c r="W1154" s="17">
        <f>+Tabla3[[#This Row],[Cant. Programada]]*Tabla3[[#This Row],[Precio unit]]</f>
        <v>0</v>
      </c>
      <c r="X1154" s="8"/>
      <c r="Y1154" s="8"/>
      <c r="Z1154" s="8" t="str">
        <f>+Tabla3[[#This Row],[Referencia]]&amp;Tabla3[[#This Row],[Desc detalle ext 1]]</f>
        <v>CB 160F STD                                       NEGRO PER</v>
      </c>
      <c r="AA1154" s="128" t="e">
        <f>+VLOOKUP(Tabla3[[#This Row],[CODIGO2]],ESTANDAR!$B$3:$C$9,2,FALSE)</f>
        <v>#N/A</v>
      </c>
      <c r="AB1154" s="128" t="str">
        <f>+MID(Tabla3[[#This Row],['# Viaje]],10,1)</f>
        <v/>
      </c>
    </row>
    <row r="1155" spans="1:28" ht="15" hidden="1" customHeight="1">
      <c r="A1155" s="173" t="s">
        <v>1688</v>
      </c>
      <c r="B1155" s="174">
        <v>42949</v>
      </c>
      <c r="C1155" s="173" t="s">
        <v>1231</v>
      </c>
      <c r="D1155" s="173" t="s">
        <v>1237</v>
      </c>
      <c r="E1155" s="173" t="s">
        <v>1232</v>
      </c>
      <c r="F1155" s="173">
        <v>1</v>
      </c>
      <c r="G1155" s="173" t="s">
        <v>9</v>
      </c>
      <c r="H1155" s="173">
        <v>1</v>
      </c>
      <c r="I1155" s="173" t="s">
        <v>1689</v>
      </c>
      <c r="J1155" s="173" t="s">
        <v>1234</v>
      </c>
      <c r="K1155" s="173" t="s">
        <v>44</v>
      </c>
      <c r="L1155" s="173"/>
      <c r="M1155" s="173" t="s">
        <v>40</v>
      </c>
      <c r="N1155" s="173">
        <v>900129262</v>
      </c>
      <c r="O1155" s="175">
        <v>5453782</v>
      </c>
      <c r="P1155" s="7"/>
      <c r="Q1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5" s="9">
        <f>+IFERROR(VLOOKUP(Tabla3[[#This Row],[Cliente factura]],Tabla4[[NIT]:[TOTAL CREDITO]],6,FALSE),0)</f>
        <v>0</v>
      </c>
      <c r="S1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5" s="10" t="str">
        <f>VLOOKUP(Tabla3[[#This Row],[Razón social cliente factura]]&amp;Tabla3[[#This Row],[Desc. ciudad]],'Estandar de Rutas'!$C$1:$E$553,2,FALSE)</f>
        <v>5.1.A</v>
      </c>
      <c r="U1155" s="130">
        <f>IFERROR(VLOOKUP(Tabla3[[#This Row],[Referencia]]&amp;Tabla3[[#This Row],[Desc detalle ext 1]],Tabla1[[Referencia-Color]:[Disponibilidad]],3,FALSE),0)</f>
        <v>1</v>
      </c>
      <c r="V1155" s="13"/>
      <c r="W1155" s="17">
        <f>+Tabla3[[#This Row],[Cant. Programada]]*Tabla3[[#This Row],[Precio unit]]</f>
        <v>0</v>
      </c>
      <c r="X1155" s="8"/>
      <c r="Y1155" s="8"/>
      <c r="Z1155" s="8" t="str">
        <f>+Tabla3[[#This Row],[Referencia]]&amp;Tabla3[[#This Row],[Desc detalle ext 1]]</f>
        <v>CB 160F STD                                       BLANCO PE</v>
      </c>
      <c r="AA1155" s="128" t="e">
        <f>+VLOOKUP(Tabla3[[#This Row],[CODIGO2]],ESTANDAR!$B$3:$C$9,2,FALSE)</f>
        <v>#N/A</v>
      </c>
      <c r="AB1155" s="128" t="str">
        <f>+MID(Tabla3[[#This Row],['# Viaje]],10,1)</f>
        <v/>
      </c>
    </row>
    <row r="1156" spans="1:28" ht="15" hidden="1" customHeight="1">
      <c r="A1156" s="173" t="s">
        <v>1688</v>
      </c>
      <c r="B1156" s="174">
        <v>42949</v>
      </c>
      <c r="C1156" s="173" t="s">
        <v>1231</v>
      </c>
      <c r="D1156" s="173" t="s">
        <v>1237</v>
      </c>
      <c r="E1156" s="173" t="s">
        <v>1232</v>
      </c>
      <c r="F1156" s="173">
        <v>1</v>
      </c>
      <c r="G1156" s="173" t="s">
        <v>9</v>
      </c>
      <c r="H1156" s="173">
        <v>1</v>
      </c>
      <c r="I1156" s="173" t="s">
        <v>1689</v>
      </c>
      <c r="J1156" s="173" t="s">
        <v>1451</v>
      </c>
      <c r="K1156" s="173" t="s">
        <v>1449</v>
      </c>
      <c r="L1156" s="173"/>
      <c r="M1156" s="173" t="s">
        <v>40</v>
      </c>
      <c r="N1156" s="173">
        <v>900129262</v>
      </c>
      <c r="O1156" s="175">
        <v>3696639</v>
      </c>
      <c r="P1156" s="7"/>
      <c r="Q1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6" s="9">
        <f>+IFERROR(VLOOKUP(Tabla3[[#This Row],[Cliente factura]],Tabla4[[NIT]:[TOTAL CREDITO]],6,FALSE),0)</f>
        <v>0</v>
      </c>
      <c r="S1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6" s="10" t="str">
        <f>VLOOKUP(Tabla3[[#This Row],[Razón social cliente factura]]&amp;Tabla3[[#This Row],[Desc. ciudad]],'Estandar de Rutas'!$C$1:$E$553,2,FALSE)</f>
        <v>5.1.A</v>
      </c>
      <c r="U1156" s="130">
        <f>IFERROR(VLOOKUP(Tabla3[[#This Row],[Referencia]]&amp;Tabla3[[#This Row],[Desc detalle ext 1]],Tabla1[[Referencia-Color]:[Disponibilidad]],3,FALSE),0)</f>
        <v>24</v>
      </c>
      <c r="V1156" s="13"/>
      <c r="W1156" s="17">
        <f>+Tabla3[[#This Row],[Cant. Programada]]*Tabla3[[#This Row],[Precio unit]]</f>
        <v>0</v>
      </c>
      <c r="X1156" s="8"/>
      <c r="Y1156" s="8"/>
      <c r="Z1156" s="8" t="str">
        <f>+Tabla3[[#This Row],[Referencia]]&amp;Tabla3[[#This Row],[Desc detalle ext 1]]</f>
        <v xml:space="preserve">CB 110 DLX                                        GRIS     </v>
      </c>
      <c r="AA1156" s="128" t="e">
        <f>+VLOOKUP(Tabla3[[#This Row],[CODIGO2]],ESTANDAR!$B$3:$C$9,2,FALSE)</f>
        <v>#N/A</v>
      </c>
      <c r="AB1156" s="128" t="str">
        <f>+MID(Tabla3[[#This Row],['# Viaje]],10,1)</f>
        <v/>
      </c>
    </row>
    <row r="1157" spans="1:28" ht="15" hidden="1" customHeight="1">
      <c r="A1157" s="173" t="s">
        <v>1688</v>
      </c>
      <c r="B1157" s="174">
        <v>42949</v>
      </c>
      <c r="C1157" s="173" t="s">
        <v>1231</v>
      </c>
      <c r="D1157" s="173" t="s">
        <v>1237</v>
      </c>
      <c r="E1157" s="173" t="s">
        <v>1232</v>
      </c>
      <c r="F1157" s="173">
        <v>1</v>
      </c>
      <c r="G1157" s="173" t="s">
        <v>9</v>
      </c>
      <c r="H1157" s="173">
        <v>1</v>
      </c>
      <c r="I1157" s="173" t="s">
        <v>1689</v>
      </c>
      <c r="J1157" s="173" t="s">
        <v>1451</v>
      </c>
      <c r="K1157" s="173" t="s">
        <v>1452</v>
      </c>
      <c r="L1157" s="173"/>
      <c r="M1157" s="173" t="s">
        <v>40</v>
      </c>
      <c r="N1157" s="173">
        <v>900129262</v>
      </c>
      <c r="O1157" s="175">
        <v>3696639</v>
      </c>
      <c r="P1157" s="7"/>
      <c r="Q1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7" s="9">
        <f>+IFERROR(VLOOKUP(Tabla3[[#This Row],[Cliente factura]],Tabla4[[NIT]:[TOTAL CREDITO]],6,FALSE),0)</f>
        <v>0</v>
      </c>
      <c r="S1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7" s="10" t="str">
        <f>VLOOKUP(Tabla3[[#This Row],[Razón social cliente factura]]&amp;Tabla3[[#This Row],[Desc. ciudad]],'Estandar de Rutas'!$C$1:$E$553,2,FALSE)</f>
        <v>5.1.A</v>
      </c>
      <c r="U1157" s="130">
        <f>IFERROR(VLOOKUP(Tabla3[[#This Row],[Referencia]]&amp;Tabla3[[#This Row],[Desc detalle ext 1]],Tabla1[[Referencia-Color]:[Disponibilidad]],3,FALSE),0)</f>
        <v>21</v>
      </c>
      <c r="V1157" s="13"/>
      <c r="W1157" s="17">
        <f>+Tabla3[[#This Row],[Cant. Programada]]*Tabla3[[#This Row],[Precio unit]]</f>
        <v>0</v>
      </c>
      <c r="X1157" s="8"/>
      <c r="Y1157" s="8"/>
      <c r="Z1157" s="8" t="str">
        <f>+Tabla3[[#This Row],[Referencia]]&amp;Tabla3[[#This Row],[Desc detalle ext 1]]</f>
        <v xml:space="preserve">CB 110 DLX                                        AZUL     </v>
      </c>
      <c r="AA1157" s="128" t="e">
        <f>+VLOOKUP(Tabla3[[#This Row],[CODIGO2]],ESTANDAR!$B$3:$C$9,2,FALSE)</f>
        <v>#N/A</v>
      </c>
      <c r="AB1157" s="128" t="str">
        <f>+MID(Tabla3[[#This Row],['# Viaje]],10,1)</f>
        <v/>
      </c>
    </row>
    <row r="1158" spans="1:28" ht="15" hidden="1" customHeight="1">
      <c r="A1158" s="173" t="s">
        <v>1688</v>
      </c>
      <c r="B1158" s="174">
        <v>42949</v>
      </c>
      <c r="C1158" s="173" t="s">
        <v>1231</v>
      </c>
      <c r="D1158" s="173" t="s">
        <v>1237</v>
      </c>
      <c r="E1158" s="173" t="s">
        <v>1232</v>
      </c>
      <c r="F1158" s="173">
        <v>1</v>
      </c>
      <c r="G1158" s="173" t="s">
        <v>9</v>
      </c>
      <c r="H1158" s="173">
        <v>1</v>
      </c>
      <c r="I1158" s="173" t="s">
        <v>1689</v>
      </c>
      <c r="J1158" s="173" t="s">
        <v>1451</v>
      </c>
      <c r="K1158" s="173" t="s">
        <v>16</v>
      </c>
      <c r="L1158" s="173"/>
      <c r="M1158" s="173" t="s">
        <v>40</v>
      </c>
      <c r="N1158" s="173">
        <v>900129262</v>
      </c>
      <c r="O1158" s="175">
        <v>3696639</v>
      </c>
      <c r="P1158" s="7"/>
      <c r="Q1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8" s="9">
        <f>+IFERROR(VLOOKUP(Tabla3[[#This Row],[Cliente factura]],Tabla4[[NIT]:[TOTAL CREDITO]],6,FALSE),0)</f>
        <v>0</v>
      </c>
      <c r="S1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8" s="10" t="str">
        <f>VLOOKUP(Tabla3[[#This Row],[Razón social cliente factura]]&amp;Tabla3[[#This Row],[Desc. ciudad]],'Estandar de Rutas'!$C$1:$E$553,2,FALSE)</f>
        <v>5.1.A</v>
      </c>
      <c r="U1158" s="130">
        <f>IFERROR(VLOOKUP(Tabla3[[#This Row],[Referencia]]&amp;Tabla3[[#This Row],[Desc detalle ext 1]],Tabla1[[Referencia-Color]:[Disponibilidad]],3,FALSE),0)</f>
        <v>3</v>
      </c>
      <c r="V1158" s="13"/>
      <c r="W1158" s="17">
        <f>+Tabla3[[#This Row],[Cant. Programada]]*Tabla3[[#This Row],[Precio unit]]</f>
        <v>0</v>
      </c>
      <c r="X1158" s="8"/>
      <c r="Y1158" s="8"/>
      <c r="Z1158" s="8" t="str">
        <f>+Tabla3[[#This Row],[Referencia]]&amp;Tabla3[[#This Row],[Desc detalle ext 1]]</f>
        <v xml:space="preserve">CB 110 DLX                                        NEGRO    </v>
      </c>
      <c r="AA1158" s="128" t="e">
        <f>+VLOOKUP(Tabla3[[#This Row],[CODIGO2]],ESTANDAR!$B$3:$C$9,2,FALSE)</f>
        <v>#N/A</v>
      </c>
      <c r="AB1158" s="128" t="str">
        <f>+MID(Tabla3[[#This Row],['# Viaje]],10,1)</f>
        <v/>
      </c>
    </row>
    <row r="1159" spans="1:28" ht="15" hidden="1" customHeight="1">
      <c r="A1159" s="173" t="s">
        <v>1690</v>
      </c>
      <c r="B1159" s="174">
        <v>42949</v>
      </c>
      <c r="C1159" s="173" t="s">
        <v>1231</v>
      </c>
      <c r="D1159" s="173" t="s">
        <v>1237</v>
      </c>
      <c r="E1159" s="173" t="s">
        <v>1232</v>
      </c>
      <c r="F1159" s="173">
        <v>1</v>
      </c>
      <c r="G1159" s="173" t="s">
        <v>114</v>
      </c>
      <c r="H1159" s="173">
        <v>1</v>
      </c>
      <c r="I1159" s="173" t="s">
        <v>1691</v>
      </c>
      <c r="J1159" s="173" t="s">
        <v>1421</v>
      </c>
      <c r="K1159" s="173" t="s">
        <v>1434</v>
      </c>
      <c r="L1159" s="173"/>
      <c r="M1159" s="173" t="s">
        <v>115</v>
      </c>
      <c r="N1159" s="173">
        <v>900182433</v>
      </c>
      <c r="O1159" s="175">
        <v>11496063</v>
      </c>
      <c r="P1159" s="7"/>
      <c r="Q1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9" s="9">
        <f>+IFERROR(VLOOKUP(Tabla3[[#This Row],[Cliente factura]],Tabla4[[NIT]:[TOTAL CREDITO]],6,FALSE),0)</f>
        <v>0</v>
      </c>
      <c r="S1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9" s="10" t="str">
        <f>VLOOKUP(Tabla3[[#This Row],[Razón social cliente factura]]&amp;Tabla3[[#This Row],[Desc. ciudad]],'Estandar de Rutas'!$C$1:$E$553,2,FALSE)</f>
        <v>6.3</v>
      </c>
      <c r="U1159" s="130">
        <f>IFERROR(VLOOKUP(Tabla3[[#This Row],[Referencia]]&amp;Tabla3[[#This Row],[Desc detalle ext 1]],Tabla1[[Referencia-Color]:[Disponibilidad]],3,FALSE),0)</f>
        <v>0</v>
      </c>
      <c r="V1159" s="13"/>
      <c r="W1159" s="17">
        <f>+Tabla3[[#This Row],[Cant. Programada]]*Tabla3[[#This Row],[Precio unit]]</f>
        <v>0</v>
      </c>
      <c r="X1159" s="8"/>
      <c r="Y1159" s="8"/>
      <c r="Z1159" s="8" t="str">
        <f>+Tabla3[[#This Row],[Referencia]]&amp;Tabla3[[#This Row],[Desc detalle ext 1]]</f>
        <v>*XR-250 TORNADO pt MD34                           BLANCO NE</v>
      </c>
      <c r="AA1159" s="128" t="e">
        <f>+VLOOKUP(Tabla3[[#This Row],[CODIGO2]],ESTANDAR!$B$3:$C$9,2,FALSE)</f>
        <v>#N/A</v>
      </c>
      <c r="AB1159" s="128" t="str">
        <f>+MID(Tabla3[[#This Row],['# Viaje]],10,1)</f>
        <v/>
      </c>
    </row>
    <row r="1160" spans="1:28" ht="15" hidden="1" customHeight="1">
      <c r="A1160" s="173" t="s">
        <v>1690</v>
      </c>
      <c r="B1160" s="174">
        <v>42949</v>
      </c>
      <c r="C1160" s="173" t="s">
        <v>1231</v>
      </c>
      <c r="D1160" s="173" t="s">
        <v>1237</v>
      </c>
      <c r="E1160" s="173" t="s">
        <v>1232</v>
      </c>
      <c r="F1160" s="173">
        <v>3</v>
      </c>
      <c r="G1160" s="173" t="s">
        <v>114</v>
      </c>
      <c r="H1160" s="173">
        <v>3</v>
      </c>
      <c r="I1160" s="173" t="s">
        <v>1691</v>
      </c>
      <c r="J1160" s="173" t="s">
        <v>14</v>
      </c>
      <c r="K1160" s="173" t="s">
        <v>15</v>
      </c>
      <c r="L1160" s="173"/>
      <c r="M1160" s="173" t="s">
        <v>115</v>
      </c>
      <c r="N1160" s="173">
        <v>900182433</v>
      </c>
      <c r="O1160" s="175">
        <v>3360504</v>
      </c>
      <c r="P1160" s="7"/>
      <c r="Q1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0" s="9">
        <f>+IFERROR(VLOOKUP(Tabla3[[#This Row],[Cliente factura]],Tabla4[[NIT]:[TOTAL CREDITO]],6,FALSE),0)</f>
        <v>0</v>
      </c>
      <c r="S1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0" s="10" t="str">
        <f>VLOOKUP(Tabla3[[#This Row],[Razón social cliente factura]]&amp;Tabla3[[#This Row],[Desc. ciudad]],'Estandar de Rutas'!$C$1:$E$553,2,FALSE)</f>
        <v>6.3</v>
      </c>
      <c r="U1160" s="130">
        <f>IFERROR(VLOOKUP(Tabla3[[#This Row],[Referencia]]&amp;Tabla3[[#This Row],[Desc detalle ext 1]],Tabla1[[Referencia-Color]:[Disponibilidad]],3,FALSE),0)</f>
        <v>99</v>
      </c>
      <c r="V1160" s="13">
        <v>3</v>
      </c>
      <c r="W1160" s="17">
        <f>+Tabla3[[#This Row],[Cant. Programada]]*Tabla3[[#This Row],[Precio unit]]</f>
        <v>10081512</v>
      </c>
      <c r="X1160" s="8" t="s">
        <v>1903</v>
      </c>
      <c r="Y1160" s="8">
        <v>3</v>
      </c>
      <c r="Z1160" s="8" t="str">
        <f>+Tabla3[[#This Row],[Referencia]]&amp;Tabla3[[#This Row],[Desc detalle ext 1]]</f>
        <v>*CB-110                                           AZUL FIJI</v>
      </c>
      <c r="AA1160" s="128" t="str">
        <f>+VLOOKUP(Tabla3[[#This Row],[CODIGO2]],ESTANDAR!$B$3:$C$9,2,FALSE)</f>
        <v>ENTREGAS</v>
      </c>
      <c r="AB1160" s="128" t="str">
        <f>+MID(Tabla3[[#This Row],['# Viaje]],10,1)</f>
        <v>E</v>
      </c>
    </row>
    <row r="1161" spans="1:28" ht="15" hidden="1" customHeight="1">
      <c r="A1161" s="173" t="s">
        <v>1690</v>
      </c>
      <c r="B1161" s="174">
        <v>42949</v>
      </c>
      <c r="C1161" s="173" t="s">
        <v>1231</v>
      </c>
      <c r="D1161" s="173" t="s">
        <v>1237</v>
      </c>
      <c r="E1161" s="173" t="s">
        <v>1232</v>
      </c>
      <c r="F1161" s="173">
        <v>2</v>
      </c>
      <c r="G1161" s="173" t="s">
        <v>114</v>
      </c>
      <c r="H1161" s="173">
        <v>2</v>
      </c>
      <c r="I1161" s="173" t="s">
        <v>1691</v>
      </c>
      <c r="J1161" s="173" t="s">
        <v>14</v>
      </c>
      <c r="K1161" s="173" t="s">
        <v>1417</v>
      </c>
      <c r="L1161" s="173"/>
      <c r="M1161" s="173" t="s">
        <v>115</v>
      </c>
      <c r="N1161" s="173">
        <v>900182433</v>
      </c>
      <c r="O1161" s="175">
        <v>3360504</v>
      </c>
      <c r="P1161" s="7"/>
      <c r="Q1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1" s="9">
        <f>+IFERROR(VLOOKUP(Tabla3[[#This Row],[Cliente factura]],Tabla4[[NIT]:[TOTAL CREDITO]],6,FALSE),0)</f>
        <v>0</v>
      </c>
      <c r="S1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1" s="10" t="str">
        <f>VLOOKUP(Tabla3[[#This Row],[Razón social cliente factura]]&amp;Tabla3[[#This Row],[Desc. ciudad]],'Estandar de Rutas'!$C$1:$E$553,2,FALSE)</f>
        <v>6.3</v>
      </c>
      <c r="U1161" s="130">
        <f>IFERROR(VLOOKUP(Tabla3[[#This Row],[Referencia]]&amp;Tabla3[[#This Row],[Desc detalle ext 1]],Tabla1[[Referencia-Color]:[Disponibilidad]],3,FALSE),0)</f>
        <v>24</v>
      </c>
      <c r="V1161" s="13">
        <v>2</v>
      </c>
      <c r="W1161" s="17">
        <f>+Tabla3[[#This Row],[Cant. Programada]]*Tabla3[[#This Row],[Precio unit]]</f>
        <v>6721008</v>
      </c>
      <c r="X1161" s="129" t="s">
        <v>1903</v>
      </c>
      <c r="Y1161" s="129">
        <v>3</v>
      </c>
      <c r="Z1161" s="8" t="str">
        <f>+Tabla3[[#This Row],[Referencia]]&amp;Tabla3[[#This Row],[Desc detalle ext 1]]</f>
        <v xml:space="preserve">*CB-110                                           GRIS MET </v>
      </c>
      <c r="AA1161" s="128" t="str">
        <f>+VLOOKUP(Tabla3[[#This Row],[CODIGO2]],ESTANDAR!$B$3:$C$9,2,FALSE)</f>
        <v>ENTREGAS</v>
      </c>
      <c r="AB1161" s="128" t="str">
        <f>+MID(Tabla3[[#This Row],['# Viaje]],10,1)</f>
        <v>E</v>
      </c>
    </row>
    <row r="1162" spans="1:28" ht="15" hidden="1" customHeight="1">
      <c r="A1162" s="173" t="s">
        <v>1690</v>
      </c>
      <c r="B1162" s="174">
        <v>42949</v>
      </c>
      <c r="C1162" s="173" t="s">
        <v>1231</v>
      </c>
      <c r="D1162" s="173" t="s">
        <v>1237</v>
      </c>
      <c r="E1162" s="173" t="s">
        <v>1232</v>
      </c>
      <c r="F1162" s="173">
        <v>3</v>
      </c>
      <c r="G1162" s="173" t="s">
        <v>114</v>
      </c>
      <c r="H1162" s="173">
        <v>3</v>
      </c>
      <c r="I1162" s="173" t="s">
        <v>1691</v>
      </c>
      <c r="J1162" s="173" t="s">
        <v>14</v>
      </c>
      <c r="K1162" s="173" t="s">
        <v>17</v>
      </c>
      <c r="L1162" s="173"/>
      <c r="M1162" s="173" t="s">
        <v>115</v>
      </c>
      <c r="N1162" s="173">
        <v>900182433</v>
      </c>
      <c r="O1162" s="175">
        <v>3360504</v>
      </c>
      <c r="P1162" s="7"/>
      <c r="Q1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2" s="9">
        <f>+IFERROR(VLOOKUP(Tabla3[[#This Row],[Cliente factura]],Tabla4[[NIT]:[TOTAL CREDITO]],6,FALSE),0)</f>
        <v>0</v>
      </c>
      <c r="S1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2" s="10" t="str">
        <f>VLOOKUP(Tabla3[[#This Row],[Razón social cliente factura]]&amp;Tabla3[[#This Row],[Desc. ciudad]],'Estandar de Rutas'!$C$1:$E$553,2,FALSE)</f>
        <v>6.3</v>
      </c>
      <c r="U1162" s="130">
        <f>IFERROR(VLOOKUP(Tabla3[[#This Row],[Referencia]]&amp;Tabla3[[#This Row],[Desc detalle ext 1]],Tabla1[[Referencia-Color]:[Disponibilidad]],3,FALSE),0)</f>
        <v>38</v>
      </c>
      <c r="V1162" s="13">
        <v>3</v>
      </c>
      <c r="W1162" s="17">
        <f>+Tabla3[[#This Row],[Cant. Programada]]*Tabla3[[#This Row],[Precio unit]]</f>
        <v>10081512</v>
      </c>
      <c r="X1162" s="129" t="s">
        <v>1903</v>
      </c>
      <c r="Y1162" s="129">
        <v>3</v>
      </c>
      <c r="Z1162" s="8" t="str">
        <f>+Tabla3[[#This Row],[Referencia]]&amp;Tabla3[[#This Row],[Desc detalle ext 1]]</f>
        <v>*CB-110                                           ROJO SPOR</v>
      </c>
      <c r="AA1162" s="128" t="str">
        <f>+VLOOKUP(Tabla3[[#This Row],[CODIGO2]],ESTANDAR!$B$3:$C$9,2,FALSE)</f>
        <v>ENTREGAS</v>
      </c>
      <c r="AB1162" s="128" t="str">
        <f>+MID(Tabla3[[#This Row],['# Viaje]],10,1)</f>
        <v>E</v>
      </c>
    </row>
    <row r="1163" spans="1:28" ht="15" hidden="1" customHeight="1">
      <c r="A1163" s="173" t="s">
        <v>1690</v>
      </c>
      <c r="B1163" s="174">
        <v>42949</v>
      </c>
      <c r="C1163" s="173" t="s">
        <v>1231</v>
      </c>
      <c r="D1163" s="173" t="s">
        <v>1237</v>
      </c>
      <c r="E1163" s="173" t="s">
        <v>1232</v>
      </c>
      <c r="F1163" s="173">
        <v>6</v>
      </c>
      <c r="G1163" s="173" t="s">
        <v>114</v>
      </c>
      <c r="H1163" s="173">
        <v>6</v>
      </c>
      <c r="I1163" s="173" t="s">
        <v>1691</v>
      </c>
      <c r="J1163" s="173" t="s">
        <v>14</v>
      </c>
      <c r="K1163" s="173" t="s">
        <v>16</v>
      </c>
      <c r="L1163" s="173"/>
      <c r="M1163" s="173" t="s">
        <v>115</v>
      </c>
      <c r="N1163" s="173">
        <v>900182433</v>
      </c>
      <c r="O1163" s="175">
        <v>3360504</v>
      </c>
      <c r="P1163" s="7"/>
      <c r="Q1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3" s="9">
        <f>+IFERROR(VLOOKUP(Tabla3[[#This Row],[Cliente factura]],Tabla4[[NIT]:[TOTAL CREDITO]],6,FALSE),0)</f>
        <v>0</v>
      </c>
      <c r="S1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3" s="10" t="str">
        <f>VLOOKUP(Tabla3[[#This Row],[Razón social cliente factura]]&amp;Tabla3[[#This Row],[Desc. ciudad]],'Estandar de Rutas'!$C$1:$E$553,2,FALSE)</f>
        <v>6.3</v>
      </c>
      <c r="U1163" s="130">
        <f>IFERROR(VLOOKUP(Tabla3[[#This Row],[Referencia]]&amp;Tabla3[[#This Row],[Desc detalle ext 1]],Tabla1[[Referencia-Color]:[Disponibilidad]],3,FALSE),0)</f>
        <v>83</v>
      </c>
      <c r="V1163" s="13">
        <v>6</v>
      </c>
      <c r="W1163" s="17">
        <f>+Tabla3[[#This Row],[Cant. Programada]]*Tabla3[[#This Row],[Precio unit]]</f>
        <v>20163024</v>
      </c>
      <c r="X1163" s="129" t="s">
        <v>1903</v>
      </c>
      <c r="Y1163" s="129">
        <v>3</v>
      </c>
      <c r="Z1163" s="8" t="str">
        <f>+Tabla3[[#This Row],[Referencia]]&amp;Tabla3[[#This Row],[Desc detalle ext 1]]</f>
        <v xml:space="preserve">*CB-110                                           NEGRO    </v>
      </c>
      <c r="AA1163" s="128" t="str">
        <f>+VLOOKUP(Tabla3[[#This Row],[CODIGO2]],ESTANDAR!$B$3:$C$9,2,FALSE)</f>
        <v>ENTREGAS</v>
      </c>
      <c r="AB1163" s="128" t="str">
        <f>+MID(Tabla3[[#This Row],['# Viaje]],10,1)</f>
        <v>E</v>
      </c>
    </row>
    <row r="1164" spans="1:28" ht="15" hidden="1" customHeight="1">
      <c r="A1164" s="173" t="s">
        <v>1690</v>
      </c>
      <c r="B1164" s="174">
        <v>42949</v>
      </c>
      <c r="C1164" s="173" t="s">
        <v>1231</v>
      </c>
      <c r="D1164" s="173" t="s">
        <v>1237</v>
      </c>
      <c r="E1164" s="173" t="s">
        <v>1232</v>
      </c>
      <c r="F1164" s="173">
        <v>6</v>
      </c>
      <c r="G1164" s="173" t="s">
        <v>114</v>
      </c>
      <c r="H1164" s="173">
        <v>6</v>
      </c>
      <c r="I1164" s="173" t="s">
        <v>1691</v>
      </c>
      <c r="J1164" s="173" t="s">
        <v>27</v>
      </c>
      <c r="K1164" s="173" t="s">
        <v>26</v>
      </c>
      <c r="L1164" s="173"/>
      <c r="M1164" s="173" t="s">
        <v>115</v>
      </c>
      <c r="N1164" s="173">
        <v>900182433</v>
      </c>
      <c r="O1164" s="175">
        <v>5789916</v>
      </c>
      <c r="P1164" s="7"/>
      <c r="Q1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4" s="9">
        <f>+IFERROR(VLOOKUP(Tabla3[[#This Row],[Cliente factura]],Tabla4[[NIT]:[TOTAL CREDITO]],6,FALSE),0)</f>
        <v>0</v>
      </c>
      <c r="S1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4" s="10" t="str">
        <f>VLOOKUP(Tabla3[[#This Row],[Razón social cliente factura]]&amp;Tabla3[[#This Row],[Desc. ciudad]],'Estandar de Rutas'!$C$1:$E$553,2,FALSE)</f>
        <v>6.3</v>
      </c>
      <c r="U1164" s="130">
        <f>IFERROR(VLOOKUP(Tabla3[[#This Row],[Referencia]]&amp;Tabla3[[#This Row],[Desc detalle ext 1]],Tabla1[[Referencia-Color]:[Disponibilidad]],3,FALSE),0)</f>
        <v>59</v>
      </c>
      <c r="V1164" s="13">
        <v>6</v>
      </c>
      <c r="W1164" s="17">
        <f>+Tabla3[[#This Row],[Cant. Programada]]*Tabla3[[#This Row],[Precio unit]]</f>
        <v>34739496</v>
      </c>
      <c r="X1164" s="129" t="s">
        <v>1903</v>
      </c>
      <c r="Y1164" s="129">
        <v>3</v>
      </c>
      <c r="Z1164" s="8" t="str">
        <f>+Tabla3[[#This Row],[Referencia]]&amp;Tabla3[[#This Row],[Desc detalle ext 1]]</f>
        <v>*XR 150L                                          NEGRO BLA</v>
      </c>
      <c r="AA1164" s="128" t="str">
        <f>+VLOOKUP(Tabla3[[#This Row],[CODIGO2]],ESTANDAR!$B$3:$C$9,2,FALSE)</f>
        <v>ENTREGAS</v>
      </c>
      <c r="AB1164" s="128" t="str">
        <f>+MID(Tabla3[[#This Row],['# Viaje]],10,1)</f>
        <v>E</v>
      </c>
    </row>
    <row r="1165" spans="1:28" ht="15" hidden="1" customHeight="1">
      <c r="A1165" s="173" t="s">
        <v>1690</v>
      </c>
      <c r="B1165" s="174">
        <v>42949</v>
      </c>
      <c r="C1165" s="173" t="s">
        <v>1231</v>
      </c>
      <c r="D1165" s="173" t="s">
        <v>1237</v>
      </c>
      <c r="E1165" s="173" t="s">
        <v>1232</v>
      </c>
      <c r="F1165" s="173">
        <v>2</v>
      </c>
      <c r="G1165" s="173" t="s">
        <v>114</v>
      </c>
      <c r="H1165" s="173">
        <v>2</v>
      </c>
      <c r="I1165" s="173" t="s">
        <v>1691</v>
      </c>
      <c r="J1165" s="173" t="s">
        <v>1433</v>
      </c>
      <c r="K1165" s="173" t="s">
        <v>1452</v>
      </c>
      <c r="L1165" s="173"/>
      <c r="M1165" s="173" t="s">
        <v>115</v>
      </c>
      <c r="N1165" s="173">
        <v>900182433</v>
      </c>
      <c r="O1165" s="175">
        <v>3521008</v>
      </c>
      <c r="P1165" s="7"/>
      <c r="Q1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5" s="9">
        <f>+IFERROR(VLOOKUP(Tabla3[[#This Row],[Cliente factura]],Tabla4[[NIT]:[TOTAL CREDITO]],6,FALSE),0)</f>
        <v>0</v>
      </c>
      <c r="S1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5" s="10" t="str">
        <f>VLOOKUP(Tabla3[[#This Row],[Razón social cliente factura]]&amp;Tabla3[[#This Row],[Desc. ciudad]],'Estandar de Rutas'!$C$1:$E$553,2,FALSE)</f>
        <v>6.3</v>
      </c>
      <c r="U1165" s="130">
        <f>IFERROR(VLOOKUP(Tabla3[[#This Row],[Referencia]]&amp;Tabla3[[#This Row],[Desc detalle ext 1]],Tabla1[[Referencia-Color]:[Disponibilidad]],3,FALSE),0)</f>
        <v>0</v>
      </c>
      <c r="V1165" s="13"/>
      <c r="W1165" s="17">
        <f>+Tabla3[[#This Row],[Cant. Programada]]*Tabla3[[#This Row],[Precio unit]]</f>
        <v>0</v>
      </c>
      <c r="X1165" s="8"/>
      <c r="Y1165" s="8"/>
      <c r="Z1165" s="8" t="str">
        <f>+Tabla3[[#This Row],[Referencia]]&amp;Tabla3[[#This Row],[Desc detalle ext 1]]</f>
        <v xml:space="preserve">DIO  110                                          AZUL     </v>
      </c>
      <c r="AA1165" s="128" t="e">
        <f>+VLOOKUP(Tabla3[[#This Row],[CODIGO2]],ESTANDAR!$B$3:$C$9,2,FALSE)</f>
        <v>#N/A</v>
      </c>
      <c r="AB1165" s="128" t="str">
        <f>+MID(Tabla3[[#This Row],['# Viaje]],10,1)</f>
        <v/>
      </c>
    </row>
    <row r="1166" spans="1:28" ht="15" hidden="1" customHeight="1">
      <c r="A1166" s="173" t="s">
        <v>1692</v>
      </c>
      <c r="B1166" s="174">
        <v>42949</v>
      </c>
      <c r="C1166" s="173" t="s">
        <v>1231</v>
      </c>
      <c r="D1166" s="173" t="s">
        <v>1237</v>
      </c>
      <c r="E1166" s="173" t="s">
        <v>1232</v>
      </c>
      <c r="F1166" s="173">
        <v>1</v>
      </c>
      <c r="G1166" s="173" t="s">
        <v>9</v>
      </c>
      <c r="H1166" s="173">
        <v>1</v>
      </c>
      <c r="I1166" s="173" t="s">
        <v>1693</v>
      </c>
      <c r="J1166" s="173" t="s">
        <v>14</v>
      </c>
      <c r="K1166" s="173" t="s">
        <v>1417</v>
      </c>
      <c r="L1166" s="173"/>
      <c r="M1166" s="173" t="s">
        <v>12</v>
      </c>
      <c r="N1166" s="173">
        <v>900129262</v>
      </c>
      <c r="O1166" s="175">
        <v>3360504</v>
      </c>
      <c r="P1166" s="7"/>
      <c r="Q1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6" s="9">
        <f>+IFERROR(VLOOKUP(Tabla3[[#This Row],[Cliente factura]],Tabla4[[NIT]:[TOTAL CREDITO]],6,FALSE),0)</f>
        <v>0</v>
      </c>
      <c r="S1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6" s="10" t="str">
        <f>VLOOKUP(Tabla3[[#This Row],[Razón social cliente factura]]&amp;Tabla3[[#This Row],[Desc. ciudad]],'Estandar de Rutas'!$C$1:$E$553,2,FALSE)</f>
        <v>5.1.A</v>
      </c>
      <c r="U1166" s="130">
        <f>IFERROR(VLOOKUP(Tabla3[[#This Row],[Referencia]]&amp;Tabla3[[#This Row],[Desc detalle ext 1]],Tabla1[[Referencia-Color]:[Disponibilidad]],3,FALSE),0)</f>
        <v>24</v>
      </c>
      <c r="V1166" s="13"/>
      <c r="W1166" s="17">
        <f>+Tabla3[[#This Row],[Cant. Programada]]*Tabla3[[#This Row],[Precio unit]]</f>
        <v>0</v>
      </c>
      <c r="X1166" s="8"/>
      <c r="Y1166" s="8"/>
      <c r="Z1166" s="8" t="str">
        <f>+Tabla3[[#This Row],[Referencia]]&amp;Tabla3[[#This Row],[Desc detalle ext 1]]</f>
        <v xml:space="preserve">*CB-110                                           GRIS MET </v>
      </c>
      <c r="AA1166" s="128" t="e">
        <f>+VLOOKUP(Tabla3[[#This Row],[CODIGO2]],ESTANDAR!$B$3:$C$9,2,FALSE)</f>
        <v>#N/A</v>
      </c>
      <c r="AB1166" s="128" t="str">
        <f>+MID(Tabla3[[#This Row],['# Viaje]],10,1)</f>
        <v/>
      </c>
    </row>
    <row r="1167" spans="1:28" ht="15" hidden="1" customHeight="1">
      <c r="A1167" s="173" t="s">
        <v>1692</v>
      </c>
      <c r="B1167" s="174">
        <v>42949</v>
      </c>
      <c r="C1167" s="173" t="s">
        <v>1231</v>
      </c>
      <c r="D1167" s="173" t="s">
        <v>1237</v>
      </c>
      <c r="E1167" s="173" t="s">
        <v>1232</v>
      </c>
      <c r="F1167" s="173">
        <v>1</v>
      </c>
      <c r="G1167" s="173" t="s">
        <v>9</v>
      </c>
      <c r="H1167" s="173">
        <v>1</v>
      </c>
      <c r="I1167" s="173" t="s">
        <v>1693</v>
      </c>
      <c r="J1167" s="173" t="s">
        <v>14</v>
      </c>
      <c r="K1167" s="173" t="s">
        <v>17</v>
      </c>
      <c r="L1167" s="173"/>
      <c r="M1167" s="173" t="s">
        <v>12</v>
      </c>
      <c r="N1167" s="173">
        <v>900129262</v>
      </c>
      <c r="O1167" s="175">
        <v>3360504</v>
      </c>
      <c r="P1167" s="7"/>
      <c r="Q1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7" s="9">
        <f>+IFERROR(VLOOKUP(Tabla3[[#This Row],[Cliente factura]],Tabla4[[NIT]:[TOTAL CREDITO]],6,FALSE),0)</f>
        <v>0</v>
      </c>
      <c r="S1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7" s="10" t="str">
        <f>VLOOKUP(Tabla3[[#This Row],[Razón social cliente factura]]&amp;Tabla3[[#This Row],[Desc. ciudad]],'Estandar de Rutas'!$C$1:$E$553,2,FALSE)</f>
        <v>5.1.A</v>
      </c>
      <c r="U1167" s="130">
        <f>IFERROR(VLOOKUP(Tabla3[[#This Row],[Referencia]]&amp;Tabla3[[#This Row],[Desc detalle ext 1]],Tabla1[[Referencia-Color]:[Disponibilidad]],3,FALSE),0)</f>
        <v>38</v>
      </c>
      <c r="V1167" s="13"/>
      <c r="W1167" s="17">
        <f>+Tabla3[[#This Row],[Cant. Programada]]*Tabla3[[#This Row],[Precio unit]]</f>
        <v>0</v>
      </c>
      <c r="X1167" s="8"/>
      <c r="Y1167" s="8"/>
      <c r="Z1167" s="8" t="str">
        <f>+Tabla3[[#This Row],[Referencia]]&amp;Tabla3[[#This Row],[Desc detalle ext 1]]</f>
        <v>*CB-110                                           ROJO SPOR</v>
      </c>
      <c r="AA1167" s="128" t="e">
        <f>+VLOOKUP(Tabla3[[#This Row],[CODIGO2]],ESTANDAR!$B$3:$C$9,2,FALSE)</f>
        <v>#N/A</v>
      </c>
      <c r="AB1167" s="128" t="str">
        <f>+MID(Tabla3[[#This Row],['# Viaje]],10,1)</f>
        <v/>
      </c>
    </row>
    <row r="1168" spans="1:28" ht="15" hidden="1" customHeight="1">
      <c r="A1168" s="173" t="s">
        <v>1692</v>
      </c>
      <c r="B1168" s="174">
        <v>42949</v>
      </c>
      <c r="C1168" s="173" t="s">
        <v>1231</v>
      </c>
      <c r="D1168" s="173" t="s">
        <v>1237</v>
      </c>
      <c r="E1168" s="173" t="s">
        <v>1232</v>
      </c>
      <c r="F1168" s="173">
        <v>3</v>
      </c>
      <c r="G1168" s="173" t="s">
        <v>9</v>
      </c>
      <c r="H1168" s="173">
        <v>3</v>
      </c>
      <c r="I1168" s="173" t="s">
        <v>1693</v>
      </c>
      <c r="J1168" s="173" t="s">
        <v>14</v>
      </c>
      <c r="K1168" s="173" t="s">
        <v>16</v>
      </c>
      <c r="L1168" s="173"/>
      <c r="M1168" s="173" t="s">
        <v>12</v>
      </c>
      <c r="N1168" s="173">
        <v>900129262</v>
      </c>
      <c r="O1168" s="175">
        <v>3360504</v>
      </c>
      <c r="P1168" s="7"/>
      <c r="Q1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8" s="9">
        <f>+IFERROR(VLOOKUP(Tabla3[[#This Row],[Cliente factura]],Tabla4[[NIT]:[TOTAL CREDITO]],6,FALSE),0)</f>
        <v>0</v>
      </c>
      <c r="S1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8" s="10" t="str">
        <f>VLOOKUP(Tabla3[[#This Row],[Razón social cliente factura]]&amp;Tabla3[[#This Row],[Desc. ciudad]],'Estandar de Rutas'!$C$1:$E$553,2,FALSE)</f>
        <v>5.1.A</v>
      </c>
      <c r="U1168" s="130">
        <f>IFERROR(VLOOKUP(Tabla3[[#This Row],[Referencia]]&amp;Tabla3[[#This Row],[Desc detalle ext 1]],Tabla1[[Referencia-Color]:[Disponibilidad]],3,FALSE),0)</f>
        <v>83</v>
      </c>
      <c r="V1168" s="13"/>
      <c r="W1168" s="17">
        <f>+Tabla3[[#This Row],[Cant. Programada]]*Tabla3[[#This Row],[Precio unit]]</f>
        <v>0</v>
      </c>
      <c r="X1168" s="8"/>
      <c r="Y1168" s="8"/>
      <c r="Z1168" s="8" t="str">
        <f>+Tabla3[[#This Row],[Referencia]]&amp;Tabla3[[#This Row],[Desc detalle ext 1]]</f>
        <v xml:space="preserve">*CB-110                                           NEGRO    </v>
      </c>
      <c r="AA1168" s="128" t="e">
        <f>+VLOOKUP(Tabla3[[#This Row],[CODIGO2]],ESTANDAR!$B$3:$C$9,2,FALSE)</f>
        <v>#N/A</v>
      </c>
      <c r="AB1168" s="128" t="str">
        <f>+MID(Tabla3[[#This Row],['# Viaje]],10,1)</f>
        <v/>
      </c>
    </row>
    <row r="1169" spans="1:28" ht="15" hidden="1" customHeight="1">
      <c r="A1169" s="173" t="s">
        <v>1692</v>
      </c>
      <c r="B1169" s="174">
        <v>42949</v>
      </c>
      <c r="C1169" s="173" t="s">
        <v>1231</v>
      </c>
      <c r="D1169" s="173" t="s">
        <v>1237</v>
      </c>
      <c r="E1169" s="173" t="s">
        <v>1232</v>
      </c>
      <c r="F1169" s="173">
        <v>1</v>
      </c>
      <c r="G1169" s="173" t="s">
        <v>9</v>
      </c>
      <c r="H1169" s="173">
        <v>1</v>
      </c>
      <c r="I1169" s="173" t="s">
        <v>1693</v>
      </c>
      <c r="J1169" s="173" t="s">
        <v>14</v>
      </c>
      <c r="K1169" s="173" t="s">
        <v>15</v>
      </c>
      <c r="L1169" s="173"/>
      <c r="M1169" s="173" t="s">
        <v>12</v>
      </c>
      <c r="N1169" s="173">
        <v>900129262</v>
      </c>
      <c r="O1169" s="175">
        <v>3360504</v>
      </c>
      <c r="P1169" s="7"/>
      <c r="Q1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9" s="9">
        <f>+IFERROR(VLOOKUP(Tabla3[[#This Row],[Cliente factura]],Tabla4[[NIT]:[TOTAL CREDITO]],6,FALSE),0)</f>
        <v>0</v>
      </c>
      <c r="S1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9" s="10" t="str">
        <f>VLOOKUP(Tabla3[[#This Row],[Razón social cliente factura]]&amp;Tabla3[[#This Row],[Desc. ciudad]],'Estandar de Rutas'!$C$1:$E$553,2,FALSE)</f>
        <v>5.1.A</v>
      </c>
      <c r="U1169" s="130">
        <f>IFERROR(VLOOKUP(Tabla3[[#This Row],[Referencia]]&amp;Tabla3[[#This Row],[Desc detalle ext 1]],Tabla1[[Referencia-Color]:[Disponibilidad]],3,FALSE),0)</f>
        <v>99</v>
      </c>
      <c r="V1169" s="13"/>
      <c r="W1169" s="17">
        <f>+Tabla3[[#This Row],[Cant. Programada]]*Tabla3[[#This Row],[Precio unit]]</f>
        <v>0</v>
      </c>
      <c r="X1169" s="8"/>
      <c r="Y1169" s="8"/>
      <c r="Z1169" s="8" t="str">
        <f>+Tabla3[[#This Row],[Referencia]]&amp;Tabla3[[#This Row],[Desc detalle ext 1]]</f>
        <v>*CB-110                                           AZUL FIJI</v>
      </c>
      <c r="AA1169" s="128" t="e">
        <f>+VLOOKUP(Tabla3[[#This Row],[CODIGO2]],ESTANDAR!$B$3:$C$9,2,FALSE)</f>
        <v>#N/A</v>
      </c>
      <c r="AB1169" s="128" t="str">
        <f>+MID(Tabla3[[#This Row],['# Viaje]],10,1)</f>
        <v/>
      </c>
    </row>
    <row r="1170" spans="1:28" ht="15" hidden="1" customHeight="1">
      <c r="A1170" s="173" t="s">
        <v>1692</v>
      </c>
      <c r="B1170" s="174">
        <v>42949</v>
      </c>
      <c r="C1170" s="173" t="s">
        <v>1231</v>
      </c>
      <c r="D1170" s="173" t="s">
        <v>1237</v>
      </c>
      <c r="E1170" s="173" t="s">
        <v>1232</v>
      </c>
      <c r="F1170" s="173">
        <v>2</v>
      </c>
      <c r="G1170" s="173" t="s">
        <v>9</v>
      </c>
      <c r="H1170" s="173">
        <v>2</v>
      </c>
      <c r="I1170" s="173" t="s">
        <v>1693</v>
      </c>
      <c r="J1170" s="173" t="s">
        <v>27</v>
      </c>
      <c r="K1170" s="173" t="s">
        <v>32</v>
      </c>
      <c r="L1170" s="173"/>
      <c r="M1170" s="173" t="s">
        <v>12</v>
      </c>
      <c r="N1170" s="173">
        <v>900129262</v>
      </c>
      <c r="O1170" s="175">
        <v>5789916</v>
      </c>
      <c r="P1170" s="7"/>
      <c r="Q1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0" s="9">
        <f>+IFERROR(VLOOKUP(Tabla3[[#This Row],[Cliente factura]],Tabla4[[NIT]:[TOTAL CREDITO]],6,FALSE),0)</f>
        <v>0</v>
      </c>
      <c r="S1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0" s="10" t="str">
        <f>VLOOKUP(Tabla3[[#This Row],[Razón social cliente factura]]&amp;Tabla3[[#This Row],[Desc. ciudad]],'Estandar de Rutas'!$C$1:$E$553,2,FALSE)</f>
        <v>5.1.A</v>
      </c>
      <c r="U1170" s="130">
        <f>IFERROR(VLOOKUP(Tabla3[[#This Row],[Referencia]]&amp;Tabla3[[#This Row],[Desc detalle ext 1]],Tabla1[[Referencia-Color]:[Disponibilidad]],3,FALSE),0)</f>
        <v>7</v>
      </c>
      <c r="V1170" s="13"/>
      <c r="W1170" s="17">
        <f>+Tabla3[[#This Row],[Cant. Programada]]*Tabla3[[#This Row],[Precio unit]]</f>
        <v>0</v>
      </c>
      <c r="X1170" s="8"/>
      <c r="Y1170" s="8"/>
      <c r="Z1170" s="8" t="str">
        <f>+Tabla3[[#This Row],[Referencia]]&amp;Tabla3[[#This Row],[Desc detalle ext 1]]</f>
        <v>*XR 150L                                          NEGRO ROJ</v>
      </c>
      <c r="AA1170" s="128" t="e">
        <f>+VLOOKUP(Tabla3[[#This Row],[CODIGO2]],ESTANDAR!$B$3:$C$9,2,FALSE)</f>
        <v>#N/A</v>
      </c>
      <c r="AB1170" s="128" t="str">
        <f>+MID(Tabla3[[#This Row],['# Viaje]],10,1)</f>
        <v/>
      </c>
    </row>
    <row r="1171" spans="1:28" ht="15" hidden="1" customHeight="1">
      <c r="A1171" s="173" t="s">
        <v>1692</v>
      </c>
      <c r="B1171" s="174">
        <v>42949</v>
      </c>
      <c r="C1171" s="173" t="s">
        <v>1231</v>
      </c>
      <c r="D1171" s="173" t="s">
        <v>1237</v>
      </c>
      <c r="E1171" s="173" t="s">
        <v>1232</v>
      </c>
      <c r="F1171" s="173">
        <v>1</v>
      </c>
      <c r="G1171" s="173" t="s">
        <v>9</v>
      </c>
      <c r="H1171" s="173">
        <v>1</v>
      </c>
      <c r="I1171" s="173" t="s">
        <v>1693</v>
      </c>
      <c r="J1171" s="173" t="s">
        <v>27</v>
      </c>
      <c r="K1171" s="173" t="s">
        <v>26</v>
      </c>
      <c r="L1171" s="173"/>
      <c r="M1171" s="173" t="s">
        <v>12</v>
      </c>
      <c r="N1171" s="173">
        <v>900129262</v>
      </c>
      <c r="O1171" s="175">
        <v>5789916</v>
      </c>
      <c r="P1171" s="7"/>
      <c r="Q1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1" s="9">
        <f>+IFERROR(VLOOKUP(Tabla3[[#This Row],[Cliente factura]],Tabla4[[NIT]:[TOTAL CREDITO]],6,FALSE),0)</f>
        <v>0</v>
      </c>
      <c r="S1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1" s="10" t="str">
        <f>VLOOKUP(Tabla3[[#This Row],[Razón social cliente factura]]&amp;Tabla3[[#This Row],[Desc. ciudad]],'Estandar de Rutas'!$C$1:$E$553,2,FALSE)</f>
        <v>5.1.A</v>
      </c>
      <c r="U1171" s="130">
        <f>IFERROR(VLOOKUP(Tabla3[[#This Row],[Referencia]]&amp;Tabla3[[#This Row],[Desc detalle ext 1]],Tabla1[[Referencia-Color]:[Disponibilidad]],3,FALSE),0)</f>
        <v>59</v>
      </c>
      <c r="V1171" s="13"/>
      <c r="W1171" s="17">
        <f>+Tabla3[[#This Row],[Cant. Programada]]*Tabla3[[#This Row],[Precio unit]]</f>
        <v>0</v>
      </c>
      <c r="X1171" s="8"/>
      <c r="Y1171" s="8"/>
      <c r="Z1171" s="8" t="str">
        <f>+Tabla3[[#This Row],[Referencia]]&amp;Tabla3[[#This Row],[Desc detalle ext 1]]</f>
        <v>*XR 150L                                          NEGRO BLA</v>
      </c>
      <c r="AA1171" s="128" t="e">
        <f>+VLOOKUP(Tabla3[[#This Row],[CODIGO2]],ESTANDAR!$B$3:$C$9,2,FALSE)</f>
        <v>#N/A</v>
      </c>
      <c r="AB1171" s="128" t="str">
        <f>+MID(Tabla3[[#This Row],['# Viaje]],10,1)</f>
        <v/>
      </c>
    </row>
    <row r="1172" spans="1:28" ht="15" hidden="1" customHeight="1">
      <c r="A1172" s="173" t="s">
        <v>1692</v>
      </c>
      <c r="B1172" s="174">
        <v>42949</v>
      </c>
      <c r="C1172" s="173" t="s">
        <v>1231</v>
      </c>
      <c r="D1172" s="173" t="s">
        <v>1237</v>
      </c>
      <c r="E1172" s="173" t="s">
        <v>1232</v>
      </c>
      <c r="F1172" s="173">
        <v>2</v>
      </c>
      <c r="G1172" s="173" t="s">
        <v>9</v>
      </c>
      <c r="H1172" s="173">
        <v>2</v>
      </c>
      <c r="I1172" s="173" t="s">
        <v>1693</v>
      </c>
      <c r="J1172" s="173" t="s">
        <v>27</v>
      </c>
      <c r="K1172" s="173" t="s">
        <v>16</v>
      </c>
      <c r="L1172" s="173"/>
      <c r="M1172" s="173" t="s">
        <v>12</v>
      </c>
      <c r="N1172" s="173">
        <v>900129262</v>
      </c>
      <c r="O1172" s="175">
        <v>5789916</v>
      </c>
      <c r="P1172" s="7"/>
      <c r="Q1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2" s="9">
        <f>+IFERROR(VLOOKUP(Tabla3[[#This Row],[Cliente factura]],Tabla4[[NIT]:[TOTAL CREDITO]],6,FALSE),0)</f>
        <v>0</v>
      </c>
      <c r="S1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2" s="10" t="str">
        <f>VLOOKUP(Tabla3[[#This Row],[Razón social cliente factura]]&amp;Tabla3[[#This Row],[Desc. ciudad]],'Estandar de Rutas'!$C$1:$E$553,2,FALSE)</f>
        <v>5.1.A</v>
      </c>
      <c r="U1172" s="130">
        <f>IFERROR(VLOOKUP(Tabla3[[#This Row],[Referencia]]&amp;Tabla3[[#This Row],[Desc detalle ext 1]],Tabla1[[Referencia-Color]:[Disponibilidad]],3,FALSE),0)</f>
        <v>3</v>
      </c>
      <c r="V1172" s="13"/>
      <c r="W1172" s="17">
        <f>+Tabla3[[#This Row],[Cant. Programada]]*Tabla3[[#This Row],[Precio unit]]</f>
        <v>0</v>
      </c>
      <c r="X1172" s="8"/>
      <c r="Y1172" s="8"/>
      <c r="Z1172" s="8" t="str">
        <f>+Tabla3[[#This Row],[Referencia]]&amp;Tabla3[[#This Row],[Desc detalle ext 1]]</f>
        <v xml:space="preserve">*XR 150L                                          NEGRO    </v>
      </c>
      <c r="AA1172" s="128" t="e">
        <f>+VLOOKUP(Tabla3[[#This Row],[CODIGO2]],ESTANDAR!$B$3:$C$9,2,FALSE)</f>
        <v>#N/A</v>
      </c>
      <c r="AB1172" s="128" t="str">
        <f>+MID(Tabla3[[#This Row],['# Viaje]],10,1)</f>
        <v/>
      </c>
    </row>
    <row r="1173" spans="1:28" ht="15" hidden="1" customHeight="1">
      <c r="A1173" s="173" t="s">
        <v>1692</v>
      </c>
      <c r="B1173" s="174">
        <v>42949</v>
      </c>
      <c r="C1173" s="173" t="s">
        <v>1231</v>
      </c>
      <c r="D1173" s="173" t="s">
        <v>1237</v>
      </c>
      <c r="E1173" s="173" t="s">
        <v>1232</v>
      </c>
      <c r="F1173" s="173">
        <v>1</v>
      </c>
      <c r="G1173" s="173" t="s">
        <v>9</v>
      </c>
      <c r="H1173" s="173">
        <v>1</v>
      </c>
      <c r="I1173" s="173" t="s">
        <v>1693</v>
      </c>
      <c r="J1173" s="173" t="s">
        <v>354</v>
      </c>
      <c r="K1173" s="173" t="s">
        <v>474</v>
      </c>
      <c r="L1173" s="173"/>
      <c r="M1173" s="173" t="s">
        <v>12</v>
      </c>
      <c r="N1173" s="173">
        <v>900129262</v>
      </c>
      <c r="O1173" s="175">
        <v>6133613</v>
      </c>
      <c r="P1173" s="7"/>
      <c r="Q1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3" s="9">
        <f>+IFERROR(VLOOKUP(Tabla3[[#This Row],[Cliente factura]],Tabla4[[NIT]:[TOTAL CREDITO]],6,FALSE),0)</f>
        <v>0</v>
      </c>
      <c r="S1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3" s="10" t="str">
        <f>VLOOKUP(Tabla3[[#This Row],[Razón social cliente factura]]&amp;Tabla3[[#This Row],[Desc. ciudad]],'Estandar de Rutas'!$C$1:$E$553,2,FALSE)</f>
        <v>5.1.A</v>
      </c>
      <c r="U1173" s="130">
        <f>IFERROR(VLOOKUP(Tabla3[[#This Row],[Referencia]]&amp;Tabla3[[#This Row],[Desc detalle ext 1]],Tabla1[[Referencia-Color]:[Disponibilidad]],3,FALSE),0)</f>
        <v>3</v>
      </c>
      <c r="V1173" s="13"/>
      <c r="W1173" s="17">
        <f>+Tabla3[[#This Row],[Cant. Programada]]*Tabla3[[#This Row],[Precio unit]]</f>
        <v>0</v>
      </c>
      <c r="X1173" s="8"/>
      <c r="Y1173" s="8"/>
      <c r="Z1173" s="8" t="str">
        <f>+Tabla3[[#This Row],[Referencia]]&amp;Tabla3[[#This Row],[Desc detalle ext 1]]</f>
        <v>CB 160F DLX                                       NARANJA N</v>
      </c>
      <c r="AA1173" s="128" t="e">
        <f>+VLOOKUP(Tabla3[[#This Row],[CODIGO2]],ESTANDAR!$B$3:$C$9,2,FALSE)</f>
        <v>#N/A</v>
      </c>
      <c r="AB1173" s="128" t="str">
        <f>+MID(Tabla3[[#This Row],['# Viaje]],10,1)</f>
        <v/>
      </c>
    </row>
    <row r="1174" spans="1:28" ht="15" hidden="1" customHeight="1">
      <c r="A1174" s="173" t="s">
        <v>1692</v>
      </c>
      <c r="B1174" s="174">
        <v>42949</v>
      </c>
      <c r="C1174" s="173" t="s">
        <v>1231</v>
      </c>
      <c r="D1174" s="173" t="s">
        <v>1237</v>
      </c>
      <c r="E1174" s="173" t="s">
        <v>1232</v>
      </c>
      <c r="F1174" s="173">
        <v>1</v>
      </c>
      <c r="G1174" s="173" t="s">
        <v>9</v>
      </c>
      <c r="H1174" s="173">
        <v>1</v>
      </c>
      <c r="I1174" s="173" t="s">
        <v>1693</v>
      </c>
      <c r="J1174" s="173" t="s">
        <v>354</v>
      </c>
      <c r="K1174" s="173" t="s">
        <v>355</v>
      </c>
      <c r="L1174" s="173"/>
      <c r="M1174" s="173" t="s">
        <v>12</v>
      </c>
      <c r="N1174" s="173">
        <v>900129262</v>
      </c>
      <c r="O1174" s="175">
        <v>6133613</v>
      </c>
      <c r="P1174" s="7"/>
      <c r="Q1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4" s="9">
        <f>+IFERROR(VLOOKUP(Tabla3[[#This Row],[Cliente factura]],Tabla4[[NIT]:[TOTAL CREDITO]],6,FALSE),0)</f>
        <v>0</v>
      </c>
      <c r="S1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4" s="10" t="str">
        <f>VLOOKUP(Tabla3[[#This Row],[Razón social cliente factura]]&amp;Tabla3[[#This Row],[Desc. ciudad]],'Estandar de Rutas'!$C$1:$E$553,2,FALSE)</f>
        <v>5.1.A</v>
      </c>
      <c r="U1174" s="130">
        <f>IFERROR(VLOOKUP(Tabla3[[#This Row],[Referencia]]&amp;Tabla3[[#This Row],[Desc detalle ext 1]],Tabla1[[Referencia-Color]:[Disponibilidad]],3,FALSE),0)</f>
        <v>0</v>
      </c>
      <c r="V1174" s="13"/>
      <c r="W1174" s="17">
        <f>+Tabla3[[#This Row],[Cant. Programada]]*Tabla3[[#This Row],[Precio unit]]</f>
        <v>0</v>
      </c>
      <c r="X1174" s="8"/>
      <c r="Y1174" s="8"/>
      <c r="Z1174" s="8" t="str">
        <f>+Tabla3[[#This Row],[Referencia]]&amp;Tabla3[[#This Row],[Desc detalle ext 1]]</f>
        <v>CB 160F DLX                                       NEGRO PER</v>
      </c>
      <c r="AA1174" s="128" t="e">
        <f>+VLOOKUP(Tabla3[[#This Row],[CODIGO2]],ESTANDAR!$B$3:$C$9,2,FALSE)</f>
        <v>#N/A</v>
      </c>
      <c r="AB1174" s="128" t="str">
        <f>+MID(Tabla3[[#This Row],['# Viaje]],10,1)</f>
        <v/>
      </c>
    </row>
    <row r="1175" spans="1:28" ht="15" hidden="1" customHeight="1">
      <c r="A1175" s="173" t="s">
        <v>1692</v>
      </c>
      <c r="B1175" s="174">
        <v>42949</v>
      </c>
      <c r="C1175" s="173" t="s">
        <v>1231</v>
      </c>
      <c r="D1175" s="173" t="s">
        <v>1237</v>
      </c>
      <c r="E1175" s="173" t="s">
        <v>1232</v>
      </c>
      <c r="F1175" s="173">
        <v>1</v>
      </c>
      <c r="G1175" s="173" t="s">
        <v>9</v>
      </c>
      <c r="H1175" s="173">
        <v>1</v>
      </c>
      <c r="I1175" s="173" t="s">
        <v>1693</v>
      </c>
      <c r="J1175" s="173" t="s">
        <v>1428</v>
      </c>
      <c r="K1175" s="173" t="s">
        <v>1429</v>
      </c>
      <c r="L1175" s="173"/>
      <c r="M1175" s="173" t="s">
        <v>12</v>
      </c>
      <c r="N1175" s="173">
        <v>900129262</v>
      </c>
      <c r="O1175" s="175">
        <v>3067227</v>
      </c>
      <c r="P1175" s="7"/>
      <c r="Q1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5" s="9">
        <f>+IFERROR(VLOOKUP(Tabla3[[#This Row],[Cliente factura]],Tabla4[[NIT]:[TOTAL CREDITO]],6,FALSE),0)</f>
        <v>0</v>
      </c>
      <c r="S1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5" s="10" t="str">
        <f>VLOOKUP(Tabla3[[#This Row],[Razón social cliente factura]]&amp;Tabla3[[#This Row],[Desc. ciudad]],'Estandar de Rutas'!$C$1:$E$553,2,FALSE)</f>
        <v>5.1.A</v>
      </c>
      <c r="U1175" s="130">
        <f>IFERROR(VLOOKUP(Tabla3[[#This Row],[Referencia]]&amp;Tabla3[[#This Row],[Desc detalle ext 1]],Tabla1[[Referencia-Color]:[Disponibilidad]],3,FALSE),0)</f>
        <v>0</v>
      </c>
      <c r="V1175" s="13"/>
      <c r="W1175" s="17">
        <f>+Tabla3[[#This Row],[Cant. Programada]]*Tabla3[[#This Row],[Precio unit]]</f>
        <v>0</v>
      </c>
      <c r="X1175" s="8"/>
      <c r="Y1175" s="8"/>
      <c r="Z1175" s="8" t="str">
        <f>+Tabla3[[#This Row],[Referencia]]&amp;Tabla3[[#This Row],[Desc detalle ext 1]]</f>
        <v>DREAM  NEO                                        NEGRO AZU</v>
      </c>
      <c r="AA1175" s="128" t="e">
        <f>+VLOOKUP(Tabla3[[#This Row],[CODIGO2]],ESTANDAR!$B$3:$C$9,2,FALSE)</f>
        <v>#N/A</v>
      </c>
      <c r="AB1175" s="128" t="str">
        <f>+MID(Tabla3[[#This Row],['# Viaje]],10,1)</f>
        <v/>
      </c>
    </row>
    <row r="1176" spans="1:28" ht="15" hidden="1" customHeight="1">
      <c r="A1176" s="173" t="s">
        <v>1692</v>
      </c>
      <c r="B1176" s="174">
        <v>42949</v>
      </c>
      <c r="C1176" s="173" t="s">
        <v>1231</v>
      </c>
      <c r="D1176" s="173" t="s">
        <v>1237</v>
      </c>
      <c r="E1176" s="173" t="s">
        <v>1232</v>
      </c>
      <c r="F1176" s="173">
        <v>1</v>
      </c>
      <c r="G1176" s="173" t="s">
        <v>9</v>
      </c>
      <c r="H1176" s="173">
        <v>1</v>
      </c>
      <c r="I1176" s="173" t="s">
        <v>1693</v>
      </c>
      <c r="J1176" s="173" t="s">
        <v>1430</v>
      </c>
      <c r="K1176" s="173" t="s">
        <v>1431</v>
      </c>
      <c r="L1176" s="173"/>
      <c r="M1176" s="173" t="s">
        <v>12</v>
      </c>
      <c r="N1176" s="173">
        <v>900129262</v>
      </c>
      <c r="O1176" s="175">
        <v>3941176</v>
      </c>
      <c r="P1176" s="7"/>
      <c r="Q1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6" s="9">
        <f>+IFERROR(VLOOKUP(Tabla3[[#This Row],[Cliente factura]],Tabla4[[NIT]:[TOTAL CREDITO]],6,FALSE),0)</f>
        <v>0</v>
      </c>
      <c r="S1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6" s="10" t="str">
        <f>VLOOKUP(Tabla3[[#This Row],[Razón social cliente factura]]&amp;Tabla3[[#This Row],[Desc. ciudad]],'Estandar de Rutas'!$C$1:$E$553,2,FALSE)</f>
        <v>5.1.A</v>
      </c>
      <c r="U1176" s="130">
        <f>IFERROR(VLOOKUP(Tabla3[[#This Row],[Referencia]]&amp;Tabla3[[#This Row],[Desc detalle ext 1]],Tabla1[[Referencia-Color]:[Disponibilidad]],3,FALSE),0)</f>
        <v>0</v>
      </c>
      <c r="V1176" s="13"/>
      <c r="W1176" s="17">
        <f>+Tabla3[[#This Row],[Cant. Programada]]*Tabla3[[#This Row],[Precio unit]]</f>
        <v>0</v>
      </c>
      <c r="X1176" s="8"/>
      <c r="Y1176" s="8"/>
      <c r="Z1176" s="8" t="str">
        <f>+Tabla3[[#This Row],[Referencia]]&amp;Tabla3[[#This Row],[Desc detalle ext 1]]</f>
        <v xml:space="preserve">WAVE 110S                                         ROJO     </v>
      </c>
      <c r="AA1176" s="128" t="e">
        <f>+VLOOKUP(Tabla3[[#This Row],[CODIGO2]],ESTANDAR!$B$3:$C$9,2,FALSE)</f>
        <v>#N/A</v>
      </c>
      <c r="AB1176" s="128" t="str">
        <f>+MID(Tabla3[[#This Row],['# Viaje]],10,1)</f>
        <v/>
      </c>
    </row>
    <row r="1177" spans="1:28" ht="15" hidden="1" customHeight="1">
      <c r="A1177" s="173" t="s">
        <v>1692</v>
      </c>
      <c r="B1177" s="174">
        <v>42949</v>
      </c>
      <c r="C1177" s="173" t="s">
        <v>1231</v>
      </c>
      <c r="D1177" s="173" t="s">
        <v>1237</v>
      </c>
      <c r="E1177" s="173" t="s">
        <v>1232</v>
      </c>
      <c r="F1177" s="173">
        <v>1</v>
      </c>
      <c r="G1177" s="173" t="s">
        <v>9</v>
      </c>
      <c r="H1177" s="173">
        <v>1</v>
      </c>
      <c r="I1177" s="173" t="s">
        <v>1693</v>
      </c>
      <c r="J1177" s="173" t="s">
        <v>1234</v>
      </c>
      <c r="K1177" s="173" t="s">
        <v>17</v>
      </c>
      <c r="L1177" s="173"/>
      <c r="M1177" s="173" t="s">
        <v>12</v>
      </c>
      <c r="N1177" s="173">
        <v>900129262</v>
      </c>
      <c r="O1177" s="175">
        <v>5453782</v>
      </c>
      <c r="P1177" s="7"/>
      <c r="Q1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7" s="9">
        <f>+IFERROR(VLOOKUP(Tabla3[[#This Row],[Cliente factura]],Tabla4[[NIT]:[TOTAL CREDITO]],6,FALSE),0)</f>
        <v>0</v>
      </c>
      <c r="S1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7" s="10" t="str">
        <f>VLOOKUP(Tabla3[[#This Row],[Razón social cliente factura]]&amp;Tabla3[[#This Row],[Desc. ciudad]],'Estandar de Rutas'!$C$1:$E$553,2,FALSE)</f>
        <v>5.1.A</v>
      </c>
      <c r="U1177" s="130">
        <f>IFERROR(VLOOKUP(Tabla3[[#This Row],[Referencia]]&amp;Tabla3[[#This Row],[Desc detalle ext 1]],Tabla1[[Referencia-Color]:[Disponibilidad]],3,FALSE),0)</f>
        <v>0</v>
      </c>
      <c r="V1177" s="13"/>
      <c r="W1177" s="17">
        <f>+Tabla3[[#This Row],[Cant. Programada]]*Tabla3[[#This Row],[Precio unit]]</f>
        <v>0</v>
      </c>
      <c r="X1177" s="8"/>
      <c r="Y1177" s="8"/>
      <c r="Z1177" s="8" t="str">
        <f>+Tabla3[[#This Row],[Referencia]]&amp;Tabla3[[#This Row],[Desc detalle ext 1]]</f>
        <v>CB 160F STD                                       ROJO SPOR</v>
      </c>
      <c r="AA1177" s="128" t="e">
        <f>+VLOOKUP(Tabla3[[#This Row],[CODIGO2]],ESTANDAR!$B$3:$C$9,2,FALSE)</f>
        <v>#N/A</v>
      </c>
      <c r="AB1177" s="128" t="str">
        <f>+MID(Tabla3[[#This Row],['# Viaje]],10,1)</f>
        <v/>
      </c>
    </row>
    <row r="1178" spans="1:28" ht="15" hidden="1" customHeight="1">
      <c r="A1178" s="173" t="s">
        <v>1692</v>
      </c>
      <c r="B1178" s="174">
        <v>42949</v>
      </c>
      <c r="C1178" s="173" t="s">
        <v>1231</v>
      </c>
      <c r="D1178" s="173" t="s">
        <v>1237</v>
      </c>
      <c r="E1178" s="173" t="s">
        <v>1232</v>
      </c>
      <c r="F1178" s="173">
        <v>1</v>
      </c>
      <c r="G1178" s="173" t="s">
        <v>9</v>
      </c>
      <c r="H1178" s="173">
        <v>1</v>
      </c>
      <c r="I1178" s="173" t="s">
        <v>1693</v>
      </c>
      <c r="J1178" s="173" t="s">
        <v>1234</v>
      </c>
      <c r="K1178" s="173" t="s">
        <v>355</v>
      </c>
      <c r="L1178" s="173"/>
      <c r="M1178" s="173" t="s">
        <v>12</v>
      </c>
      <c r="N1178" s="173">
        <v>900129262</v>
      </c>
      <c r="O1178" s="175">
        <v>5453782</v>
      </c>
      <c r="P1178" s="7"/>
      <c r="Q1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8" s="9">
        <f>+IFERROR(VLOOKUP(Tabla3[[#This Row],[Cliente factura]],Tabla4[[NIT]:[TOTAL CREDITO]],6,FALSE),0)</f>
        <v>0</v>
      </c>
      <c r="S1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8" s="10" t="str">
        <f>VLOOKUP(Tabla3[[#This Row],[Razón social cliente factura]]&amp;Tabla3[[#This Row],[Desc. ciudad]],'Estandar de Rutas'!$C$1:$E$553,2,FALSE)</f>
        <v>5.1.A</v>
      </c>
      <c r="U1178" s="130">
        <f>IFERROR(VLOOKUP(Tabla3[[#This Row],[Referencia]]&amp;Tabla3[[#This Row],[Desc detalle ext 1]],Tabla1[[Referencia-Color]:[Disponibilidad]],3,FALSE),0)</f>
        <v>0</v>
      </c>
      <c r="V1178" s="13"/>
      <c r="W1178" s="17">
        <f>+Tabla3[[#This Row],[Cant. Programada]]*Tabla3[[#This Row],[Precio unit]]</f>
        <v>0</v>
      </c>
      <c r="X1178" s="8"/>
      <c r="Y1178" s="8"/>
      <c r="Z1178" s="8" t="str">
        <f>+Tabla3[[#This Row],[Referencia]]&amp;Tabla3[[#This Row],[Desc detalle ext 1]]</f>
        <v>CB 160F STD                                       NEGRO PER</v>
      </c>
      <c r="AA1178" s="128" t="e">
        <f>+VLOOKUP(Tabla3[[#This Row],[CODIGO2]],ESTANDAR!$B$3:$C$9,2,FALSE)</f>
        <v>#N/A</v>
      </c>
      <c r="AB1178" s="128" t="str">
        <f>+MID(Tabla3[[#This Row],['# Viaje]],10,1)</f>
        <v/>
      </c>
    </row>
    <row r="1179" spans="1:28" ht="15" hidden="1" customHeight="1">
      <c r="A1179" s="173" t="s">
        <v>1692</v>
      </c>
      <c r="B1179" s="174">
        <v>42949</v>
      </c>
      <c r="C1179" s="173" t="s">
        <v>1231</v>
      </c>
      <c r="D1179" s="173" t="s">
        <v>1237</v>
      </c>
      <c r="E1179" s="173" t="s">
        <v>1232</v>
      </c>
      <c r="F1179" s="173">
        <v>2</v>
      </c>
      <c r="G1179" s="173" t="s">
        <v>9</v>
      </c>
      <c r="H1179" s="173">
        <v>2</v>
      </c>
      <c r="I1179" s="173" t="s">
        <v>1693</v>
      </c>
      <c r="J1179" s="173" t="s">
        <v>1451</v>
      </c>
      <c r="K1179" s="173" t="s">
        <v>1449</v>
      </c>
      <c r="L1179" s="173"/>
      <c r="M1179" s="173" t="s">
        <v>12</v>
      </c>
      <c r="N1179" s="173">
        <v>900129262</v>
      </c>
      <c r="O1179" s="175">
        <v>3696639</v>
      </c>
      <c r="P1179" s="7"/>
      <c r="Q1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9" s="9">
        <f>+IFERROR(VLOOKUP(Tabla3[[#This Row],[Cliente factura]],Tabla4[[NIT]:[TOTAL CREDITO]],6,FALSE),0)</f>
        <v>0</v>
      </c>
      <c r="S1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9" s="10" t="str">
        <f>VLOOKUP(Tabla3[[#This Row],[Razón social cliente factura]]&amp;Tabla3[[#This Row],[Desc. ciudad]],'Estandar de Rutas'!$C$1:$E$553,2,FALSE)</f>
        <v>5.1.A</v>
      </c>
      <c r="U1179" s="130">
        <f>IFERROR(VLOOKUP(Tabla3[[#This Row],[Referencia]]&amp;Tabla3[[#This Row],[Desc detalle ext 1]],Tabla1[[Referencia-Color]:[Disponibilidad]],3,FALSE),0)</f>
        <v>24</v>
      </c>
      <c r="V1179" s="13"/>
      <c r="W1179" s="17">
        <f>+Tabla3[[#This Row],[Cant. Programada]]*Tabla3[[#This Row],[Precio unit]]</f>
        <v>0</v>
      </c>
      <c r="X1179" s="8"/>
      <c r="Y1179" s="8"/>
      <c r="Z1179" s="8" t="str">
        <f>+Tabla3[[#This Row],[Referencia]]&amp;Tabla3[[#This Row],[Desc detalle ext 1]]</f>
        <v xml:space="preserve">CB 110 DLX                                        GRIS     </v>
      </c>
      <c r="AA1179" s="128" t="e">
        <f>+VLOOKUP(Tabla3[[#This Row],[CODIGO2]],ESTANDAR!$B$3:$C$9,2,FALSE)</f>
        <v>#N/A</v>
      </c>
      <c r="AB1179" s="128" t="str">
        <f>+MID(Tabla3[[#This Row],['# Viaje]],10,1)</f>
        <v/>
      </c>
    </row>
    <row r="1180" spans="1:28" ht="15" hidden="1" customHeight="1">
      <c r="A1180" s="173" t="s">
        <v>1692</v>
      </c>
      <c r="B1180" s="174">
        <v>42949</v>
      </c>
      <c r="C1180" s="173" t="s">
        <v>1231</v>
      </c>
      <c r="D1180" s="173" t="s">
        <v>1237</v>
      </c>
      <c r="E1180" s="173" t="s">
        <v>1232</v>
      </c>
      <c r="F1180" s="173">
        <v>2</v>
      </c>
      <c r="G1180" s="173" t="s">
        <v>9</v>
      </c>
      <c r="H1180" s="173">
        <v>2</v>
      </c>
      <c r="I1180" s="173" t="s">
        <v>1693</v>
      </c>
      <c r="J1180" s="173" t="s">
        <v>1451</v>
      </c>
      <c r="K1180" s="173" t="s">
        <v>1431</v>
      </c>
      <c r="L1180" s="173"/>
      <c r="M1180" s="173" t="s">
        <v>12</v>
      </c>
      <c r="N1180" s="173">
        <v>900129262</v>
      </c>
      <c r="O1180" s="175">
        <v>3696639</v>
      </c>
      <c r="P1180" s="7"/>
      <c r="Q1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0" s="9">
        <f>+IFERROR(VLOOKUP(Tabla3[[#This Row],[Cliente factura]],Tabla4[[NIT]:[TOTAL CREDITO]],6,FALSE),0)</f>
        <v>0</v>
      </c>
      <c r="S1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0" s="10" t="str">
        <f>VLOOKUP(Tabla3[[#This Row],[Razón social cliente factura]]&amp;Tabla3[[#This Row],[Desc. ciudad]],'Estandar de Rutas'!$C$1:$E$553,2,FALSE)</f>
        <v>5.1.A</v>
      </c>
      <c r="U1180" s="130">
        <f>IFERROR(VLOOKUP(Tabla3[[#This Row],[Referencia]]&amp;Tabla3[[#This Row],[Desc detalle ext 1]],Tabla1[[Referencia-Color]:[Disponibilidad]],3,FALSE),0)</f>
        <v>21</v>
      </c>
      <c r="V1180" s="13"/>
      <c r="W1180" s="17">
        <f>+Tabla3[[#This Row],[Cant. Programada]]*Tabla3[[#This Row],[Precio unit]]</f>
        <v>0</v>
      </c>
      <c r="X1180" s="130"/>
      <c r="Y1180" s="129"/>
      <c r="Z1180" s="8" t="str">
        <f>+Tabla3[[#This Row],[Referencia]]&amp;Tabla3[[#This Row],[Desc detalle ext 1]]</f>
        <v xml:space="preserve">CB 110 DLX                                        ROJO     </v>
      </c>
      <c r="AA1180" s="128" t="e">
        <f>+VLOOKUP(Tabla3[[#This Row],[CODIGO2]],ESTANDAR!$B$3:$C$9,2,FALSE)</f>
        <v>#N/A</v>
      </c>
      <c r="AB1180" s="128" t="str">
        <f>+MID(Tabla3[[#This Row],['# Viaje]],10,1)</f>
        <v/>
      </c>
    </row>
    <row r="1181" spans="1:28" ht="15" hidden="1" customHeight="1">
      <c r="A1181" s="173" t="s">
        <v>1692</v>
      </c>
      <c r="B1181" s="174">
        <v>42949</v>
      </c>
      <c r="C1181" s="173" t="s">
        <v>1231</v>
      </c>
      <c r="D1181" s="173" t="s">
        <v>1237</v>
      </c>
      <c r="E1181" s="173" t="s">
        <v>1232</v>
      </c>
      <c r="F1181" s="173">
        <v>3</v>
      </c>
      <c r="G1181" s="173" t="s">
        <v>9</v>
      </c>
      <c r="H1181" s="173">
        <v>3</v>
      </c>
      <c r="I1181" s="173" t="s">
        <v>1693</v>
      </c>
      <c r="J1181" s="173" t="s">
        <v>1451</v>
      </c>
      <c r="K1181" s="173" t="s">
        <v>1452</v>
      </c>
      <c r="L1181" s="173"/>
      <c r="M1181" s="173" t="s">
        <v>12</v>
      </c>
      <c r="N1181" s="173">
        <v>900129262</v>
      </c>
      <c r="O1181" s="175">
        <v>3696639</v>
      </c>
      <c r="P1181" s="7"/>
      <c r="Q1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1" s="9">
        <f>+IFERROR(VLOOKUP(Tabla3[[#This Row],[Cliente factura]],Tabla4[[NIT]:[TOTAL CREDITO]],6,FALSE),0)</f>
        <v>0</v>
      </c>
      <c r="S1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1" s="10" t="str">
        <f>VLOOKUP(Tabla3[[#This Row],[Razón social cliente factura]]&amp;Tabla3[[#This Row],[Desc. ciudad]],'Estandar de Rutas'!$C$1:$E$553,2,FALSE)</f>
        <v>5.1.A</v>
      </c>
      <c r="U1181" s="130">
        <f>IFERROR(VLOOKUP(Tabla3[[#This Row],[Referencia]]&amp;Tabla3[[#This Row],[Desc detalle ext 1]],Tabla1[[Referencia-Color]:[Disponibilidad]],3,FALSE),0)</f>
        <v>21</v>
      </c>
      <c r="V1181" s="13"/>
      <c r="W1181" s="17">
        <f>+Tabla3[[#This Row],[Cant. Programada]]*Tabla3[[#This Row],[Precio unit]]</f>
        <v>0</v>
      </c>
      <c r="X1181" s="8"/>
      <c r="Y1181" s="8"/>
      <c r="Z1181" s="8" t="str">
        <f>+Tabla3[[#This Row],[Referencia]]&amp;Tabla3[[#This Row],[Desc detalle ext 1]]</f>
        <v xml:space="preserve">CB 110 DLX                                        AZUL     </v>
      </c>
      <c r="AA1181" s="128" t="e">
        <f>+VLOOKUP(Tabla3[[#This Row],[CODIGO2]],ESTANDAR!$B$3:$C$9,2,FALSE)</f>
        <v>#N/A</v>
      </c>
      <c r="AB1181" s="128" t="str">
        <f>+MID(Tabla3[[#This Row],['# Viaje]],10,1)</f>
        <v/>
      </c>
    </row>
    <row r="1182" spans="1:28" ht="15" hidden="1" customHeight="1">
      <c r="A1182" s="173" t="s">
        <v>1692</v>
      </c>
      <c r="B1182" s="174">
        <v>42949</v>
      </c>
      <c r="C1182" s="173" t="s">
        <v>1231</v>
      </c>
      <c r="D1182" s="173" t="s">
        <v>1237</v>
      </c>
      <c r="E1182" s="173" t="s">
        <v>1232</v>
      </c>
      <c r="F1182" s="173">
        <v>5</v>
      </c>
      <c r="G1182" s="173" t="s">
        <v>9</v>
      </c>
      <c r="H1182" s="173">
        <v>5</v>
      </c>
      <c r="I1182" s="173" t="s">
        <v>1693</v>
      </c>
      <c r="J1182" s="173" t="s">
        <v>1451</v>
      </c>
      <c r="K1182" s="173" t="s">
        <v>16</v>
      </c>
      <c r="L1182" s="173"/>
      <c r="M1182" s="173" t="s">
        <v>12</v>
      </c>
      <c r="N1182" s="173">
        <v>900129262</v>
      </c>
      <c r="O1182" s="175">
        <v>3696639</v>
      </c>
      <c r="P1182" s="7"/>
      <c r="Q1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2" s="9">
        <f>+IFERROR(VLOOKUP(Tabla3[[#This Row],[Cliente factura]],Tabla4[[NIT]:[TOTAL CREDITO]],6,FALSE),0)</f>
        <v>0</v>
      </c>
      <c r="S1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2" s="10" t="str">
        <f>VLOOKUP(Tabla3[[#This Row],[Razón social cliente factura]]&amp;Tabla3[[#This Row],[Desc. ciudad]],'Estandar de Rutas'!$C$1:$E$553,2,FALSE)</f>
        <v>5.1.A</v>
      </c>
      <c r="U1182" s="130">
        <f>IFERROR(VLOOKUP(Tabla3[[#This Row],[Referencia]]&amp;Tabla3[[#This Row],[Desc detalle ext 1]],Tabla1[[Referencia-Color]:[Disponibilidad]],3,FALSE),0)</f>
        <v>3</v>
      </c>
      <c r="V1182" s="13"/>
      <c r="W1182" s="17">
        <f>+Tabla3[[#This Row],[Cant. Programada]]*Tabla3[[#This Row],[Precio unit]]</f>
        <v>0</v>
      </c>
      <c r="X1182" s="8"/>
      <c r="Y1182" s="8"/>
      <c r="Z1182" s="8" t="str">
        <f>+Tabla3[[#This Row],[Referencia]]&amp;Tabla3[[#This Row],[Desc detalle ext 1]]</f>
        <v xml:space="preserve">CB 110 DLX                                        NEGRO    </v>
      </c>
      <c r="AA1182" s="128" t="e">
        <f>+VLOOKUP(Tabla3[[#This Row],[CODIGO2]],ESTANDAR!$B$3:$C$9,2,FALSE)</f>
        <v>#N/A</v>
      </c>
      <c r="AB1182" s="128" t="str">
        <f>+MID(Tabla3[[#This Row],['# Viaje]],10,1)</f>
        <v/>
      </c>
    </row>
    <row r="1183" spans="1:28" ht="15" hidden="1" customHeight="1">
      <c r="A1183" s="173" t="s">
        <v>1694</v>
      </c>
      <c r="B1183" s="174">
        <v>42949</v>
      </c>
      <c r="C1183" s="173" t="s">
        <v>1231</v>
      </c>
      <c r="D1183" s="173" t="s">
        <v>1237</v>
      </c>
      <c r="E1183" s="173" t="s">
        <v>1232</v>
      </c>
      <c r="F1183" s="173">
        <v>3</v>
      </c>
      <c r="G1183" s="173" t="s">
        <v>186</v>
      </c>
      <c r="H1183" s="173">
        <v>3</v>
      </c>
      <c r="I1183" s="173" t="s">
        <v>1695</v>
      </c>
      <c r="J1183" s="173" t="s">
        <v>1421</v>
      </c>
      <c r="K1183" s="173" t="s">
        <v>1434</v>
      </c>
      <c r="L1183" s="173"/>
      <c r="M1183" s="173" t="s">
        <v>184</v>
      </c>
      <c r="N1183" s="173">
        <v>900056664</v>
      </c>
      <c r="O1183" s="175">
        <v>11496063</v>
      </c>
      <c r="P1183" s="7"/>
      <c r="Q1183" s="16">
        <f>+IF(IFERROR(VLOOKUP(Tabla3[[#This Row],[Cliente factura]],Tabla4[[NIT]:[TOTAL CREDITO]],3,FALSE),0)="",0,IFERROR(VLOOKUP(Tabla3[[#This Row],[Cliente factura]],Tabla4[[NIT]:[TOTAL CREDITO]],3,FALSE),0))</f>
        <v>68304202</v>
      </c>
      <c r="R1183" s="9">
        <f>+IFERROR(VLOOKUP(Tabla3[[#This Row],[Cliente factura]],Tabla4[[NIT]:[TOTAL CREDITO]],6,FALSE),0)</f>
        <v>0</v>
      </c>
      <c r="S1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3" s="10" t="str">
        <f>VLOOKUP(Tabla3[[#This Row],[Razón social cliente factura]]&amp;Tabla3[[#This Row],[Desc. ciudad]],'Estandar de Rutas'!$C$1:$E$553,2,FALSE)</f>
        <v>7.2</v>
      </c>
      <c r="U1183" s="130">
        <f>IFERROR(VLOOKUP(Tabla3[[#This Row],[Referencia]]&amp;Tabla3[[#This Row],[Desc detalle ext 1]],Tabla1[[Referencia-Color]:[Disponibilidad]],3,FALSE),0)</f>
        <v>0</v>
      </c>
      <c r="V1183" s="13"/>
      <c r="W1183" s="17">
        <f>+Tabla3[[#This Row],[Cant. Programada]]*Tabla3[[#This Row],[Precio unit]]</f>
        <v>0</v>
      </c>
      <c r="X1183" s="8"/>
      <c r="Y1183" s="8"/>
      <c r="Z1183" s="8" t="str">
        <f>+Tabla3[[#This Row],[Referencia]]&amp;Tabla3[[#This Row],[Desc detalle ext 1]]</f>
        <v>*XR-250 TORNADO pt MD34                           BLANCO NE</v>
      </c>
      <c r="AA1183" s="128" t="e">
        <f>+VLOOKUP(Tabla3[[#This Row],[CODIGO2]],ESTANDAR!$B$3:$C$9,2,FALSE)</f>
        <v>#N/A</v>
      </c>
      <c r="AB1183" s="128" t="str">
        <f>+MID(Tabla3[[#This Row],['# Viaje]],10,1)</f>
        <v/>
      </c>
    </row>
    <row r="1184" spans="1:28" ht="15" hidden="1" customHeight="1">
      <c r="A1184" s="173" t="s">
        <v>1694</v>
      </c>
      <c r="B1184" s="174">
        <v>42949</v>
      </c>
      <c r="C1184" s="173" t="s">
        <v>1231</v>
      </c>
      <c r="D1184" s="173" t="s">
        <v>1237</v>
      </c>
      <c r="E1184" s="173" t="s">
        <v>1232</v>
      </c>
      <c r="F1184" s="173">
        <v>1</v>
      </c>
      <c r="G1184" s="173" t="s">
        <v>186</v>
      </c>
      <c r="H1184" s="173">
        <v>1</v>
      </c>
      <c r="I1184" s="173" t="s">
        <v>1695</v>
      </c>
      <c r="J1184" s="173" t="s">
        <v>28</v>
      </c>
      <c r="K1184" s="173" t="s">
        <v>1696</v>
      </c>
      <c r="L1184" s="173"/>
      <c r="M1184" s="173" t="s">
        <v>184</v>
      </c>
      <c r="N1184" s="173">
        <v>900056664</v>
      </c>
      <c r="O1184" s="175">
        <v>4445378</v>
      </c>
      <c r="P1184" s="7"/>
      <c r="Q1184" s="16">
        <f>+IF(IFERROR(VLOOKUP(Tabla3[[#This Row],[Cliente factura]],Tabla4[[NIT]:[TOTAL CREDITO]],3,FALSE),0)="",0,IFERROR(VLOOKUP(Tabla3[[#This Row],[Cliente factura]],Tabla4[[NIT]:[TOTAL CREDITO]],3,FALSE),0))</f>
        <v>68304202</v>
      </c>
      <c r="R1184" s="9">
        <f>+IFERROR(VLOOKUP(Tabla3[[#This Row],[Cliente factura]],Tabla4[[NIT]:[TOTAL CREDITO]],6,FALSE),0)</f>
        <v>0</v>
      </c>
      <c r="S1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4" s="10" t="str">
        <f>VLOOKUP(Tabla3[[#This Row],[Razón social cliente factura]]&amp;Tabla3[[#This Row],[Desc. ciudad]],'Estandar de Rutas'!$C$1:$E$553,2,FALSE)</f>
        <v>7.2</v>
      </c>
      <c r="U1184" s="130">
        <f>IFERROR(VLOOKUP(Tabla3[[#This Row],[Referencia]]&amp;Tabla3[[#This Row],[Desc detalle ext 1]],Tabla1[[Referencia-Color]:[Disponibilidad]],3,FALSE),0)</f>
        <v>0</v>
      </c>
      <c r="V1184" s="13"/>
      <c r="W1184" s="17">
        <f>+Tabla3[[#This Row],[Cant. Programada]]*Tabla3[[#This Row],[Precio unit]]</f>
        <v>0</v>
      </c>
      <c r="X1184" s="8"/>
      <c r="Y1184" s="8"/>
      <c r="Z1184" s="8" t="str">
        <f>+Tabla3[[#This Row],[Referencia]]&amp;Tabla3[[#This Row],[Desc detalle ext 1]]</f>
        <v xml:space="preserve">*CBF-125 pt                                       AMARILLO </v>
      </c>
      <c r="AA1184" s="128" t="e">
        <f>+VLOOKUP(Tabla3[[#This Row],[CODIGO2]],ESTANDAR!$B$3:$C$9,2,FALSE)</f>
        <v>#N/A</v>
      </c>
      <c r="AB1184" s="128" t="str">
        <f>+MID(Tabla3[[#This Row],['# Viaje]],10,1)</f>
        <v/>
      </c>
    </row>
    <row r="1185" spans="1:28" ht="15" hidden="1" customHeight="1">
      <c r="A1185" s="173" t="s">
        <v>1694</v>
      </c>
      <c r="B1185" s="174">
        <v>42949</v>
      </c>
      <c r="C1185" s="173" t="s">
        <v>1231</v>
      </c>
      <c r="D1185" s="173" t="s">
        <v>1237</v>
      </c>
      <c r="E1185" s="173" t="s">
        <v>1232</v>
      </c>
      <c r="F1185" s="173">
        <v>1</v>
      </c>
      <c r="G1185" s="173" t="s">
        <v>186</v>
      </c>
      <c r="H1185" s="173">
        <v>1</v>
      </c>
      <c r="I1185" s="173" t="s">
        <v>1695</v>
      </c>
      <c r="J1185" s="173" t="s">
        <v>14</v>
      </c>
      <c r="K1185" s="173" t="s">
        <v>16</v>
      </c>
      <c r="L1185" s="173"/>
      <c r="M1185" s="173" t="s">
        <v>184</v>
      </c>
      <c r="N1185" s="173">
        <v>900056664</v>
      </c>
      <c r="O1185" s="175">
        <v>3360504</v>
      </c>
      <c r="P1185" s="7"/>
      <c r="Q1185" s="16">
        <f>+IF(IFERROR(VLOOKUP(Tabla3[[#This Row],[Cliente factura]],Tabla4[[NIT]:[TOTAL CREDITO]],3,FALSE),0)="",0,IFERROR(VLOOKUP(Tabla3[[#This Row],[Cliente factura]],Tabla4[[NIT]:[TOTAL CREDITO]],3,FALSE),0))</f>
        <v>68304202</v>
      </c>
      <c r="R1185" s="9">
        <f>+IFERROR(VLOOKUP(Tabla3[[#This Row],[Cliente factura]],Tabla4[[NIT]:[TOTAL CREDITO]],6,FALSE),0)</f>
        <v>0</v>
      </c>
      <c r="S1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5" s="10" t="str">
        <f>VLOOKUP(Tabla3[[#This Row],[Razón social cliente factura]]&amp;Tabla3[[#This Row],[Desc. ciudad]],'Estandar de Rutas'!$C$1:$E$553,2,FALSE)</f>
        <v>7.2</v>
      </c>
      <c r="U1185" s="130">
        <f>IFERROR(VLOOKUP(Tabla3[[#This Row],[Referencia]]&amp;Tabla3[[#This Row],[Desc detalle ext 1]],Tabla1[[Referencia-Color]:[Disponibilidad]],3,FALSE),0)</f>
        <v>83</v>
      </c>
      <c r="V1185" s="13"/>
      <c r="W1185" s="17">
        <f>+Tabla3[[#This Row],[Cant. Programada]]*Tabla3[[#This Row],[Precio unit]]</f>
        <v>0</v>
      </c>
      <c r="X1185" s="8"/>
      <c r="Y1185" s="8"/>
      <c r="Z1185" s="8" t="str">
        <f>+Tabla3[[#This Row],[Referencia]]&amp;Tabla3[[#This Row],[Desc detalle ext 1]]</f>
        <v xml:space="preserve">*CB-110                                           NEGRO    </v>
      </c>
      <c r="AA1185" s="128" t="e">
        <f>+VLOOKUP(Tabla3[[#This Row],[CODIGO2]],ESTANDAR!$B$3:$C$9,2,FALSE)</f>
        <v>#N/A</v>
      </c>
      <c r="AB1185" s="128" t="str">
        <f>+MID(Tabla3[[#This Row],['# Viaje]],10,1)</f>
        <v/>
      </c>
    </row>
    <row r="1186" spans="1:28" ht="15" hidden="1" customHeight="1">
      <c r="A1186" s="173" t="s">
        <v>1694</v>
      </c>
      <c r="B1186" s="174">
        <v>42949</v>
      </c>
      <c r="C1186" s="173" t="s">
        <v>1231</v>
      </c>
      <c r="D1186" s="173" t="s">
        <v>1237</v>
      </c>
      <c r="E1186" s="173" t="s">
        <v>1232</v>
      </c>
      <c r="F1186" s="173">
        <v>5</v>
      </c>
      <c r="G1186" s="173" t="s">
        <v>186</v>
      </c>
      <c r="H1186" s="173">
        <v>5</v>
      </c>
      <c r="I1186" s="173" t="s">
        <v>1695</v>
      </c>
      <c r="J1186" s="173" t="s">
        <v>14</v>
      </c>
      <c r="K1186" s="173" t="s">
        <v>1418</v>
      </c>
      <c r="L1186" s="173"/>
      <c r="M1186" s="173" t="s">
        <v>184</v>
      </c>
      <c r="N1186" s="173">
        <v>900056664</v>
      </c>
      <c r="O1186" s="175">
        <v>3360504</v>
      </c>
      <c r="P1186" s="7"/>
      <c r="Q1186" s="16">
        <f>+IF(IFERROR(VLOOKUP(Tabla3[[#This Row],[Cliente factura]],Tabla4[[NIT]:[TOTAL CREDITO]],3,FALSE),0)="",0,IFERROR(VLOOKUP(Tabla3[[#This Row],[Cliente factura]],Tabla4[[NIT]:[TOTAL CREDITO]],3,FALSE),0))</f>
        <v>68304202</v>
      </c>
      <c r="R1186" s="9">
        <f>+IFERROR(VLOOKUP(Tabla3[[#This Row],[Cliente factura]],Tabla4[[NIT]:[TOTAL CREDITO]],6,FALSE),0)</f>
        <v>0</v>
      </c>
      <c r="S1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6" s="10" t="str">
        <f>VLOOKUP(Tabla3[[#This Row],[Razón social cliente factura]]&amp;Tabla3[[#This Row],[Desc. ciudad]],'Estandar de Rutas'!$C$1:$E$553,2,FALSE)</f>
        <v>7.2</v>
      </c>
      <c r="U1186" s="130">
        <f>IFERROR(VLOOKUP(Tabla3[[#This Row],[Referencia]]&amp;Tabla3[[#This Row],[Desc detalle ext 1]],Tabla1[[Referencia-Color]:[Disponibilidad]],3,FALSE),0)</f>
        <v>0</v>
      </c>
      <c r="V1186" s="13"/>
      <c r="W1186" s="17">
        <f>+Tabla3[[#This Row],[Cant. Programada]]*Tabla3[[#This Row],[Precio unit]]</f>
        <v>0</v>
      </c>
      <c r="X1186" s="8"/>
      <c r="Y1186" s="8"/>
      <c r="Z1186" s="8" t="str">
        <f>+Tabla3[[#This Row],[Referencia]]&amp;Tabla3[[#This Row],[Desc detalle ext 1]]</f>
        <v>*CB-110                                           VERDE CAN</v>
      </c>
      <c r="AA1186" s="128" t="e">
        <f>+VLOOKUP(Tabla3[[#This Row],[CODIGO2]],ESTANDAR!$B$3:$C$9,2,FALSE)</f>
        <v>#N/A</v>
      </c>
      <c r="AB1186" s="128" t="str">
        <f>+MID(Tabla3[[#This Row],['# Viaje]],10,1)</f>
        <v/>
      </c>
    </row>
    <row r="1187" spans="1:28" ht="15" hidden="1" customHeight="1">
      <c r="A1187" s="173" t="s">
        <v>1694</v>
      </c>
      <c r="B1187" s="174">
        <v>42949</v>
      </c>
      <c r="C1187" s="173" t="s">
        <v>1231</v>
      </c>
      <c r="D1187" s="173" t="s">
        <v>1237</v>
      </c>
      <c r="E1187" s="173" t="s">
        <v>1232</v>
      </c>
      <c r="F1187" s="173">
        <v>2</v>
      </c>
      <c r="G1187" s="173" t="s">
        <v>186</v>
      </c>
      <c r="H1187" s="173">
        <v>2</v>
      </c>
      <c r="I1187" s="173" t="s">
        <v>1695</v>
      </c>
      <c r="J1187" s="173" t="s">
        <v>14</v>
      </c>
      <c r="K1187" s="173" t="s">
        <v>15</v>
      </c>
      <c r="L1187" s="173"/>
      <c r="M1187" s="173" t="s">
        <v>184</v>
      </c>
      <c r="N1187" s="173">
        <v>900056664</v>
      </c>
      <c r="O1187" s="175">
        <v>3360504</v>
      </c>
      <c r="P1187" s="7"/>
      <c r="Q1187" s="16">
        <f>+IF(IFERROR(VLOOKUP(Tabla3[[#This Row],[Cliente factura]],Tabla4[[NIT]:[TOTAL CREDITO]],3,FALSE),0)="",0,IFERROR(VLOOKUP(Tabla3[[#This Row],[Cliente factura]],Tabla4[[NIT]:[TOTAL CREDITO]],3,FALSE),0))</f>
        <v>68304202</v>
      </c>
      <c r="R1187" s="9">
        <f>+IFERROR(VLOOKUP(Tabla3[[#This Row],[Cliente factura]],Tabla4[[NIT]:[TOTAL CREDITO]],6,FALSE),0)</f>
        <v>0</v>
      </c>
      <c r="S1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7" s="10" t="str">
        <f>VLOOKUP(Tabla3[[#This Row],[Razón social cliente factura]]&amp;Tabla3[[#This Row],[Desc. ciudad]],'Estandar de Rutas'!$C$1:$E$553,2,FALSE)</f>
        <v>7.2</v>
      </c>
      <c r="U1187" s="130">
        <f>IFERROR(VLOOKUP(Tabla3[[#This Row],[Referencia]]&amp;Tabla3[[#This Row],[Desc detalle ext 1]],Tabla1[[Referencia-Color]:[Disponibilidad]],3,FALSE),0)</f>
        <v>99</v>
      </c>
      <c r="V1187" s="13"/>
      <c r="W1187" s="17">
        <f>+Tabla3[[#This Row],[Cant. Programada]]*Tabla3[[#This Row],[Precio unit]]</f>
        <v>0</v>
      </c>
      <c r="X1187" s="8"/>
      <c r="Y1187" s="8"/>
      <c r="Z1187" s="8" t="str">
        <f>+Tabla3[[#This Row],[Referencia]]&amp;Tabla3[[#This Row],[Desc detalle ext 1]]</f>
        <v>*CB-110                                           AZUL FIJI</v>
      </c>
      <c r="AA1187" s="128" t="e">
        <f>+VLOOKUP(Tabla3[[#This Row],[CODIGO2]],ESTANDAR!$B$3:$C$9,2,FALSE)</f>
        <v>#N/A</v>
      </c>
      <c r="AB1187" s="128" t="str">
        <f>+MID(Tabla3[[#This Row],['# Viaje]],10,1)</f>
        <v/>
      </c>
    </row>
    <row r="1188" spans="1:28" ht="15" hidden="1" customHeight="1">
      <c r="A1188" s="173" t="s">
        <v>1694</v>
      </c>
      <c r="B1188" s="174">
        <v>42949</v>
      </c>
      <c r="C1188" s="173" t="s">
        <v>1231</v>
      </c>
      <c r="D1188" s="173" t="s">
        <v>1237</v>
      </c>
      <c r="E1188" s="173" t="s">
        <v>1232</v>
      </c>
      <c r="F1188" s="173">
        <v>5</v>
      </c>
      <c r="G1188" s="173" t="s">
        <v>186</v>
      </c>
      <c r="H1188" s="173">
        <v>5</v>
      </c>
      <c r="I1188" s="173" t="s">
        <v>1695</v>
      </c>
      <c r="J1188" s="173" t="s">
        <v>27</v>
      </c>
      <c r="K1188" s="173" t="s">
        <v>32</v>
      </c>
      <c r="L1188" s="173"/>
      <c r="M1188" s="173" t="s">
        <v>184</v>
      </c>
      <c r="N1188" s="173">
        <v>900056664</v>
      </c>
      <c r="O1188" s="175">
        <v>5789916</v>
      </c>
      <c r="P1188" s="7"/>
      <c r="Q1188" s="16">
        <f>+IF(IFERROR(VLOOKUP(Tabla3[[#This Row],[Cliente factura]],Tabla4[[NIT]:[TOTAL CREDITO]],3,FALSE),0)="",0,IFERROR(VLOOKUP(Tabla3[[#This Row],[Cliente factura]],Tabla4[[NIT]:[TOTAL CREDITO]],3,FALSE),0))</f>
        <v>68304202</v>
      </c>
      <c r="R1188" s="9">
        <f>+IFERROR(VLOOKUP(Tabla3[[#This Row],[Cliente factura]],Tabla4[[NIT]:[TOTAL CREDITO]],6,FALSE),0)</f>
        <v>0</v>
      </c>
      <c r="S1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8" s="10" t="str">
        <f>VLOOKUP(Tabla3[[#This Row],[Razón social cliente factura]]&amp;Tabla3[[#This Row],[Desc. ciudad]],'Estandar de Rutas'!$C$1:$E$553,2,FALSE)</f>
        <v>7.2</v>
      </c>
      <c r="U1188" s="130">
        <f>IFERROR(VLOOKUP(Tabla3[[#This Row],[Referencia]]&amp;Tabla3[[#This Row],[Desc detalle ext 1]],Tabla1[[Referencia-Color]:[Disponibilidad]],3,FALSE),0)</f>
        <v>7</v>
      </c>
      <c r="V1188" s="13"/>
      <c r="W1188" s="17">
        <f>+Tabla3[[#This Row],[Cant. Programada]]*Tabla3[[#This Row],[Precio unit]]</f>
        <v>0</v>
      </c>
      <c r="X1188" s="8"/>
      <c r="Y1188" s="8"/>
      <c r="Z1188" s="8" t="str">
        <f>+Tabla3[[#This Row],[Referencia]]&amp;Tabla3[[#This Row],[Desc detalle ext 1]]</f>
        <v>*XR 150L                                          NEGRO ROJ</v>
      </c>
      <c r="AA1188" s="128" t="e">
        <f>+VLOOKUP(Tabla3[[#This Row],[CODIGO2]],ESTANDAR!$B$3:$C$9,2,FALSE)</f>
        <v>#N/A</v>
      </c>
      <c r="AB1188" s="128" t="str">
        <f>+MID(Tabla3[[#This Row],['# Viaje]],10,1)</f>
        <v/>
      </c>
    </row>
    <row r="1189" spans="1:28" ht="15" hidden="1" customHeight="1">
      <c r="A1189" s="173" t="s">
        <v>1694</v>
      </c>
      <c r="B1189" s="174">
        <v>42949</v>
      </c>
      <c r="C1189" s="173" t="s">
        <v>1231</v>
      </c>
      <c r="D1189" s="173" t="s">
        <v>1237</v>
      </c>
      <c r="E1189" s="173" t="s">
        <v>1232</v>
      </c>
      <c r="F1189" s="173">
        <v>2</v>
      </c>
      <c r="G1189" s="173" t="s">
        <v>186</v>
      </c>
      <c r="H1189" s="173">
        <v>2</v>
      </c>
      <c r="I1189" s="173" t="s">
        <v>1695</v>
      </c>
      <c r="J1189" s="173" t="s">
        <v>27</v>
      </c>
      <c r="K1189" s="173" t="s">
        <v>16</v>
      </c>
      <c r="L1189" s="173"/>
      <c r="M1189" s="173" t="s">
        <v>184</v>
      </c>
      <c r="N1189" s="173">
        <v>900056664</v>
      </c>
      <c r="O1189" s="175">
        <v>5789916</v>
      </c>
      <c r="P1189" s="7"/>
      <c r="Q1189" s="16">
        <f>+IF(IFERROR(VLOOKUP(Tabla3[[#This Row],[Cliente factura]],Tabla4[[NIT]:[TOTAL CREDITO]],3,FALSE),0)="",0,IFERROR(VLOOKUP(Tabla3[[#This Row],[Cliente factura]],Tabla4[[NIT]:[TOTAL CREDITO]],3,FALSE),0))</f>
        <v>68304202</v>
      </c>
      <c r="R1189" s="9">
        <f>+IFERROR(VLOOKUP(Tabla3[[#This Row],[Cliente factura]],Tabla4[[NIT]:[TOTAL CREDITO]],6,FALSE),0)</f>
        <v>0</v>
      </c>
      <c r="S1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9" s="10" t="str">
        <f>VLOOKUP(Tabla3[[#This Row],[Razón social cliente factura]]&amp;Tabla3[[#This Row],[Desc. ciudad]],'Estandar de Rutas'!$C$1:$E$553,2,FALSE)</f>
        <v>7.2</v>
      </c>
      <c r="U1189" s="130">
        <f>IFERROR(VLOOKUP(Tabla3[[#This Row],[Referencia]]&amp;Tabla3[[#This Row],[Desc detalle ext 1]],Tabla1[[Referencia-Color]:[Disponibilidad]],3,FALSE),0)</f>
        <v>3</v>
      </c>
      <c r="V1189" s="13"/>
      <c r="W1189" s="17">
        <f>+Tabla3[[#This Row],[Cant. Programada]]*Tabla3[[#This Row],[Precio unit]]</f>
        <v>0</v>
      </c>
      <c r="X1189" s="8"/>
      <c r="Y1189" s="8"/>
      <c r="Z1189" s="8" t="str">
        <f>+Tabla3[[#This Row],[Referencia]]&amp;Tabla3[[#This Row],[Desc detalle ext 1]]</f>
        <v xml:space="preserve">*XR 150L                                          NEGRO    </v>
      </c>
      <c r="AA1189" s="128" t="e">
        <f>+VLOOKUP(Tabla3[[#This Row],[CODIGO2]],ESTANDAR!$B$3:$C$9,2,FALSE)</f>
        <v>#N/A</v>
      </c>
      <c r="AB1189" s="128" t="str">
        <f>+MID(Tabla3[[#This Row],['# Viaje]],10,1)</f>
        <v/>
      </c>
    </row>
    <row r="1190" spans="1:28" ht="15" hidden="1" customHeight="1">
      <c r="A1190" s="173" t="s">
        <v>1694</v>
      </c>
      <c r="B1190" s="174">
        <v>42949</v>
      </c>
      <c r="C1190" s="173" t="s">
        <v>1231</v>
      </c>
      <c r="D1190" s="173" t="s">
        <v>1237</v>
      </c>
      <c r="E1190" s="173" t="s">
        <v>1232</v>
      </c>
      <c r="F1190" s="173">
        <v>15</v>
      </c>
      <c r="G1190" s="173" t="s">
        <v>186</v>
      </c>
      <c r="H1190" s="173">
        <v>15</v>
      </c>
      <c r="I1190" s="173" t="s">
        <v>1695</v>
      </c>
      <c r="J1190" s="173" t="s">
        <v>10</v>
      </c>
      <c r="K1190" s="173" t="s">
        <v>11</v>
      </c>
      <c r="L1190" s="173"/>
      <c r="M1190" s="173" t="s">
        <v>184</v>
      </c>
      <c r="N1190" s="173">
        <v>900056664</v>
      </c>
      <c r="O1190" s="175">
        <v>7554622</v>
      </c>
      <c r="P1190" s="7"/>
      <c r="Q1190" s="16">
        <f>+IF(IFERROR(VLOOKUP(Tabla3[[#This Row],[Cliente factura]],Tabla4[[NIT]:[TOTAL CREDITO]],3,FALSE),0)="",0,IFERROR(VLOOKUP(Tabla3[[#This Row],[Cliente factura]],Tabla4[[NIT]:[TOTAL CREDITO]],3,FALSE),0))</f>
        <v>68304202</v>
      </c>
      <c r="R1190" s="9">
        <f>+IFERROR(VLOOKUP(Tabla3[[#This Row],[Cliente factura]],Tabla4[[NIT]:[TOTAL CREDITO]],6,FALSE),0)</f>
        <v>0</v>
      </c>
      <c r="S1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0" s="10" t="str">
        <f>VLOOKUP(Tabla3[[#This Row],[Razón social cliente factura]]&amp;Tabla3[[#This Row],[Desc. ciudad]],'Estandar de Rutas'!$C$1:$E$553,2,FALSE)</f>
        <v>7.2</v>
      </c>
      <c r="U1190" s="130">
        <f>IFERROR(VLOOKUP(Tabla3[[#This Row],[Referencia]]&amp;Tabla3[[#This Row],[Desc detalle ext 1]],Tabla1[[Referencia-Color]:[Disponibilidad]],3,FALSE),0)</f>
        <v>0</v>
      </c>
      <c r="V1190" s="13"/>
      <c r="W1190" s="17">
        <f>+Tabla3[[#This Row],[Cant. Programada]]*Tabla3[[#This Row],[Precio unit]]</f>
        <v>0</v>
      </c>
      <c r="X1190" s="8"/>
      <c r="Y1190" s="8"/>
      <c r="Z1190" s="8" t="str">
        <f>+Tabla3[[#This Row],[Referencia]]&amp;Tabla3[[#This Row],[Desc detalle ext 1]]</f>
        <v>CB 190R                                           NEGRO ONI</v>
      </c>
      <c r="AA1190" s="128" t="e">
        <f>+VLOOKUP(Tabla3[[#This Row],[CODIGO2]],ESTANDAR!$B$3:$C$9,2,FALSE)</f>
        <v>#N/A</v>
      </c>
      <c r="AB1190" s="128" t="str">
        <f>+MID(Tabla3[[#This Row],['# Viaje]],10,1)</f>
        <v/>
      </c>
    </row>
    <row r="1191" spans="1:28" ht="15" hidden="1" customHeight="1">
      <c r="A1191" s="173" t="s">
        <v>1694</v>
      </c>
      <c r="B1191" s="174">
        <v>42949</v>
      </c>
      <c r="C1191" s="173" t="s">
        <v>1231</v>
      </c>
      <c r="D1191" s="173" t="s">
        <v>1237</v>
      </c>
      <c r="E1191" s="173" t="s">
        <v>1232</v>
      </c>
      <c r="F1191" s="173">
        <v>10</v>
      </c>
      <c r="G1191" s="173" t="s">
        <v>186</v>
      </c>
      <c r="H1191" s="173">
        <v>10</v>
      </c>
      <c r="I1191" s="173" t="s">
        <v>1695</v>
      </c>
      <c r="J1191" s="173" t="s">
        <v>1425</v>
      </c>
      <c r="K1191" s="173" t="s">
        <v>1426</v>
      </c>
      <c r="L1191" s="173"/>
      <c r="M1191" s="173" t="s">
        <v>184</v>
      </c>
      <c r="N1191" s="173">
        <v>900056664</v>
      </c>
      <c r="O1191" s="175">
        <v>7730252</v>
      </c>
      <c r="P1191" s="7"/>
      <c r="Q1191" s="16">
        <f>+IF(IFERROR(VLOOKUP(Tabla3[[#This Row],[Cliente factura]],Tabla4[[NIT]:[TOTAL CREDITO]],3,FALSE),0)="",0,IFERROR(VLOOKUP(Tabla3[[#This Row],[Cliente factura]],Tabla4[[NIT]:[TOTAL CREDITO]],3,FALSE),0))</f>
        <v>68304202</v>
      </c>
      <c r="R1191" s="9">
        <f>+IFERROR(VLOOKUP(Tabla3[[#This Row],[Cliente factura]],Tabla4[[NIT]:[TOTAL CREDITO]],6,FALSE),0)</f>
        <v>0</v>
      </c>
      <c r="S1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1" s="10" t="str">
        <f>VLOOKUP(Tabla3[[#This Row],[Razón social cliente factura]]&amp;Tabla3[[#This Row],[Desc. ciudad]],'Estandar de Rutas'!$C$1:$E$553,2,FALSE)</f>
        <v>7.2</v>
      </c>
      <c r="U1191" s="130">
        <f>IFERROR(VLOOKUP(Tabla3[[#This Row],[Referencia]]&amp;Tabla3[[#This Row],[Desc detalle ext 1]],Tabla1[[Referencia-Color]:[Disponibilidad]],3,FALSE),0)</f>
        <v>104</v>
      </c>
      <c r="V1191" s="13"/>
      <c r="W1191" s="17">
        <f>+Tabla3[[#This Row],[Cant. Programada]]*Tabla3[[#This Row],[Precio unit]]</f>
        <v>0</v>
      </c>
      <c r="X1191" s="8"/>
      <c r="Y1191" s="8"/>
      <c r="Z1191" s="8" t="str">
        <f>+Tabla3[[#This Row],[Referencia]]&amp;Tabla3[[#This Row],[Desc detalle ext 1]]</f>
        <v>CB 190 REPSOL                                     NARANJA B</v>
      </c>
      <c r="AA1191" s="128" t="e">
        <f>+VLOOKUP(Tabla3[[#This Row],[CODIGO2]],ESTANDAR!$B$3:$C$9,2,FALSE)</f>
        <v>#N/A</v>
      </c>
      <c r="AB1191" s="128" t="str">
        <f>+MID(Tabla3[[#This Row],['# Viaje]],10,1)</f>
        <v/>
      </c>
    </row>
    <row r="1192" spans="1:28" ht="15" hidden="1" customHeight="1">
      <c r="A1192" s="173" t="s">
        <v>1694</v>
      </c>
      <c r="B1192" s="174">
        <v>42949</v>
      </c>
      <c r="C1192" s="173" t="s">
        <v>1231</v>
      </c>
      <c r="D1192" s="173" t="s">
        <v>1237</v>
      </c>
      <c r="E1192" s="173" t="s">
        <v>1232</v>
      </c>
      <c r="F1192" s="173">
        <v>5</v>
      </c>
      <c r="G1192" s="173" t="s">
        <v>186</v>
      </c>
      <c r="H1192" s="173">
        <v>5</v>
      </c>
      <c r="I1192" s="173" t="s">
        <v>1695</v>
      </c>
      <c r="J1192" s="173" t="s">
        <v>1433</v>
      </c>
      <c r="K1192" s="173" t="s">
        <v>1452</v>
      </c>
      <c r="L1192" s="173"/>
      <c r="M1192" s="173" t="s">
        <v>184</v>
      </c>
      <c r="N1192" s="173">
        <v>900056664</v>
      </c>
      <c r="O1192" s="175">
        <v>3521008</v>
      </c>
      <c r="P1192" s="7"/>
      <c r="Q1192" s="16">
        <f>+IF(IFERROR(VLOOKUP(Tabla3[[#This Row],[Cliente factura]],Tabla4[[NIT]:[TOTAL CREDITO]],3,FALSE),0)="",0,IFERROR(VLOOKUP(Tabla3[[#This Row],[Cliente factura]],Tabla4[[NIT]:[TOTAL CREDITO]],3,FALSE),0))</f>
        <v>68304202</v>
      </c>
      <c r="R1192" s="9">
        <f>+IFERROR(VLOOKUP(Tabla3[[#This Row],[Cliente factura]],Tabla4[[NIT]:[TOTAL CREDITO]],6,FALSE),0)</f>
        <v>0</v>
      </c>
      <c r="S1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2" s="10" t="str">
        <f>VLOOKUP(Tabla3[[#This Row],[Razón social cliente factura]]&amp;Tabla3[[#This Row],[Desc. ciudad]],'Estandar de Rutas'!$C$1:$E$553,2,FALSE)</f>
        <v>7.2</v>
      </c>
      <c r="U1192" s="130">
        <f>IFERROR(VLOOKUP(Tabla3[[#This Row],[Referencia]]&amp;Tabla3[[#This Row],[Desc detalle ext 1]],Tabla1[[Referencia-Color]:[Disponibilidad]],3,FALSE),0)</f>
        <v>0</v>
      </c>
      <c r="V1192" s="13"/>
      <c r="W1192" s="17">
        <f>+Tabla3[[#This Row],[Cant. Programada]]*Tabla3[[#This Row],[Precio unit]]</f>
        <v>0</v>
      </c>
      <c r="X1192" s="8"/>
      <c r="Y1192" s="8"/>
      <c r="Z1192" s="8" t="str">
        <f>+Tabla3[[#This Row],[Referencia]]&amp;Tabla3[[#This Row],[Desc detalle ext 1]]</f>
        <v xml:space="preserve">DIO  110                                          AZUL     </v>
      </c>
      <c r="AA1192" s="128" t="e">
        <f>+VLOOKUP(Tabla3[[#This Row],[CODIGO2]],ESTANDAR!$B$3:$C$9,2,FALSE)</f>
        <v>#N/A</v>
      </c>
      <c r="AB1192" s="128" t="str">
        <f>+MID(Tabla3[[#This Row],['# Viaje]],10,1)</f>
        <v/>
      </c>
    </row>
    <row r="1193" spans="1:28" ht="15" hidden="1" customHeight="1">
      <c r="A1193" s="173" t="s">
        <v>1694</v>
      </c>
      <c r="B1193" s="174">
        <v>42949</v>
      </c>
      <c r="C1193" s="173" t="s">
        <v>1231</v>
      </c>
      <c r="D1193" s="173" t="s">
        <v>1237</v>
      </c>
      <c r="E1193" s="173" t="s">
        <v>1232</v>
      </c>
      <c r="F1193" s="173">
        <v>5</v>
      </c>
      <c r="G1193" s="173" t="s">
        <v>186</v>
      </c>
      <c r="H1193" s="173">
        <v>5</v>
      </c>
      <c r="I1193" s="173" t="s">
        <v>1695</v>
      </c>
      <c r="J1193" s="173" t="s">
        <v>1433</v>
      </c>
      <c r="K1193" s="173" t="s">
        <v>1434</v>
      </c>
      <c r="L1193" s="173"/>
      <c r="M1193" s="173" t="s">
        <v>184</v>
      </c>
      <c r="N1193" s="173">
        <v>900056664</v>
      </c>
      <c r="O1193" s="175">
        <v>3521008</v>
      </c>
      <c r="P1193" s="7"/>
      <c r="Q1193" s="16">
        <f>+IF(IFERROR(VLOOKUP(Tabla3[[#This Row],[Cliente factura]],Tabla4[[NIT]:[TOTAL CREDITO]],3,FALSE),0)="",0,IFERROR(VLOOKUP(Tabla3[[#This Row],[Cliente factura]],Tabla4[[NIT]:[TOTAL CREDITO]],3,FALSE),0))</f>
        <v>68304202</v>
      </c>
      <c r="R1193" s="9">
        <f>+IFERROR(VLOOKUP(Tabla3[[#This Row],[Cliente factura]],Tabla4[[NIT]:[TOTAL CREDITO]],6,FALSE),0)</f>
        <v>0</v>
      </c>
      <c r="S1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3" s="10" t="str">
        <f>VLOOKUP(Tabla3[[#This Row],[Razón social cliente factura]]&amp;Tabla3[[#This Row],[Desc. ciudad]],'Estandar de Rutas'!$C$1:$E$553,2,FALSE)</f>
        <v>7.2</v>
      </c>
      <c r="U1193" s="130">
        <f>IFERROR(VLOOKUP(Tabla3[[#This Row],[Referencia]]&amp;Tabla3[[#This Row],[Desc detalle ext 1]],Tabla1[[Referencia-Color]:[Disponibilidad]],3,FALSE),0)</f>
        <v>23</v>
      </c>
      <c r="V1193" s="13"/>
      <c r="W1193" s="17">
        <f>+Tabla3[[#This Row],[Cant. Programada]]*Tabla3[[#This Row],[Precio unit]]</f>
        <v>0</v>
      </c>
      <c r="X1193" s="8"/>
      <c r="Y1193" s="8"/>
      <c r="Z1193" s="8" t="str">
        <f>+Tabla3[[#This Row],[Referencia]]&amp;Tabla3[[#This Row],[Desc detalle ext 1]]</f>
        <v>DIO  110                                          BLANCO NE</v>
      </c>
      <c r="AA1193" s="128" t="e">
        <f>+VLOOKUP(Tabla3[[#This Row],[CODIGO2]],ESTANDAR!$B$3:$C$9,2,FALSE)</f>
        <v>#N/A</v>
      </c>
      <c r="AB1193" s="128" t="str">
        <f>+MID(Tabla3[[#This Row],['# Viaje]],10,1)</f>
        <v/>
      </c>
    </row>
    <row r="1194" spans="1:28" ht="15" hidden="1" customHeight="1">
      <c r="A1194" s="173" t="s">
        <v>1694</v>
      </c>
      <c r="B1194" s="174">
        <v>42949</v>
      </c>
      <c r="C1194" s="173" t="s">
        <v>1231</v>
      </c>
      <c r="D1194" s="173" t="s">
        <v>1237</v>
      </c>
      <c r="E1194" s="173" t="s">
        <v>1232</v>
      </c>
      <c r="F1194" s="173">
        <v>10</v>
      </c>
      <c r="G1194" s="173" t="s">
        <v>186</v>
      </c>
      <c r="H1194" s="173">
        <v>10</v>
      </c>
      <c r="I1194" s="173" t="s">
        <v>1695</v>
      </c>
      <c r="J1194" s="173" t="s">
        <v>1433</v>
      </c>
      <c r="K1194" s="173" t="s">
        <v>1431</v>
      </c>
      <c r="L1194" s="173"/>
      <c r="M1194" s="173" t="s">
        <v>184</v>
      </c>
      <c r="N1194" s="173">
        <v>900056664</v>
      </c>
      <c r="O1194" s="175">
        <v>3521008</v>
      </c>
      <c r="P1194" s="7"/>
      <c r="Q1194" s="16">
        <f>+IF(IFERROR(VLOOKUP(Tabla3[[#This Row],[Cliente factura]],Tabla4[[NIT]:[TOTAL CREDITO]],3,FALSE),0)="",0,IFERROR(VLOOKUP(Tabla3[[#This Row],[Cliente factura]],Tabla4[[NIT]:[TOTAL CREDITO]],3,FALSE),0))</f>
        <v>68304202</v>
      </c>
      <c r="R1194" s="9">
        <f>+IFERROR(VLOOKUP(Tabla3[[#This Row],[Cliente factura]],Tabla4[[NIT]:[TOTAL CREDITO]],6,FALSE),0)</f>
        <v>0</v>
      </c>
      <c r="S1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4" s="10" t="str">
        <f>VLOOKUP(Tabla3[[#This Row],[Razón social cliente factura]]&amp;Tabla3[[#This Row],[Desc. ciudad]],'Estandar de Rutas'!$C$1:$E$553,2,FALSE)</f>
        <v>7.2</v>
      </c>
      <c r="U1194" s="130">
        <f>IFERROR(VLOOKUP(Tabla3[[#This Row],[Referencia]]&amp;Tabla3[[#This Row],[Desc detalle ext 1]],Tabla1[[Referencia-Color]:[Disponibilidad]],3,FALSE),0)</f>
        <v>0</v>
      </c>
      <c r="V1194" s="13"/>
      <c r="W1194" s="17">
        <f>+Tabla3[[#This Row],[Cant. Programada]]*Tabla3[[#This Row],[Precio unit]]</f>
        <v>0</v>
      </c>
      <c r="X1194" s="130"/>
      <c r="Y1194" s="8"/>
      <c r="Z1194" s="8" t="str">
        <f>+Tabla3[[#This Row],[Referencia]]&amp;Tabla3[[#This Row],[Desc detalle ext 1]]</f>
        <v xml:space="preserve">DIO  110                                          ROJO     </v>
      </c>
      <c r="AA1194" s="128" t="e">
        <f>+VLOOKUP(Tabla3[[#This Row],[CODIGO2]],ESTANDAR!$B$3:$C$9,2,FALSE)</f>
        <v>#N/A</v>
      </c>
      <c r="AB1194" s="128" t="str">
        <f>+MID(Tabla3[[#This Row],['# Viaje]],10,1)</f>
        <v/>
      </c>
    </row>
    <row r="1195" spans="1:28" ht="15" hidden="1" customHeight="1">
      <c r="A1195" s="173" t="s">
        <v>1694</v>
      </c>
      <c r="B1195" s="174">
        <v>42949</v>
      </c>
      <c r="C1195" s="173" t="s">
        <v>1231</v>
      </c>
      <c r="D1195" s="173" t="s">
        <v>1237</v>
      </c>
      <c r="E1195" s="173" t="s">
        <v>1232</v>
      </c>
      <c r="F1195" s="173">
        <v>10</v>
      </c>
      <c r="G1195" s="173" t="s">
        <v>186</v>
      </c>
      <c r="H1195" s="173">
        <v>10</v>
      </c>
      <c r="I1195" s="173" t="s">
        <v>1695</v>
      </c>
      <c r="J1195" s="173" t="s">
        <v>1453</v>
      </c>
      <c r="K1195" s="173" t="s">
        <v>11</v>
      </c>
      <c r="L1195" s="173"/>
      <c r="M1195" s="173" t="s">
        <v>184</v>
      </c>
      <c r="N1195" s="173">
        <v>900056664</v>
      </c>
      <c r="O1195" s="175">
        <v>7730252</v>
      </c>
      <c r="P1195" s="7"/>
      <c r="Q1195" s="16">
        <f>+IF(IFERROR(VLOOKUP(Tabla3[[#This Row],[Cliente factura]],Tabla4[[NIT]:[TOTAL CREDITO]],3,FALSE),0)="",0,IFERROR(VLOOKUP(Tabla3[[#This Row],[Cliente factura]],Tabla4[[NIT]:[TOTAL CREDITO]],3,FALSE),0))</f>
        <v>68304202</v>
      </c>
      <c r="R1195" s="9">
        <f>+IFERROR(VLOOKUP(Tabla3[[#This Row],[Cliente factura]],Tabla4[[NIT]:[TOTAL CREDITO]],6,FALSE),0)</f>
        <v>0</v>
      </c>
      <c r="S1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5" s="10" t="str">
        <f>VLOOKUP(Tabla3[[#This Row],[Razón social cliente factura]]&amp;Tabla3[[#This Row],[Desc. ciudad]],'Estandar de Rutas'!$C$1:$E$553,2,FALSE)</f>
        <v>7.2</v>
      </c>
      <c r="U1195" s="130">
        <f>IFERROR(VLOOKUP(Tabla3[[#This Row],[Referencia]]&amp;Tabla3[[#This Row],[Desc detalle ext 1]],Tabla1[[Referencia-Color]:[Disponibilidad]],3,FALSE),0)</f>
        <v>0</v>
      </c>
      <c r="V1195" s="13"/>
      <c r="W1195" s="17">
        <f>+Tabla3[[#This Row],[Cant. Programada]]*Tabla3[[#This Row],[Precio unit]]</f>
        <v>0</v>
      </c>
      <c r="X1195" s="130"/>
      <c r="Y1195" s="8"/>
      <c r="Z1195" s="8" t="str">
        <f>+Tabla3[[#This Row],[Referencia]]&amp;Tabla3[[#This Row],[Desc detalle ext 1]]</f>
        <v>CB 190R INSTINTO R                                NEGRO ONI</v>
      </c>
      <c r="AA1195" s="128" t="e">
        <f>+VLOOKUP(Tabla3[[#This Row],[CODIGO2]],ESTANDAR!$B$3:$C$9,2,FALSE)</f>
        <v>#N/A</v>
      </c>
      <c r="AB1195" s="128" t="str">
        <f>+MID(Tabla3[[#This Row],['# Viaje]],10,1)</f>
        <v/>
      </c>
    </row>
    <row r="1196" spans="1:28" ht="15" hidden="1" customHeight="1">
      <c r="A1196" s="173" t="s">
        <v>1694</v>
      </c>
      <c r="B1196" s="174">
        <v>42949</v>
      </c>
      <c r="C1196" s="173" t="s">
        <v>1231</v>
      </c>
      <c r="D1196" s="173" t="s">
        <v>1237</v>
      </c>
      <c r="E1196" s="173" t="s">
        <v>1232</v>
      </c>
      <c r="F1196" s="173">
        <v>15</v>
      </c>
      <c r="G1196" s="173" t="s">
        <v>186</v>
      </c>
      <c r="H1196" s="173">
        <v>15</v>
      </c>
      <c r="I1196" s="173" t="s">
        <v>1695</v>
      </c>
      <c r="J1196" s="173" t="s">
        <v>1234</v>
      </c>
      <c r="K1196" s="173" t="s">
        <v>17</v>
      </c>
      <c r="L1196" s="173"/>
      <c r="M1196" s="173" t="s">
        <v>184</v>
      </c>
      <c r="N1196" s="173">
        <v>900056664</v>
      </c>
      <c r="O1196" s="175">
        <v>5453782</v>
      </c>
      <c r="P1196" s="7"/>
      <c r="Q1196" s="16">
        <f>+IF(IFERROR(VLOOKUP(Tabla3[[#This Row],[Cliente factura]],Tabla4[[NIT]:[TOTAL CREDITO]],3,FALSE),0)="",0,IFERROR(VLOOKUP(Tabla3[[#This Row],[Cliente factura]],Tabla4[[NIT]:[TOTAL CREDITO]],3,FALSE),0))</f>
        <v>68304202</v>
      </c>
      <c r="R1196" s="9">
        <f>+IFERROR(VLOOKUP(Tabla3[[#This Row],[Cliente factura]],Tabla4[[NIT]:[TOTAL CREDITO]],6,FALSE),0)</f>
        <v>0</v>
      </c>
      <c r="S1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6" s="10" t="str">
        <f>VLOOKUP(Tabla3[[#This Row],[Razón social cliente factura]]&amp;Tabla3[[#This Row],[Desc. ciudad]],'Estandar de Rutas'!$C$1:$E$553,2,FALSE)</f>
        <v>7.2</v>
      </c>
      <c r="U1196" s="130">
        <f>IFERROR(VLOOKUP(Tabla3[[#This Row],[Referencia]]&amp;Tabla3[[#This Row],[Desc detalle ext 1]],Tabla1[[Referencia-Color]:[Disponibilidad]],3,FALSE),0)</f>
        <v>0</v>
      </c>
      <c r="V1196" s="13"/>
      <c r="W1196" s="17">
        <f>+Tabla3[[#This Row],[Cant. Programada]]*Tabla3[[#This Row],[Precio unit]]</f>
        <v>0</v>
      </c>
      <c r="X1196" s="130"/>
      <c r="Y1196" s="8"/>
      <c r="Z1196" s="8" t="str">
        <f>+Tabla3[[#This Row],[Referencia]]&amp;Tabla3[[#This Row],[Desc detalle ext 1]]</f>
        <v>CB 160F STD                                       ROJO SPOR</v>
      </c>
      <c r="AA1196" s="128" t="e">
        <f>+VLOOKUP(Tabla3[[#This Row],[CODIGO2]],ESTANDAR!$B$3:$C$9,2,FALSE)</f>
        <v>#N/A</v>
      </c>
      <c r="AB1196" s="128" t="str">
        <f>+MID(Tabla3[[#This Row],['# Viaje]],10,1)</f>
        <v/>
      </c>
    </row>
    <row r="1197" spans="1:28" ht="15" hidden="1" customHeight="1">
      <c r="A1197" s="173" t="s">
        <v>1694</v>
      </c>
      <c r="B1197" s="174">
        <v>42949</v>
      </c>
      <c r="C1197" s="173" t="s">
        <v>1231</v>
      </c>
      <c r="D1197" s="173" t="s">
        <v>1237</v>
      </c>
      <c r="E1197" s="173" t="s">
        <v>1232</v>
      </c>
      <c r="F1197" s="173">
        <v>15</v>
      </c>
      <c r="G1197" s="173" t="s">
        <v>186</v>
      </c>
      <c r="H1197" s="173">
        <v>15</v>
      </c>
      <c r="I1197" s="173" t="s">
        <v>1695</v>
      </c>
      <c r="J1197" s="173" t="s">
        <v>1234</v>
      </c>
      <c r="K1197" s="173" t="s">
        <v>355</v>
      </c>
      <c r="L1197" s="173"/>
      <c r="M1197" s="173" t="s">
        <v>184</v>
      </c>
      <c r="N1197" s="173">
        <v>900056664</v>
      </c>
      <c r="O1197" s="175">
        <v>5453782</v>
      </c>
      <c r="P1197" s="7"/>
      <c r="Q1197" s="16">
        <f>+IF(IFERROR(VLOOKUP(Tabla3[[#This Row],[Cliente factura]],Tabla4[[NIT]:[TOTAL CREDITO]],3,FALSE),0)="",0,IFERROR(VLOOKUP(Tabla3[[#This Row],[Cliente factura]],Tabla4[[NIT]:[TOTAL CREDITO]],3,FALSE),0))</f>
        <v>68304202</v>
      </c>
      <c r="R1197" s="9">
        <f>+IFERROR(VLOOKUP(Tabla3[[#This Row],[Cliente factura]],Tabla4[[NIT]:[TOTAL CREDITO]],6,FALSE),0)</f>
        <v>0</v>
      </c>
      <c r="S1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7" s="10" t="str">
        <f>VLOOKUP(Tabla3[[#This Row],[Razón social cliente factura]]&amp;Tabla3[[#This Row],[Desc. ciudad]],'Estandar de Rutas'!$C$1:$E$553,2,FALSE)</f>
        <v>7.2</v>
      </c>
      <c r="U1197" s="130">
        <f>IFERROR(VLOOKUP(Tabla3[[#This Row],[Referencia]]&amp;Tabla3[[#This Row],[Desc detalle ext 1]],Tabla1[[Referencia-Color]:[Disponibilidad]],3,FALSE),0)</f>
        <v>0</v>
      </c>
      <c r="V1197" s="13"/>
      <c r="W1197" s="17">
        <f>+Tabla3[[#This Row],[Cant. Programada]]*Tabla3[[#This Row],[Precio unit]]</f>
        <v>0</v>
      </c>
      <c r="X1197" s="130"/>
      <c r="Y1197" s="8"/>
      <c r="Z1197" s="8" t="str">
        <f>+Tabla3[[#This Row],[Referencia]]&amp;Tabla3[[#This Row],[Desc detalle ext 1]]</f>
        <v>CB 160F STD                                       NEGRO PER</v>
      </c>
      <c r="AA1197" s="128" t="e">
        <f>+VLOOKUP(Tabla3[[#This Row],[CODIGO2]],ESTANDAR!$B$3:$C$9,2,FALSE)</f>
        <v>#N/A</v>
      </c>
      <c r="AB1197" s="128" t="str">
        <f>+MID(Tabla3[[#This Row],['# Viaje]],10,1)</f>
        <v/>
      </c>
    </row>
    <row r="1198" spans="1:28" ht="15" hidden="1" customHeight="1">
      <c r="A1198" s="173" t="s">
        <v>1694</v>
      </c>
      <c r="B1198" s="174">
        <v>42949</v>
      </c>
      <c r="C1198" s="173" t="s">
        <v>1231</v>
      </c>
      <c r="D1198" s="173" t="s">
        <v>1237</v>
      </c>
      <c r="E1198" s="173" t="s">
        <v>1232</v>
      </c>
      <c r="F1198" s="173">
        <v>15</v>
      </c>
      <c r="G1198" s="173" t="s">
        <v>186</v>
      </c>
      <c r="H1198" s="173">
        <v>15</v>
      </c>
      <c r="I1198" s="173" t="s">
        <v>1695</v>
      </c>
      <c r="J1198" s="173" t="s">
        <v>1234</v>
      </c>
      <c r="K1198" s="173" t="s">
        <v>44</v>
      </c>
      <c r="L1198" s="173"/>
      <c r="M1198" s="173" t="s">
        <v>184</v>
      </c>
      <c r="N1198" s="173">
        <v>900056664</v>
      </c>
      <c r="O1198" s="175">
        <v>5453782</v>
      </c>
      <c r="P1198" s="7"/>
      <c r="Q1198" s="16">
        <f>+IF(IFERROR(VLOOKUP(Tabla3[[#This Row],[Cliente factura]],Tabla4[[NIT]:[TOTAL CREDITO]],3,FALSE),0)="",0,IFERROR(VLOOKUP(Tabla3[[#This Row],[Cliente factura]],Tabla4[[NIT]:[TOTAL CREDITO]],3,FALSE),0))</f>
        <v>68304202</v>
      </c>
      <c r="R1198" s="9">
        <f>+IFERROR(VLOOKUP(Tabla3[[#This Row],[Cliente factura]],Tabla4[[NIT]:[TOTAL CREDITO]],6,FALSE),0)</f>
        <v>0</v>
      </c>
      <c r="S1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8" s="10" t="str">
        <f>VLOOKUP(Tabla3[[#This Row],[Razón social cliente factura]]&amp;Tabla3[[#This Row],[Desc. ciudad]],'Estandar de Rutas'!$C$1:$E$553,2,FALSE)</f>
        <v>7.2</v>
      </c>
      <c r="U1198" s="130">
        <f>IFERROR(VLOOKUP(Tabla3[[#This Row],[Referencia]]&amp;Tabla3[[#This Row],[Desc detalle ext 1]],Tabla1[[Referencia-Color]:[Disponibilidad]],3,FALSE),0)</f>
        <v>1</v>
      </c>
      <c r="V1198" s="13"/>
      <c r="W1198" s="17">
        <f>+Tabla3[[#This Row],[Cant. Programada]]*Tabla3[[#This Row],[Precio unit]]</f>
        <v>0</v>
      </c>
      <c r="X1198" s="130"/>
      <c r="Y1198" s="8"/>
      <c r="Z1198" s="8" t="str">
        <f>+Tabla3[[#This Row],[Referencia]]&amp;Tabla3[[#This Row],[Desc detalle ext 1]]</f>
        <v>CB 160F STD                                       BLANCO PE</v>
      </c>
      <c r="AA1198" s="128" t="e">
        <f>+VLOOKUP(Tabla3[[#This Row],[CODIGO2]],ESTANDAR!$B$3:$C$9,2,FALSE)</f>
        <v>#N/A</v>
      </c>
      <c r="AB1198" s="128" t="str">
        <f>+MID(Tabla3[[#This Row],['# Viaje]],10,1)</f>
        <v/>
      </c>
    </row>
    <row r="1199" spans="1:28" ht="15" hidden="1" customHeight="1">
      <c r="A1199" s="75" t="s">
        <v>1694</v>
      </c>
      <c r="B1199" s="76">
        <v>42949</v>
      </c>
      <c r="C1199" s="75" t="s">
        <v>1231</v>
      </c>
      <c r="D1199" s="75" t="s">
        <v>1237</v>
      </c>
      <c r="E1199" s="75" t="s">
        <v>1232</v>
      </c>
      <c r="F1199" s="75">
        <v>5</v>
      </c>
      <c r="G1199" s="75" t="s">
        <v>186</v>
      </c>
      <c r="H1199" s="75">
        <v>5</v>
      </c>
      <c r="I1199" s="75" t="s">
        <v>1695</v>
      </c>
      <c r="J1199" s="75" t="s">
        <v>1451</v>
      </c>
      <c r="K1199" s="75" t="s">
        <v>1449</v>
      </c>
      <c r="L1199" s="76"/>
      <c r="M1199" s="75" t="s">
        <v>184</v>
      </c>
      <c r="N1199" s="75">
        <v>900056664</v>
      </c>
      <c r="O1199" s="77">
        <v>3696639</v>
      </c>
      <c r="P1199" s="7"/>
      <c r="Q1199" s="16">
        <f>+IF(IFERROR(VLOOKUP(Tabla3[[#This Row],[Cliente factura]],Tabla4[[NIT]:[TOTAL CREDITO]],3,FALSE),0)="",0,IFERROR(VLOOKUP(Tabla3[[#This Row],[Cliente factura]],Tabla4[[NIT]:[TOTAL CREDITO]],3,FALSE),0))</f>
        <v>68304202</v>
      </c>
      <c r="R1199" s="9">
        <f>+IFERROR(VLOOKUP(Tabla3[[#This Row],[Cliente factura]],Tabla4[[NIT]:[TOTAL CREDITO]],6,FALSE),0)</f>
        <v>0</v>
      </c>
      <c r="S1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9" s="10" t="str">
        <f>VLOOKUP(Tabla3[[#This Row],[Razón social cliente factura]]&amp;Tabla3[[#This Row],[Desc. ciudad]],'Estandar de Rutas'!$C$1:$E$553,2,FALSE)</f>
        <v>7.2</v>
      </c>
      <c r="U1199" s="130">
        <f>IFERROR(VLOOKUP(Tabla3[[#This Row],[Referencia]]&amp;Tabla3[[#This Row],[Desc detalle ext 1]],Tabla1[[Referencia-Color]:[Disponibilidad]],3,FALSE),0)</f>
        <v>24</v>
      </c>
      <c r="V1199" s="13"/>
      <c r="W1199" s="17">
        <f>+Tabla3[[#This Row],[Cant. Programada]]*Tabla3[[#This Row],[Precio unit]]</f>
        <v>0</v>
      </c>
      <c r="X1199" s="8"/>
      <c r="Y1199" s="8"/>
      <c r="Z1199" s="8" t="str">
        <f>+Tabla3[[#This Row],[Referencia]]&amp;Tabla3[[#This Row],[Desc detalle ext 1]]</f>
        <v xml:space="preserve">CB 110 DLX                                        GRIS     </v>
      </c>
      <c r="AA1199" s="128" t="e">
        <f>+VLOOKUP(Tabla3[[#This Row],[CODIGO2]],ESTANDAR!$B$3:$C$9,2,FALSE)</f>
        <v>#N/A</v>
      </c>
      <c r="AB1199" s="128" t="str">
        <f>+MID(Tabla3[[#This Row],['# Viaje]],10,1)</f>
        <v/>
      </c>
    </row>
    <row r="1200" spans="1:28" ht="15" hidden="1" customHeight="1">
      <c r="A1200" s="75" t="s">
        <v>1694</v>
      </c>
      <c r="B1200" s="76">
        <v>42949</v>
      </c>
      <c r="C1200" s="75" t="s">
        <v>1231</v>
      </c>
      <c r="D1200" s="75" t="s">
        <v>1237</v>
      </c>
      <c r="E1200" s="75" t="s">
        <v>1232</v>
      </c>
      <c r="F1200" s="75">
        <v>6</v>
      </c>
      <c r="G1200" s="75" t="s">
        <v>186</v>
      </c>
      <c r="H1200" s="75">
        <v>6</v>
      </c>
      <c r="I1200" s="75" t="s">
        <v>1695</v>
      </c>
      <c r="J1200" s="75" t="s">
        <v>1451</v>
      </c>
      <c r="K1200" s="75" t="s">
        <v>1431</v>
      </c>
      <c r="L1200" s="76"/>
      <c r="M1200" s="75" t="s">
        <v>184</v>
      </c>
      <c r="N1200" s="75">
        <v>900056664</v>
      </c>
      <c r="O1200" s="77">
        <v>3696639</v>
      </c>
      <c r="P1200" s="7"/>
      <c r="Q1200" s="16">
        <f>+IF(IFERROR(VLOOKUP(Tabla3[[#This Row],[Cliente factura]],Tabla4[[NIT]:[TOTAL CREDITO]],3,FALSE),0)="",0,IFERROR(VLOOKUP(Tabla3[[#This Row],[Cliente factura]],Tabla4[[NIT]:[TOTAL CREDITO]],3,FALSE),0))</f>
        <v>68304202</v>
      </c>
      <c r="R1200" s="9">
        <f>+IFERROR(VLOOKUP(Tabla3[[#This Row],[Cliente factura]],Tabla4[[NIT]:[TOTAL CREDITO]],6,FALSE),0)</f>
        <v>0</v>
      </c>
      <c r="S1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0" s="10" t="str">
        <f>VLOOKUP(Tabla3[[#This Row],[Razón social cliente factura]]&amp;Tabla3[[#This Row],[Desc. ciudad]],'Estandar de Rutas'!$C$1:$E$553,2,FALSE)</f>
        <v>7.2</v>
      </c>
      <c r="U1200" s="130">
        <f>IFERROR(VLOOKUP(Tabla3[[#This Row],[Referencia]]&amp;Tabla3[[#This Row],[Desc detalle ext 1]],Tabla1[[Referencia-Color]:[Disponibilidad]],3,FALSE),0)</f>
        <v>21</v>
      </c>
      <c r="V1200" s="13"/>
      <c r="W1200" s="17">
        <f>+Tabla3[[#This Row],[Cant. Programada]]*Tabla3[[#This Row],[Precio unit]]</f>
        <v>0</v>
      </c>
      <c r="X1200" s="8"/>
      <c r="Y1200" s="8"/>
      <c r="Z1200" s="8" t="str">
        <f>+Tabla3[[#This Row],[Referencia]]&amp;Tabla3[[#This Row],[Desc detalle ext 1]]</f>
        <v xml:space="preserve">CB 110 DLX                                        ROJO     </v>
      </c>
      <c r="AA1200" s="128" t="e">
        <f>+VLOOKUP(Tabla3[[#This Row],[CODIGO2]],ESTANDAR!$B$3:$C$9,2,FALSE)</f>
        <v>#N/A</v>
      </c>
      <c r="AB1200" s="128" t="str">
        <f>+MID(Tabla3[[#This Row],['# Viaje]],10,1)</f>
        <v/>
      </c>
    </row>
    <row r="1201" spans="1:28" ht="15" hidden="1" customHeight="1">
      <c r="A1201" s="75" t="s">
        <v>1694</v>
      </c>
      <c r="B1201" s="76">
        <v>42949</v>
      </c>
      <c r="C1201" s="75" t="s">
        <v>1231</v>
      </c>
      <c r="D1201" s="75" t="s">
        <v>1237</v>
      </c>
      <c r="E1201" s="75" t="s">
        <v>1232</v>
      </c>
      <c r="F1201" s="75">
        <v>8</v>
      </c>
      <c r="G1201" s="75" t="s">
        <v>186</v>
      </c>
      <c r="H1201" s="75">
        <v>8</v>
      </c>
      <c r="I1201" s="75" t="s">
        <v>1695</v>
      </c>
      <c r="J1201" s="75" t="s">
        <v>1451</v>
      </c>
      <c r="K1201" s="75" t="s">
        <v>16</v>
      </c>
      <c r="L1201" s="76"/>
      <c r="M1201" s="75" t="s">
        <v>184</v>
      </c>
      <c r="N1201" s="75">
        <v>900056664</v>
      </c>
      <c r="O1201" s="77">
        <v>3696639</v>
      </c>
      <c r="P1201" s="7"/>
      <c r="Q1201" s="16">
        <f>+IF(IFERROR(VLOOKUP(Tabla3[[#This Row],[Cliente factura]],Tabla4[[NIT]:[TOTAL CREDITO]],3,FALSE),0)="",0,IFERROR(VLOOKUP(Tabla3[[#This Row],[Cliente factura]],Tabla4[[NIT]:[TOTAL CREDITO]],3,FALSE),0))</f>
        <v>68304202</v>
      </c>
      <c r="R1201" s="9">
        <f>+IFERROR(VLOOKUP(Tabla3[[#This Row],[Cliente factura]],Tabla4[[NIT]:[TOTAL CREDITO]],6,FALSE),0)</f>
        <v>0</v>
      </c>
      <c r="S1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1" s="10" t="str">
        <f>VLOOKUP(Tabla3[[#This Row],[Razón social cliente factura]]&amp;Tabla3[[#This Row],[Desc. ciudad]],'Estandar de Rutas'!$C$1:$E$553,2,FALSE)</f>
        <v>7.2</v>
      </c>
      <c r="U1201" s="130">
        <f>IFERROR(VLOOKUP(Tabla3[[#This Row],[Referencia]]&amp;Tabla3[[#This Row],[Desc detalle ext 1]],Tabla1[[Referencia-Color]:[Disponibilidad]],3,FALSE),0)</f>
        <v>3</v>
      </c>
      <c r="V1201" s="13"/>
      <c r="W1201" s="17">
        <f>+Tabla3[[#This Row],[Cant. Programada]]*Tabla3[[#This Row],[Precio unit]]</f>
        <v>0</v>
      </c>
      <c r="X1201" s="8"/>
      <c r="Y1201" s="8"/>
      <c r="Z1201" s="8" t="str">
        <f>+Tabla3[[#This Row],[Referencia]]&amp;Tabla3[[#This Row],[Desc detalle ext 1]]</f>
        <v xml:space="preserve">CB 110 DLX                                        NEGRO    </v>
      </c>
      <c r="AA1201" s="128" t="e">
        <f>+VLOOKUP(Tabla3[[#This Row],[CODIGO2]],ESTANDAR!$B$3:$C$9,2,FALSE)</f>
        <v>#N/A</v>
      </c>
      <c r="AB1201" s="128" t="str">
        <f>+MID(Tabla3[[#This Row],['# Viaje]],10,1)</f>
        <v/>
      </c>
    </row>
    <row r="1202" spans="1:28" ht="15" hidden="1" customHeight="1">
      <c r="A1202" s="75" t="s">
        <v>1697</v>
      </c>
      <c r="B1202" s="76">
        <v>42949</v>
      </c>
      <c r="C1202" s="75" t="s">
        <v>1231</v>
      </c>
      <c r="D1202" s="75" t="s">
        <v>1478</v>
      </c>
      <c r="E1202" s="75" t="s">
        <v>1232</v>
      </c>
      <c r="F1202" s="75">
        <v>1</v>
      </c>
      <c r="G1202" s="75" t="s">
        <v>43</v>
      </c>
      <c r="H1202" s="75">
        <v>1</v>
      </c>
      <c r="I1202" s="75" t="s">
        <v>459</v>
      </c>
      <c r="J1202" s="75" t="s">
        <v>1421</v>
      </c>
      <c r="K1202" s="75" t="s">
        <v>1434</v>
      </c>
      <c r="L1202" s="76"/>
      <c r="M1202" s="75" t="s">
        <v>42</v>
      </c>
      <c r="N1202" s="75">
        <v>890330584</v>
      </c>
      <c r="O1202" s="77">
        <v>11496063</v>
      </c>
      <c r="P1202" s="7"/>
      <c r="Q1202" s="16">
        <f>+IF(IFERROR(VLOOKUP(Tabla3[[#This Row],[Cliente factura]],Tabla4[[NIT]:[TOTAL CREDITO]],3,FALSE),0)="",0,IFERROR(VLOOKUP(Tabla3[[#This Row],[Cliente factura]],Tabla4[[NIT]:[TOTAL CREDITO]],3,FALSE),0))</f>
        <v>802084041</v>
      </c>
      <c r="R1202" s="9">
        <f>+IFERROR(VLOOKUP(Tabla3[[#This Row],[Cliente factura]],Tabla4[[NIT]:[TOTAL CREDITO]],6,FALSE),0)</f>
        <v>0</v>
      </c>
      <c r="S1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2" s="10" t="str">
        <f>VLOOKUP(Tabla3[[#This Row],[Razón social cliente factura]]&amp;Tabla3[[#This Row],[Desc. ciudad]],'Estandar de Rutas'!$C$1:$E$553,2,FALSE)</f>
        <v>1.3</v>
      </c>
      <c r="U1202" s="130">
        <f>IFERROR(VLOOKUP(Tabla3[[#This Row],[Referencia]]&amp;Tabla3[[#This Row],[Desc detalle ext 1]],Tabla1[[Referencia-Color]:[Disponibilidad]],3,FALSE),0)</f>
        <v>0</v>
      </c>
      <c r="V1202" s="13"/>
      <c r="W1202" s="17">
        <f>+Tabla3[[#This Row],[Cant. Programada]]*Tabla3[[#This Row],[Precio unit]]</f>
        <v>0</v>
      </c>
      <c r="X1202" s="8"/>
      <c r="Y1202" s="8"/>
      <c r="Z1202" s="8" t="str">
        <f>+Tabla3[[#This Row],[Referencia]]&amp;Tabla3[[#This Row],[Desc detalle ext 1]]</f>
        <v>*XR-250 TORNADO pt MD34                           BLANCO NE</v>
      </c>
      <c r="AA1202" s="128" t="e">
        <f>+VLOOKUP(Tabla3[[#This Row],[CODIGO2]],ESTANDAR!$B$3:$C$9,2,FALSE)</f>
        <v>#N/A</v>
      </c>
      <c r="AB1202" s="128" t="str">
        <f>+MID(Tabla3[[#This Row],['# Viaje]],10,1)</f>
        <v/>
      </c>
    </row>
    <row r="1203" spans="1:28" ht="15" hidden="1" customHeight="1">
      <c r="A1203" s="75" t="s">
        <v>1697</v>
      </c>
      <c r="B1203" s="76">
        <v>42949</v>
      </c>
      <c r="C1203" s="75" t="s">
        <v>1231</v>
      </c>
      <c r="D1203" s="75" t="s">
        <v>1478</v>
      </c>
      <c r="E1203" s="75" t="s">
        <v>1232</v>
      </c>
      <c r="F1203" s="75">
        <v>1</v>
      </c>
      <c r="G1203" s="75" t="s">
        <v>43</v>
      </c>
      <c r="H1203" s="75">
        <v>1</v>
      </c>
      <c r="I1203" s="75" t="s">
        <v>459</v>
      </c>
      <c r="J1203" s="75" t="s">
        <v>1421</v>
      </c>
      <c r="K1203" s="75" t="s">
        <v>16</v>
      </c>
      <c r="L1203" s="76"/>
      <c r="M1203" s="75" t="s">
        <v>42</v>
      </c>
      <c r="N1203" s="75">
        <v>890330584</v>
      </c>
      <c r="O1203" s="77">
        <v>11496063</v>
      </c>
      <c r="P1203" s="7"/>
      <c r="Q1203" s="16">
        <f>+IF(IFERROR(VLOOKUP(Tabla3[[#This Row],[Cliente factura]],Tabla4[[NIT]:[TOTAL CREDITO]],3,FALSE),0)="",0,IFERROR(VLOOKUP(Tabla3[[#This Row],[Cliente factura]],Tabla4[[NIT]:[TOTAL CREDITO]],3,FALSE),0))</f>
        <v>802084041</v>
      </c>
      <c r="R1203" s="9">
        <f>+IFERROR(VLOOKUP(Tabla3[[#This Row],[Cliente factura]],Tabla4[[NIT]:[TOTAL CREDITO]],6,FALSE),0)</f>
        <v>0</v>
      </c>
      <c r="S1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3" s="10" t="str">
        <f>VLOOKUP(Tabla3[[#This Row],[Razón social cliente factura]]&amp;Tabla3[[#This Row],[Desc. ciudad]],'Estandar de Rutas'!$C$1:$E$553,2,FALSE)</f>
        <v>1.3</v>
      </c>
      <c r="U1203" s="130">
        <f>IFERROR(VLOOKUP(Tabla3[[#This Row],[Referencia]]&amp;Tabla3[[#This Row],[Desc detalle ext 1]],Tabla1[[Referencia-Color]:[Disponibilidad]],3,FALSE),0)</f>
        <v>0</v>
      </c>
      <c r="V1203" s="13"/>
      <c r="W1203" s="17">
        <f>+Tabla3[[#This Row],[Cant. Programada]]*Tabla3[[#This Row],[Precio unit]]</f>
        <v>0</v>
      </c>
      <c r="X1203" s="8"/>
      <c r="Y1203" s="8"/>
      <c r="Z1203" s="8" t="str">
        <f>+Tabla3[[#This Row],[Referencia]]&amp;Tabla3[[#This Row],[Desc detalle ext 1]]</f>
        <v xml:space="preserve">*XR-250 TORNADO pt MD34                           NEGRO    </v>
      </c>
      <c r="AA1203" s="128" t="e">
        <f>+VLOOKUP(Tabla3[[#This Row],[CODIGO2]],ESTANDAR!$B$3:$C$9,2,FALSE)</f>
        <v>#N/A</v>
      </c>
      <c r="AB1203" s="128" t="str">
        <f>+MID(Tabla3[[#This Row],['# Viaje]],10,1)</f>
        <v/>
      </c>
    </row>
    <row r="1204" spans="1:28" ht="15" hidden="1" customHeight="1">
      <c r="A1204" s="75" t="s">
        <v>1697</v>
      </c>
      <c r="B1204" s="76">
        <v>42949</v>
      </c>
      <c r="C1204" s="75" t="s">
        <v>1231</v>
      </c>
      <c r="D1204" s="75" t="s">
        <v>1478</v>
      </c>
      <c r="E1204" s="75" t="s">
        <v>1232</v>
      </c>
      <c r="F1204" s="75">
        <v>11</v>
      </c>
      <c r="G1204" s="75" t="s">
        <v>43</v>
      </c>
      <c r="H1204" s="75">
        <v>11</v>
      </c>
      <c r="I1204" s="75" t="s">
        <v>459</v>
      </c>
      <c r="J1204" s="75" t="s">
        <v>14</v>
      </c>
      <c r="K1204" s="75" t="s">
        <v>16</v>
      </c>
      <c r="L1204" s="76"/>
      <c r="M1204" s="75" t="s">
        <v>42</v>
      </c>
      <c r="N1204" s="75">
        <v>890330584</v>
      </c>
      <c r="O1204" s="77">
        <v>3360504</v>
      </c>
      <c r="P1204" s="7"/>
      <c r="Q1204" s="16">
        <f>+IF(IFERROR(VLOOKUP(Tabla3[[#This Row],[Cliente factura]],Tabla4[[NIT]:[TOTAL CREDITO]],3,FALSE),0)="",0,IFERROR(VLOOKUP(Tabla3[[#This Row],[Cliente factura]],Tabla4[[NIT]:[TOTAL CREDITO]],3,FALSE),0))</f>
        <v>802084041</v>
      </c>
      <c r="R1204" s="9">
        <f>+IFERROR(VLOOKUP(Tabla3[[#This Row],[Cliente factura]],Tabla4[[NIT]:[TOTAL CREDITO]],6,FALSE),0)</f>
        <v>0</v>
      </c>
      <c r="S1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4" s="10" t="str">
        <f>VLOOKUP(Tabla3[[#This Row],[Razón social cliente factura]]&amp;Tabla3[[#This Row],[Desc. ciudad]],'Estandar de Rutas'!$C$1:$E$553,2,FALSE)</f>
        <v>1.3</v>
      </c>
      <c r="U1204" s="130">
        <f>IFERROR(VLOOKUP(Tabla3[[#This Row],[Referencia]]&amp;Tabla3[[#This Row],[Desc detalle ext 1]],Tabla1[[Referencia-Color]:[Disponibilidad]],3,FALSE),0)</f>
        <v>83</v>
      </c>
      <c r="V1204" s="13"/>
      <c r="W1204" s="17">
        <f>+Tabla3[[#This Row],[Cant. Programada]]*Tabla3[[#This Row],[Precio unit]]</f>
        <v>0</v>
      </c>
      <c r="X1204" s="8"/>
      <c r="Y1204" s="8"/>
      <c r="Z1204" s="8" t="str">
        <f>+Tabla3[[#This Row],[Referencia]]&amp;Tabla3[[#This Row],[Desc detalle ext 1]]</f>
        <v xml:space="preserve">*CB-110                                           NEGRO    </v>
      </c>
      <c r="AA1204" s="128" t="e">
        <f>+VLOOKUP(Tabla3[[#This Row],[CODIGO2]],ESTANDAR!$B$3:$C$9,2,FALSE)</f>
        <v>#N/A</v>
      </c>
      <c r="AB1204" s="128" t="str">
        <f>+MID(Tabla3[[#This Row],['# Viaje]],10,1)</f>
        <v/>
      </c>
    </row>
    <row r="1205" spans="1:28" ht="15" hidden="1" customHeight="1">
      <c r="A1205" s="75" t="s">
        <v>1697</v>
      </c>
      <c r="B1205" s="76">
        <v>42949</v>
      </c>
      <c r="C1205" s="75" t="s">
        <v>1231</v>
      </c>
      <c r="D1205" s="75" t="s">
        <v>1478</v>
      </c>
      <c r="E1205" s="75" t="s">
        <v>1232</v>
      </c>
      <c r="F1205" s="75">
        <v>5</v>
      </c>
      <c r="G1205" s="75" t="s">
        <v>43</v>
      </c>
      <c r="H1205" s="75">
        <v>5</v>
      </c>
      <c r="I1205" s="75" t="s">
        <v>459</v>
      </c>
      <c r="J1205" s="75" t="s">
        <v>27</v>
      </c>
      <c r="K1205" s="75" t="s">
        <v>32</v>
      </c>
      <c r="L1205" s="76"/>
      <c r="M1205" s="75" t="s">
        <v>42</v>
      </c>
      <c r="N1205" s="75">
        <v>890330584</v>
      </c>
      <c r="O1205" s="77">
        <v>5789916</v>
      </c>
      <c r="P1205" s="7"/>
      <c r="Q1205" s="16">
        <f>+IF(IFERROR(VLOOKUP(Tabla3[[#This Row],[Cliente factura]],Tabla4[[NIT]:[TOTAL CREDITO]],3,FALSE),0)="",0,IFERROR(VLOOKUP(Tabla3[[#This Row],[Cliente factura]],Tabla4[[NIT]:[TOTAL CREDITO]],3,FALSE),0))</f>
        <v>802084041</v>
      </c>
      <c r="R1205" s="9">
        <f>+IFERROR(VLOOKUP(Tabla3[[#This Row],[Cliente factura]],Tabla4[[NIT]:[TOTAL CREDITO]],6,FALSE),0)</f>
        <v>0</v>
      </c>
      <c r="S1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5" s="10" t="str">
        <f>VLOOKUP(Tabla3[[#This Row],[Razón social cliente factura]]&amp;Tabla3[[#This Row],[Desc. ciudad]],'Estandar de Rutas'!$C$1:$E$553,2,FALSE)</f>
        <v>1.3</v>
      </c>
      <c r="U1205" s="130">
        <f>IFERROR(VLOOKUP(Tabla3[[#This Row],[Referencia]]&amp;Tabla3[[#This Row],[Desc detalle ext 1]],Tabla1[[Referencia-Color]:[Disponibilidad]],3,FALSE),0)</f>
        <v>7</v>
      </c>
      <c r="V1205" s="13"/>
      <c r="W1205" s="17">
        <f>+Tabla3[[#This Row],[Cant. Programada]]*Tabla3[[#This Row],[Precio unit]]</f>
        <v>0</v>
      </c>
      <c r="X1205" s="8"/>
      <c r="Y1205" s="8"/>
      <c r="Z1205" s="8" t="str">
        <f>+Tabla3[[#This Row],[Referencia]]&amp;Tabla3[[#This Row],[Desc detalle ext 1]]</f>
        <v>*XR 150L                                          NEGRO ROJ</v>
      </c>
      <c r="AA1205" s="128" t="e">
        <f>+VLOOKUP(Tabla3[[#This Row],[CODIGO2]],ESTANDAR!$B$3:$C$9,2,FALSE)</f>
        <v>#N/A</v>
      </c>
      <c r="AB1205" s="128" t="str">
        <f>+MID(Tabla3[[#This Row],['# Viaje]],10,1)</f>
        <v/>
      </c>
    </row>
    <row r="1206" spans="1:28" ht="15" hidden="1" customHeight="1">
      <c r="A1206" s="75" t="s">
        <v>1697</v>
      </c>
      <c r="B1206" s="76">
        <v>42949</v>
      </c>
      <c r="C1206" s="75" t="s">
        <v>1231</v>
      </c>
      <c r="D1206" s="75" t="s">
        <v>1478</v>
      </c>
      <c r="E1206" s="75" t="s">
        <v>1232</v>
      </c>
      <c r="F1206" s="75">
        <v>16</v>
      </c>
      <c r="G1206" s="75" t="s">
        <v>43</v>
      </c>
      <c r="H1206" s="75">
        <v>16</v>
      </c>
      <c r="I1206" s="75" t="s">
        <v>459</v>
      </c>
      <c r="J1206" s="75" t="s">
        <v>27</v>
      </c>
      <c r="K1206" s="75" t="s">
        <v>16</v>
      </c>
      <c r="L1206" s="76"/>
      <c r="M1206" s="75" t="s">
        <v>42</v>
      </c>
      <c r="N1206" s="75">
        <v>890330584</v>
      </c>
      <c r="O1206" s="77">
        <v>5789916</v>
      </c>
      <c r="P1206" s="7"/>
      <c r="Q1206" s="16">
        <f>+IF(IFERROR(VLOOKUP(Tabla3[[#This Row],[Cliente factura]],Tabla4[[NIT]:[TOTAL CREDITO]],3,FALSE),0)="",0,IFERROR(VLOOKUP(Tabla3[[#This Row],[Cliente factura]],Tabla4[[NIT]:[TOTAL CREDITO]],3,FALSE),0))</f>
        <v>802084041</v>
      </c>
      <c r="R1206" s="9">
        <f>+IFERROR(VLOOKUP(Tabla3[[#This Row],[Cliente factura]],Tabla4[[NIT]:[TOTAL CREDITO]],6,FALSE),0)</f>
        <v>0</v>
      </c>
      <c r="S1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6" s="10" t="str">
        <f>VLOOKUP(Tabla3[[#This Row],[Razón social cliente factura]]&amp;Tabla3[[#This Row],[Desc. ciudad]],'Estandar de Rutas'!$C$1:$E$553,2,FALSE)</f>
        <v>1.3</v>
      </c>
      <c r="U1206" s="130">
        <f>IFERROR(VLOOKUP(Tabla3[[#This Row],[Referencia]]&amp;Tabla3[[#This Row],[Desc detalle ext 1]],Tabla1[[Referencia-Color]:[Disponibilidad]],3,FALSE),0)</f>
        <v>3</v>
      </c>
      <c r="V1206" s="13"/>
      <c r="W1206" s="17">
        <f>+Tabla3[[#This Row],[Cant. Programada]]*Tabla3[[#This Row],[Precio unit]]</f>
        <v>0</v>
      </c>
      <c r="X1206" s="8"/>
      <c r="Y1206" s="8"/>
      <c r="Z1206" s="8" t="str">
        <f>+Tabla3[[#This Row],[Referencia]]&amp;Tabla3[[#This Row],[Desc detalle ext 1]]</f>
        <v xml:space="preserve">*XR 150L                                          NEGRO    </v>
      </c>
      <c r="AA1206" s="128" t="e">
        <f>+VLOOKUP(Tabla3[[#This Row],[CODIGO2]],ESTANDAR!$B$3:$C$9,2,FALSE)</f>
        <v>#N/A</v>
      </c>
      <c r="AB1206" s="128" t="str">
        <f>+MID(Tabla3[[#This Row],['# Viaje]],10,1)</f>
        <v/>
      </c>
    </row>
    <row r="1207" spans="1:28" ht="15" hidden="1" customHeight="1">
      <c r="A1207" s="75" t="s">
        <v>1697</v>
      </c>
      <c r="B1207" s="76">
        <v>42949</v>
      </c>
      <c r="C1207" s="75" t="s">
        <v>1231</v>
      </c>
      <c r="D1207" s="75" t="s">
        <v>1478</v>
      </c>
      <c r="E1207" s="75" t="s">
        <v>1232</v>
      </c>
      <c r="F1207" s="75">
        <v>9</v>
      </c>
      <c r="G1207" s="75" t="s">
        <v>43</v>
      </c>
      <c r="H1207" s="75">
        <v>9</v>
      </c>
      <c r="I1207" s="75" t="s">
        <v>459</v>
      </c>
      <c r="J1207" s="75" t="s">
        <v>10</v>
      </c>
      <c r="K1207" s="75" t="s">
        <v>11</v>
      </c>
      <c r="L1207" s="76"/>
      <c r="M1207" s="75" t="s">
        <v>42</v>
      </c>
      <c r="N1207" s="75">
        <v>890330584</v>
      </c>
      <c r="O1207" s="77">
        <v>7554622</v>
      </c>
      <c r="P1207" s="7"/>
      <c r="Q1207" s="16">
        <f>+IF(IFERROR(VLOOKUP(Tabla3[[#This Row],[Cliente factura]],Tabla4[[NIT]:[TOTAL CREDITO]],3,FALSE),0)="",0,IFERROR(VLOOKUP(Tabla3[[#This Row],[Cliente factura]],Tabla4[[NIT]:[TOTAL CREDITO]],3,FALSE),0))</f>
        <v>802084041</v>
      </c>
      <c r="R1207" s="9">
        <f>+IFERROR(VLOOKUP(Tabla3[[#This Row],[Cliente factura]],Tabla4[[NIT]:[TOTAL CREDITO]],6,FALSE),0)</f>
        <v>0</v>
      </c>
      <c r="S1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7" s="10" t="str">
        <f>VLOOKUP(Tabla3[[#This Row],[Razón social cliente factura]]&amp;Tabla3[[#This Row],[Desc. ciudad]],'Estandar de Rutas'!$C$1:$E$553,2,FALSE)</f>
        <v>1.3</v>
      </c>
      <c r="U1207" s="130">
        <f>IFERROR(VLOOKUP(Tabla3[[#This Row],[Referencia]]&amp;Tabla3[[#This Row],[Desc detalle ext 1]],Tabla1[[Referencia-Color]:[Disponibilidad]],3,FALSE),0)</f>
        <v>0</v>
      </c>
      <c r="V1207" s="13"/>
      <c r="W1207" s="17">
        <f>+Tabla3[[#This Row],[Cant. Programada]]*Tabla3[[#This Row],[Precio unit]]</f>
        <v>0</v>
      </c>
      <c r="X1207" s="8"/>
      <c r="Y1207" s="8"/>
      <c r="Z1207" s="8" t="str">
        <f>+Tabla3[[#This Row],[Referencia]]&amp;Tabla3[[#This Row],[Desc detalle ext 1]]</f>
        <v>CB 190R                                           NEGRO ONI</v>
      </c>
      <c r="AA1207" s="128" t="e">
        <f>+VLOOKUP(Tabla3[[#This Row],[CODIGO2]],ESTANDAR!$B$3:$C$9,2,FALSE)</f>
        <v>#N/A</v>
      </c>
      <c r="AB1207" s="128" t="str">
        <f>+MID(Tabla3[[#This Row],['# Viaje]],10,1)</f>
        <v/>
      </c>
    </row>
    <row r="1208" spans="1:28" ht="15" hidden="1" customHeight="1">
      <c r="A1208" s="75" t="s">
        <v>1697</v>
      </c>
      <c r="B1208" s="76">
        <v>42949</v>
      </c>
      <c r="C1208" s="75" t="s">
        <v>1231</v>
      </c>
      <c r="D1208" s="75" t="s">
        <v>1478</v>
      </c>
      <c r="E1208" s="75" t="s">
        <v>1232</v>
      </c>
      <c r="F1208" s="75">
        <v>2</v>
      </c>
      <c r="G1208" s="75" t="s">
        <v>43</v>
      </c>
      <c r="H1208" s="75">
        <v>2</v>
      </c>
      <c r="I1208" s="75" t="s">
        <v>459</v>
      </c>
      <c r="J1208" s="75" t="s">
        <v>354</v>
      </c>
      <c r="K1208" s="75" t="s">
        <v>474</v>
      </c>
      <c r="L1208" s="76"/>
      <c r="M1208" s="75" t="s">
        <v>42</v>
      </c>
      <c r="N1208" s="75">
        <v>890330584</v>
      </c>
      <c r="O1208" s="77">
        <v>6133613</v>
      </c>
      <c r="P1208" s="7"/>
      <c r="Q1208" s="16">
        <f>+IF(IFERROR(VLOOKUP(Tabla3[[#This Row],[Cliente factura]],Tabla4[[NIT]:[TOTAL CREDITO]],3,FALSE),0)="",0,IFERROR(VLOOKUP(Tabla3[[#This Row],[Cliente factura]],Tabla4[[NIT]:[TOTAL CREDITO]],3,FALSE),0))</f>
        <v>802084041</v>
      </c>
      <c r="R1208" s="9">
        <f>+IFERROR(VLOOKUP(Tabla3[[#This Row],[Cliente factura]],Tabla4[[NIT]:[TOTAL CREDITO]],6,FALSE),0)</f>
        <v>0</v>
      </c>
      <c r="S1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8" s="10" t="str">
        <f>VLOOKUP(Tabla3[[#This Row],[Razón social cliente factura]]&amp;Tabla3[[#This Row],[Desc. ciudad]],'Estandar de Rutas'!$C$1:$E$553,2,FALSE)</f>
        <v>1.3</v>
      </c>
      <c r="U1208" s="130">
        <f>IFERROR(VLOOKUP(Tabla3[[#This Row],[Referencia]]&amp;Tabla3[[#This Row],[Desc detalle ext 1]],Tabla1[[Referencia-Color]:[Disponibilidad]],3,FALSE),0)</f>
        <v>3</v>
      </c>
      <c r="V1208" s="13"/>
      <c r="W1208" s="17">
        <f>+Tabla3[[#This Row],[Cant. Programada]]*Tabla3[[#This Row],[Precio unit]]</f>
        <v>0</v>
      </c>
      <c r="X1208" s="8"/>
      <c r="Y1208" s="8"/>
      <c r="Z1208" s="8" t="str">
        <f>+Tabla3[[#This Row],[Referencia]]&amp;Tabla3[[#This Row],[Desc detalle ext 1]]</f>
        <v>CB 160F DLX                                       NARANJA N</v>
      </c>
      <c r="AA1208" s="128" t="e">
        <f>+VLOOKUP(Tabla3[[#This Row],[CODIGO2]],ESTANDAR!$B$3:$C$9,2,FALSE)</f>
        <v>#N/A</v>
      </c>
      <c r="AB1208" s="128" t="str">
        <f>+MID(Tabla3[[#This Row],['# Viaje]],10,1)</f>
        <v/>
      </c>
    </row>
    <row r="1209" spans="1:28" ht="15" hidden="1" customHeight="1">
      <c r="A1209" s="75" t="s">
        <v>1697</v>
      </c>
      <c r="B1209" s="76">
        <v>42949</v>
      </c>
      <c r="C1209" s="75" t="s">
        <v>1231</v>
      </c>
      <c r="D1209" s="75" t="s">
        <v>1478</v>
      </c>
      <c r="E1209" s="75" t="s">
        <v>1232</v>
      </c>
      <c r="F1209" s="75">
        <v>15</v>
      </c>
      <c r="G1209" s="75" t="s">
        <v>43</v>
      </c>
      <c r="H1209" s="75">
        <v>15</v>
      </c>
      <c r="I1209" s="75" t="s">
        <v>459</v>
      </c>
      <c r="J1209" s="75" t="s">
        <v>354</v>
      </c>
      <c r="K1209" s="75" t="s">
        <v>355</v>
      </c>
      <c r="L1209" s="76"/>
      <c r="M1209" s="75" t="s">
        <v>42</v>
      </c>
      <c r="N1209" s="75">
        <v>890330584</v>
      </c>
      <c r="O1209" s="77">
        <v>6133613</v>
      </c>
      <c r="P1209" s="7"/>
      <c r="Q1209" s="16">
        <f>+IF(IFERROR(VLOOKUP(Tabla3[[#This Row],[Cliente factura]],Tabla4[[NIT]:[TOTAL CREDITO]],3,FALSE),0)="",0,IFERROR(VLOOKUP(Tabla3[[#This Row],[Cliente factura]],Tabla4[[NIT]:[TOTAL CREDITO]],3,FALSE),0))</f>
        <v>802084041</v>
      </c>
      <c r="R1209" s="9">
        <f>+IFERROR(VLOOKUP(Tabla3[[#This Row],[Cliente factura]],Tabla4[[NIT]:[TOTAL CREDITO]],6,FALSE),0)</f>
        <v>0</v>
      </c>
      <c r="S1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9" s="10" t="str">
        <f>VLOOKUP(Tabla3[[#This Row],[Razón social cliente factura]]&amp;Tabla3[[#This Row],[Desc. ciudad]],'Estandar de Rutas'!$C$1:$E$553,2,FALSE)</f>
        <v>1.3</v>
      </c>
      <c r="U1209" s="130">
        <f>IFERROR(VLOOKUP(Tabla3[[#This Row],[Referencia]]&amp;Tabla3[[#This Row],[Desc detalle ext 1]],Tabla1[[Referencia-Color]:[Disponibilidad]],3,FALSE),0)</f>
        <v>0</v>
      </c>
      <c r="V1209" s="13"/>
      <c r="W1209" s="17">
        <f>+Tabla3[[#This Row],[Cant. Programada]]*Tabla3[[#This Row],[Precio unit]]</f>
        <v>0</v>
      </c>
      <c r="X1209" s="8"/>
      <c r="Y1209" s="8"/>
      <c r="Z1209" s="8" t="str">
        <f>+Tabla3[[#This Row],[Referencia]]&amp;Tabla3[[#This Row],[Desc detalle ext 1]]</f>
        <v>CB 160F DLX                                       NEGRO PER</v>
      </c>
      <c r="AA1209" s="128" t="e">
        <f>+VLOOKUP(Tabla3[[#This Row],[CODIGO2]],ESTANDAR!$B$3:$C$9,2,FALSE)</f>
        <v>#N/A</v>
      </c>
      <c r="AB1209" s="128" t="str">
        <f>+MID(Tabla3[[#This Row],['# Viaje]],10,1)</f>
        <v/>
      </c>
    </row>
    <row r="1210" spans="1:28" ht="15" hidden="1" customHeight="1">
      <c r="A1210" s="75" t="s">
        <v>1697</v>
      </c>
      <c r="B1210" s="76">
        <v>42949</v>
      </c>
      <c r="C1210" s="75" t="s">
        <v>1231</v>
      </c>
      <c r="D1210" s="75" t="s">
        <v>1478</v>
      </c>
      <c r="E1210" s="75" t="s">
        <v>1232</v>
      </c>
      <c r="F1210" s="75">
        <v>3</v>
      </c>
      <c r="G1210" s="75" t="s">
        <v>43</v>
      </c>
      <c r="H1210" s="75">
        <v>3</v>
      </c>
      <c r="I1210" s="75" t="s">
        <v>459</v>
      </c>
      <c r="J1210" s="75" t="s">
        <v>1433</v>
      </c>
      <c r="K1210" s="75" t="s">
        <v>1452</v>
      </c>
      <c r="L1210" s="76"/>
      <c r="M1210" s="75" t="s">
        <v>42</v>
      </c>
      <c r="N1210" s="75">
        <v>890330584</v>
      </c>
      <c r="O1210" s="77">
        <v>3521008</v>
      </c>
      <c r="P1210" s="7"/>
      <c r="Q1210" s="16">
        <f>+IF(IFERROR(VLOOKUP(Tabla3[[#This Row],[Cliente factura]],Tabla4[[NIT]:[TOTAL CREDITO]],3,FALSE),0)="",0,IFERROR(VLOOKUP(Tabla3[[#This Row],[Cliente factura]],Tabla4[[NIT]:[TOTAL CREDITO]],3,FALSE),0))</f>
        <v>802084041</v>
      </c>
      <c r="R1210" s="9">
        <f>+IFERROR(VLOOKUP(Tabla3[[#This Row],[Cliente factura]],Tabla4[[NIT]:[TOTAL CREDITO]],6,FALSE),0)</f>
        <v>0</v>
      </c>
      <c r="S1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0" s="10" t="str">
        <f>VLOOKUP(Tabla3[[#This Row],[Razón social cliente factura]]&amp;Tabla3[[#This Row],[Desc. ciudad]],'Estandar de Rutas'!$C$1:$E$553,2,FALSE)</f>
        <v>1.3</v>
      </c>
      <c r="U1210" s="130">
        <f>IFERROR(VLOOKUP(Tabla3[[#This Row],[Referencia]]&amp;Tabla3[[#This Row],[Desc detalle ext 1]],Tabla1[[Referencia-Color]:[Disponibilidad]],3,FALSE),0)</f>
        <v>0</v>
      </c>
      <c r="V1210" s="13"/>
      <c r="W1210" s="17">
        <f>+Tabla3[[#This Row],[Cant. Programada]]*Tabla3[[#This Row],[Precio unit]]</f>
        <v>0</v>
      </c>
      <c r="X1210" s="8"/>
      <c r="Y1210" s="8"/>
      <c r="Z1210" s="8" t="str">
        <f>+Tabla3[[#This Row],[Referencia]]&amp;Tabla3[[#This Row],[Desc detalle ext 1]]</f>
        <v xml:space="preserve">DIO  110                                          AZUL     </v>
      </c>
      <c r="AA1210" s="128" t="e">
        <f>+VLOOKUP(Tabla3[[#This Row],[CODIGO2]],ESTANDAR!$B$3:$C$9,2,FALSE)</f>
        <v>#N/A</v>
      </c>
      <c r="AB1210" s="128" t="str">
        <f>+MID(Tabla3[[#This Row],['# Viaje]],10,1)</f>
        <v/>
      </c>
    </row>
    <row r="1211" spans="1:28" ht="15" hidden="1" customHeight="1">
      <c r="A1211" s="75" t="s">
        <v>1697</v>
      </c>
      <c r="B1211" s="76">
        <v>42949</v>
      </c>
      <c r="C1211" s="75" t="s">
        <v>1231</v>
      </c>
      <c r="D1211" s="75" t="s">
        <v>1478</v>
      </c>
      <c r="E1211" s="75" t="s">
        <v>1232</v>
      </c>
      <c r="F1211" s="75">
        <v>7</v>
      </c>
      <c r="G1211" s="75" t="s">
        <v>43</v>
      </c>
      <c r="H1211" s="75">
        <v>7</v>
      </c>
      <c r="I1211" s="75" t="s">
        <v>459</v>
      </c>
      <c r="J1211" s="75" t="s">
        <v>1433</v>
      </c>
      <c r="K1211" s="75" t="s">
        <v>1431</v>
      </c>
      <c r="L1211" s="76"/>
      <c r="M1211" s="75" t="s">
        <v>42</v>
      </c>
      <c r="N1211" s="75">
        <v>890330584</v>
      </c>
      <c r="O1211" s="77">
        <v>3521008</v>
      </c>
      <c r="P1211" s="7"/>
      <c r="Q1211" s="16">
        <f>+IF(IFERROR(VLOOKUP(Tabla3[[#This Row],[Cliente factura]],Tabla4[[NIT]:[TOTAL CREDITO]],3,FALSE),0)="",0,IFERROR(VLOOKUP(Tabla3[[#This Row],[Cliente factura]],Tabla4[[NIT]:[TOTAL CREDITO]],3,FALSE),0))</f>
        <v>802084041</v>
      </c>
      <c r="R1211" s="9">
        <f>+IFERROR(VLOOKUP(Tabla3[[#This Row],[Cliente factura]],Tabla4[[NIT]:[TOTAL CREDITO]],6,FALSE),0)</f>
        <v>0</v>
      </c>
      <c r="S1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1" s="10" t="str">
        <f>VLOOKUP(Tabla3[[#This Row],[Razón social cliente factura]]&amp;Tabla3[[#This Row],[Desc. ciudad]],'Estandar de Rutas'!$C$1:$E$553,2,FALSE)</f>
        <v>1.3</v>
      </c>
      <c r="U1211" s="130">
        <f>IFERROR(VLOOKUP(Tabla3[[#This Row],[Referencia]]&amp;Tabla3[[#This Row],[Desc detalle ext 1]],Tabla1[[Referencia-Color]:[Disponibilidad]],3,FALSE),0)</f>
        <v>0</v>
      </c>
      <c r="V1211" s="13"/>
      <c r="W1211" s="17">
        <f>+Tabla3[[#This Row],[Cant. Programada]]*Tabla3[[#This Row],[Precio unit]]</f>
        <v>0</v>
      </c>
      <c r="X1211" s="8"/>
      <c r="Y1211" s="8"/>
      <c r="Z1211" s="8" t="str">
        <f>+Tabla3[[#This Row],[Referencia]]&amp;Tabla3[[#This Row],[Desc detalle ext 1]]</f>
        <v xml:space="preserve">DIO  110                                          ROJO     </v>
      </c>
      <c r="AA1211" s="128" t="e">
        <f>+VLOOKUP(Tabla3[[#This Row],[CODIGO2]],ESTANDAR!$B$3:$C$9,2,FALSE)</f>
        <v>#N/A</v>
      </c>
      <c r="AB1211" s="128" t="str">
        <f>+MID(Tabla3[[#This Row],['# Viaje]],10,1)</f>
        <v/>
      </c>
    </row>
    <row r="1212" spans="1:28" ht="15" hidden="1" customHeight="1">
      <c r="A1212" s="75" t="s">
        <v>1697</v>
      </c>
      <c r="B1212" s="76">
        <v>42949</v>
      </c>
      <c r="C1212" s="75" t="s">
        <v>1231</v>
      </c>
      <c r="D1212" s="75" t="s">
        <v>1478</v>
      </c>
      <c r="E1212" s="75" t="s">
        <v>1232</v>
      </c>
      <c r="F1212" s="75">
        <v>7</v>
      </c>
      <c r="G1212" s="75" t="s">
        <v>43</v>
      </c>
      <c r="H1212" s="75">
        <v>7</v>
      </c>
      <c r="I1212" s="75" t="s">
        <v>459</v>
      </c>
      <c r="J1212" s="75" t="s">
        <v>1428</v>
      </c>
      <c r="K1212" s="75" t="s">
        <v>1461</v>
      </c>
      <c r="L1212" s="76"/>
      <c r="M1212" s="75" t="s">
        <v>42</v>
      </c>
      <c r="N1212" s="75">
        <v>890330584</v>
      </c>
      <c r="O1212" s="77">
        <v>3067227</v>
      </c>
      <c r="P1212" s="7"/>
      <c r="Q1212" s="16">
        <f>+IF(IFERROR(VLOOKUP(Tabla3[[#This Row],[Cliente factura]],Tabla4[[NIT]:[TOTAL CREDITO]],3,FALSE),0)="",0,IFERROR(VLOOKUP(Tabla3[[#This Row],[Cliente factura]],Tabla4[[NIT]:[TOTAL CREDITO]],3,FALSE),0))</f>
        <v>802084041</v>
      </c>
      <c r="R1212" s="9">
        <f>+IFERROR(VLOOKUP(Tabla3[[#This Row],[Cliente factura]],Tabla4[[NIT]:[TOTAL CREDITO]],6,FALSE),0)</f>
        <v>0</v>
      </c>
      <c r="S1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2" s="10" t="str">
        <f>VLOOKUP(Tabla3[[#This Row],[Razón social cliente factura]]&amp;Tabla3[[#This Row],[Desc. ciudad]],'Estandar de Rutas'!$C$1:$E$553,2,FALSE)</f>
        <v>1.3</v>
      </c>
      <c r="U1212" s="130">
        <f>IFERROR(VLOOKUP(Tabla3[[#This Row],[Referencia]]&amp;Tabla3[[#This Row],[Desc detalle ext 1]],Tabla1[[Referencia-Color]:[Disponibilidad]],3,FALSE),0)</f>
        <v>0</v>
      </c>
      <c r="V1212" s="13"/>
      <c r="W1212" s="17">
        <f>+Tabla3[[#This Row],[Cant. Programada]]*Tabla3[[#This Row],[Precio unit]]</f>
        <v>0</v>
      </c>
      <c r="X1212" s="8"/>
      <c r="Y1212" s="8"/>
      <c r="Z1212" s="8" t="str">
        <f>+Tabla3[[#This Row],[Referencia]]&amp;Tabla3[[#This Row],[Desc detalle ext 1]]</f>
        <v>DREAM  NEO                                        ROJO ALFA</v>
      </c>
      <c r="AA1212" s="128" t="e">
        <f>+VLOOKUP(Tabla3[[#This Row],[CODIGO2]],ESTANDAR!$B$3:$C$9,2,FALSE)</f>
        <v>#N/A</v>
      </c>
      <c r="AB1212" s="128" t="str">
        <f>+MID(Tabla3[[#This Row],['# Viaje]],10,1)</f>
        <v/>
      </c>
    </row>
    <row r="1213" spans="1:28" ht="15" hidden="1" customHeight="1">
      <c r="A1213" s="75" t="s">
        <v>1697</v>
      </c>
      <c r="B1213" s="76">
        <v>42949</v>
      </c>
      <c r="C1213" s="75" t="s">
        <v>1231</v>
      </c>
      <c r="D1213" s="75" t="s">
        <v>1478</v>
      </c>
      <c r="E1213" s="75" t="s">
        <v>1232</v>
      </c>
      <c r="F1213" s="75">
        <v>22</v>
      </c>
      <c r="G1213" s="75" t="s">
        <v>43</v>
      </c>
      <c r="H1213" s="75">
        <v>22</v>
      </c>
      <c r="I1213" s="75" t="s">
        <v>459</v>
      </c>
      <c r="J1213" s="75" t="s">
        <v>1428</v>
      </c>
      <c r="K1213" s="75" t="s">
        <v>1429</v>
      </c>
      <c r="L1213" s="76"/>
      <c r="M1213" s="75" t="s">
        <v>42</v>
      </c>
      <c r="N1213" s="75">
        <v>890330584</v>
      </c>
      <c r="O1213" s="77">
        <v>3067227</v>
      </c>
      <c r="P1213" s="7"/>
      <c r="Q1213" s="16">
        <f>+IF(IFERROR(VLOOKUP(Tabla3[[#This Row],[Cliente factura]],Tabla4[[NIT]:[TOTAL CREDITO]],3,FALSE),0)="",0,IFERROR(VLOOKUP(Tabla3[[#This Row],[Cliente factura]],Tabla4[[NIT]:[TOTAL CREDITO]],3,FALSE),0))</f>
        <v>802084041</v>
      </c>
      <c r="R1213" s="9">
        <f>+IFERROR(VLOOKUP(Tabla3[[#This Row],[Cliente factura]],Tabla4[[NIT]:[TOTAL CREDITO]],6,FALSE),0)</f>
        <v>0</v>
      </c>
      <c r="S1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3" s="10" t="str">
        <f>VLOOKUP(Tabla3[[#This Row],[Razón social cliente factura]]&amp;Tabla3[[#This Row],[Desc. ciudad]],'Estandar de Rutas'!$C$1:$E$553,2,FALSE)</f>
        <v>1.3</v>
      </c>
      <c r="U1213" s="130">
        <f>IFERROR(VLOOKUP(Tabla3[[#This Row],[Referencia]]&amp;Tabla3[[#This Row],[Desc detalle ext 1]],Tabla1[[Referencia-Color]:[Disponibilidad]],3,FALSE),0)</f>
        <v>0</v>
      </c>
      <c r="V1213" s="13"/>
      <c r="W1213" s="17">
        <f>+Tabla3[[#This Row],[Cant. Programada]]*Tabla3[[#This Row],[Precio unit]]</f>
        <v>0</v>
      </c>
      <c r="X1213" s="8"/>
      <c r="Y1213" s="8"/>
      <c r="Z1213" s="8" t="str">
        <f>+Tabla3[[#This Row],[Referencia]]&amp;Tabla3[[#This Row],[Desc detalle ext 1]]</f>
        <v>DREAM  NEO                                        NEGRO AZU</v>
      </c>
      <c r="AA1213" s="128" t="e">
        <f>+VLOOKUP(Tabla3[[#This Row],[CODIGO2]],ESTANDAR!$B$3:$C$9,2,FALSE)</f>
        <v>#N/A</v>
      </c>
      <c r="AB1213" s="128" t="str">
        <f>+MID(Tabla3[[#This Row],['# Viaje]],10,1)</f>
        <v/>
      </c>
    </row>
    <row r="1214" spans="1:28" ht="15" hidden="1" customHeight="1">
      <c r="A1214" s="75" t="s">
        <v>1697</v>
      </c>
      <c r="B1214" s="76">
        <v>42949</v>
      </c>
      <c r="C1214" s="75" t="s">
        <v>1231</v>
      </c>
      <c r="D1214" s="75" t="s">
        <v>1478</v>
      </c>
      <c r="E1214" s="75" t="s">
        <v>1232</v>
      </c>
      <c r="F1214" s="75">
        <v>7</v>
      </c>
      <c r="G1214" s="75" t="s">
        <v>43</v>
      </c>
      <c r="H1214" s="75">
        <v>7</v>
      </c>
      <c r="I1214" s="75" t="s">
        <v>459</v>
      </c>
      <c r="J1214" s="75" t="s">
        <v>1430</v>
      </c>
      <c r="K1214" s="75" t="s">
        <v>1431</v>
      </c>
      <c r="L1214" s="76"/>
      <c r="M1214" s="75" t="s">
        <v>42</v>
      </c>
      <c r="N1214" s="75">
        <v>890330584</v>
      </c>
      <c r="O1214" s="77">
        <v>3941176</v>
      </c>
      <c r="P1214" s="7"/>
      <c r="Q1214" s="16">
        <f>+IF(IFERROR(VLOOKUP(Tabla3[[#This Row],[Cliente factura]],Tabla4[[NIT]:[TOTAL CREDITO]],3,FALSE),0)="",0,IFERROR(VLOOKUP(Tabla3[[#This Row],[Cliente factura]],Tabla4[[NIT]:[TOTAL CREDITO]],3,FALSE),0))</f>
        <v>802084041</v>
      </c>
      <c r="R1214" s="9">
        <f>+IFERROR(VLOOKUP(Tabla3[[#This Row],[Cliente factura]],Tabla4[[NIT]:[TOTAL CREDITO]],6,FALSE),0)</f>
        <v>0</v>
      </c>
      <c r="S1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4" s="10" t="str">
        <f>VLOOKUP(Tabla3[[#This Row],[Razón social cliente factura]]&amp;Tabla3[[#This Row],[Desc. ciudad]],'Estandar de Rutas'!$C$1:$E$553,2,FALSE)</f>
        <v>1.3</v>
      </c>
      <c r="U1214" s="130">
        <f>IFERROR(VLOOKUP(Tabla3[[#This Row],[Referencia]]&amp;Tabla3[[#This Row],[Desc detalle ext 1]],Tabla1[[Referencia-Color]:[Disponibilidad]],3,FALSE),0)</f>
        <v>0</v>
      </c>
      <c r="V1214" s="13"/>
      <c r="W1214" s="17">
        <f>+Tabla3[[#This Row],[Cant. Programada]]*Tabla3[[#This Row],[Precio unit]]</f>
        <v>0</v>
      </c>
      <c r="X1214" s="8"/>
      <c r="Y1214" s="8"/>
      <c r="Z1214" s="8" t="str">
        <f>+Tabla3[[#This Row],[Referencia]]&amp;Tabla3[[#This Row],[Desc detalle ext 1]]</f>
        <v xml:space="preserve">WAVE 110S                                         ROJO     </v>
      </c>
      <c r="AA1214" s="128" t="e">
        <f>+VLOOKUP(Tabla3[[#This Row],[CODIGO2]],ESTANDAR!$B$3:$C$9,2,FALSE)</f>
        <v>#N/A</v>
      </c>
      <c r="AB1214" s="128" t="str">
        <f>+MID(Tabla3[[#This Row],['# Viaje]],10,1)</f>
        <v/>
      </c>
    </row>
    <row r="1215" spans="1:28" ht="15" hidden="1" customHeight="1">
      <c r="A1215" s="75" t="s">
        <v>1697</v>
      </c>
      <c r="B1215" s="76">
        <v>42949</v>
      </c>
      <c r="C1215" s="75" t="s">
        <v>1231</v>
      </c>
      <c r="D1215" s="75" t="s">
        <v>1478</v>
      </c>
      <c r="E1215" s="75" t="s">
        <v>1232</v>
      </c>
      <c r="F1215" s="75">
        <v>10</v>
      </c>
      <c r="G1215" s="75" t="s">
        <v>43</v>
      </c>
      <c r="H1215" s="75">
        <v>10</v>
      </c>
      <c r="I1215" s="75" t="s">
        <v>459</v>
      </c>
      <c r="J1215" s="75" t="s">
        <v>1430</v>
      </c>
      <c r="K1215" s="75" t="s">
        <v>1432</v>
      </c>
      <c r="L1215" s="76"/>
      <c r="M1215" s="75" t="s">
        <v>42</v>
      </c>
      <c r="N1215" s="75">
        <v>890330584</v>
      </c>
      <c r="O1215" s="77">
        <v>3941176</v>
      </c>
      <c r="P1215" s="7"/>
      <c r="Q1215" s="16">
        <f>+IF(IFERROR(VLOOKUP(Tabla3[[#This Row],[Cliente factura]],Tabla4[[NIT]:[TOTAL CREDITO]],3,FALSE),0)="",0,IFERROR(VLOOKUP(Tabla3[[#This Row],[Cliente factura]],Tabla4[[NIT]:[TOTAL CREDITO]],3,FALSE),0))</f>
        <v>802084041</v>
      </c>
      <c r="R1215" s="9">
        <f>+IFERROR(VLOOKUP(Tabla3[[#This Row],[Cliente factura]],Tabla4[[NIT]:[TOTAL CREDITO]],6,FALSE),0)</f>
        <v>0</v>
      </c>
      <c r="S1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5" s="10" t="str">
        <f>VLOOKUP(Tabla3[[#This Row],[Razón social cliente factura]]&amp;Tabla3[[#This Row],[Desc. ciudad]],'Estandar de Rutas'!$C$1:$E$553,2,FALSE)</f>
        <v>1.3</v>
      </c>
      <c r="U1215" s="130">
        <f>IFERROR(VLOOKUP(Tabla3[[#This Row],[Referencia]]&amp;Tabla3[[#This Row],[Desc detalle ext 1]],Tabla1[[Referencia-Color]:[Disponibilidad]],3,FALSE),0)</f>
        <v>23</v>
      </c>
      <c r="V1215" s="13"/>
      <c r="W1215" s="17">
        <f>+Tabla3[[#This Row],[Cant. Programada]]*Tabla3[[#This Row],[Precio unit]]</f>
        <v>0</v>
      </c>
      <c r="X1215" s="8"/>
      <c r="Y1215" s="8"/>
      <c r="Z1215" s="8" t="str">
        <f>+Tabla3[[#This Row],[Referencia]]&amp;Tabla3[[#This Row],[Desc detalle ext 1]]</f>
        <v xml:space="preserve">WAVE 110S                                         BLANCO   </v>
      </c>
      <c r="AA1215" s="128" t="e">
        <f>+VLOOKUP(Tabla3[[#This Row],[CODIGO2]],ESTANDAR!$B$3:$C$9,2,FALSE)</f>
        <v>#N/A</v>
      </c>
      <c r="AB1215" s="128" t="str">
        <f>+MID(Tabla3[[#This Row],['# Viaje]],10,1)</f>
        <v/>
      </c>
    </row>
    <row r="1216" spans="1:28" ht="15" hidden="1" customHeight="1">
      <c r="A1216" s="75" t="s">
        <v>1697</v>
      </c>
      <c r="B1216" s="76">
        <v>42949</v>
      </c>
      <c r="C1216" s="75" t="s">
        <v>1231</v>
      </c>
      <c r="D1216" s="75" t="s">
        <v>1478</v>
      </c>
      <c r="E1216" s="75" t="s">
        <v>1232</v>
      </c>
      <c r="F1216" s="75">
        <v>15</v>
      </c>
      <c r="G1216" s="75" t="s">
        <v>43</v>
      </c>
      <c r="H1216" s="75">
        <v>15</v>
      </c>
      <c r="I1216" s="75" t="s">
        <v>459</v>
      </c>
      <c r="J1216" s="75" t="s">
        <v>1430</v>
      </c>
      <c r="K1216" s="75" t="s">
        <v>16</v>
      </c>
      <c r="L1216" s="76"/>
      <c r="M1216" s="75" t="s">
        <v>42</v>
      </c>
      <c r="N1216" s="75">
        <v>890330584</v>
      </c>
      <c r="O1216" s="77">
        <v>3941176</v>
      </c>
      <c r="P1216" s="7"/>
      <c r="Q1216" s="16">
        <f>+IF(IFERROR(VLOOKUP(Tabla3[[#This Row],[Cliente factura]],Tabla4[[NIT]:[TOTAL CREDITO]],3,FALSE),0)="",0,IFERROR(VLOOKUP(Tabla3[[#This Row],[Cliente factura]],Tabla4[[NIT]:[TOTAL CREDITO]],3,FALSE),0))</f>
        <v>802084041</v>
      </c>
      <c r="R1216" s="9">
        <f>+IFERROR(VLOOKUP(Tabla3[[#This Row],[Cliente factura]],Tabla4[[NIT]:[TOTAL CREDITO]],6,FALSE),0)</f>
        <v>0</v>
      </c>
      <c r="S1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6" s="10" t="str">
        <f>VLOOKUP(Tabla3[[#This Row],[Razón social cliente factura]]&amp;Tabla3[[#This Row],[Desc. ciudad]],'Estandar de Rutas'!$C$1:$E$553,2,FALSE)</f>
        <v>1.3</v>
      </c>
      <c r="U1216" s="130">
        <f>IFERROR(VLOOKUP(Tabla3[[#This Row],[Referencia]]&amp;Tabla3[[#This Row],[Desc detalle ext 1]],Tabla1[[Referencia-Color]:[Disponibilidad]],3,FALSE),0)</f>
        <v>0</v>
      </c>
      <c r="V1216" s="13"/>
      <c r="W1216" s="17">
        <f>+Tabla3[[#This Row],[Cant. Programada]]*Tabla3[[#This Row],[Precio unit]]</f>
        <v>0</v>
      </c>
      <c r="X1216" s="8"/>
      <c r="Y1216" s="8"/>
      <c r="Z1216" s="8" t="str">
        <f>+Tabla3[[#This Row],[Referencia]]&amp;Tabla3[[#This Row],[Desc detalle ext 1]]</f>
        <v xml:space="preserve">WAVE 110S                                         NEGRO    </v>
      </c>
      <c r="AA1216" s="128" t="e">
        <f>+VLOOKUP(Tabla3[[#This Row],[CODIGO2]],ESTANDAR!$B$3:$C$9,2,FALSE)</f>
        <v>#N/A</v>
      </c>
      <c r="AB1216" s="128" t="str">
        <f>+MID(Tabla3[[#This Row],['# Viaje]],10,1)</f>
        <v/>
      </c>
    </row>
    <row r="1217" spans="1:28" ht="15" hidden="1" customHeight="1">
      <c r="A1217" s="78" t="s">
        <v>1697</v>
      </c>
      <c r="B1217" s="79">
        <v>42949</v>
      </c>
      <c r="C1217" s="78" t="s">
        <v>1231</v>
      </c>
      <c r="D1217" s="78" t="s">
        <v>1478</v>
      </c>
      <c r="E1217" s="78" t="s">
        <v>1232</v>
      </c>
      <c r="F1217" s="78">
        <v>6</v>
      </c>
      <c r="G1217" s="78" t="s">
        <v>43</v>
      </c>
      <c r="H1217" s="78">
        <v>6</v>
      </c>
      <c r="I1217" s="78" t="s">
        <v>459</v>
      </c>
      <c r="J1217" s="78" t="s">
        <v>1234</v>
      </c>
      <c r="K1217" s="78" t="s">
        <v>17</v>
      </c>
      <c r="L1217" s="79"/>
      <c r="M1217" s="78" t="s">
        <v>42</v>
      </c>
      <c r="N1217" s="78">
        <v>890330584</v>
      </c>
      <c r="O1217" s="80">
        <v>5453782</v>
      </c>
      <c r="P1217" s="7"/>
      <c r="Q1217" s="16">
        <f>+IF(IFERROR(VLOOKUP(Tabla3[[#This Row],[Cliente factura]],Tabla4[[NIT]:[TOTAL CREDITO]],3,FALSE),0)="",0,IFERROR(VLOOKUP(Tabla3[[#This Row],[Cliente factura]],Tabla4[[NIT]:[TOTAL CREDITO]],3,FALSE),0))</f>
        <v>802084041</v>
      </c>
      <c r="R1217" s="9">
        <f>+IFERROR(VLOOKUP(Tabla3[[#This Row],[Cliente factura]],Tabla4[[NIT]:[TOTAL CREDITO]],6,FALSE),0)</f>
        <v>0</v>
      </c>
      <c r="S1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7" s="10" t="str">
        <f>VLOOKUP(Tabla3[[#This Row],[Razón social cliente factura]]&amp;Tabla3[[#This Row],[Desc. ciudad]],'Estandar de Rutas'!$C$1:$E$553,2,FALSE)</f>
        <v>1.3</v>
      </c>
      <c r="U1217" s="130">
        <f>IFERROR(VLOOKUP(Tabla3[[#This Row],[Referencia]]&amp;Tabla3[[#This Row],[Desc detalle ext 1]],Tabla1[[Referencia-Color]:[Disponibilidad]],3,FALSE),0)</f>
        <v>0</v>
      </c>
      <c r="V1217" s="13"/>
      <c r="W1217" s="17">
        <f>+Tabla3[[#This Row],[Cant. Programada]]*Tabla3[[#This Row],[Precio unit]]</f>
        <v>0</v>
      </c>
      <c r="X1217" s="8"/>
      <c r="Y1217" s="8"/>
      <c r="Z1217" s="8" t="str">
        <f>+Tabla3[[#This Row],[Referencia]]&amp;Tabla3[[#This Row],[Desc detalle ext 1]]</f>
        <v>CB 160F STD                                       ROJO SPOR</v>
      </c>
      <c r="AA1217" s="128" t="e">
        <f>+VLOOKUP(Tabla3[[#This Row],[CODIGO2]],ESTANDAR!$B$3:$C$9,2,FALSE)</f>
        <v>#N/A</v>
      </c>
      <c r="AB1217" s="128" t="str">
        <f>+MID(Tabla3[[#This Row],['# Viaje]],10,1)</f>
        <v/>
      </c>
    </row>
    <row r="1218" spans="1:28" ht="15" hidden="1" customHeight="1">
      <c r="A1218" s="78" t="s">
        <v>1697</v>
      </c>
      <c r="B1218" s="79">
        <v>42949</v>
      </c>
      <c r="C1218" s="78" t="s">
        <v>1231</v>
      </c>
      <c r="D1218" s="78" t="s">
        <v>1478</v>
      </c>
      <c r="E1218" s="78" t="s">
        <v>1232</v>
      </c>
      <c r="F1218" s="78">
        <v>19</v>
      </c>
      <c r="G1218" s="78" t="s">
        <v>43</v>
      </c>
      <c r="H1218" s="78">
        <v>19</v>
      </c>
      <c r="I1218" s="78" t="s">
        <v>459</v>
      </c>
      <c r="J1218" s="78" t="s">
        <v>1234</v>
      </c>
      <c r="K1218" s="78" t="s">
        <v>355</v>
      </c>
      <c r="L1218" s="79"/>
      <c r="M1218" s="78" t="s">
        <v>42</v>
      </c>
      <c r="N1218" s="78">
        <v>890330584</v>
      </c>
      <c r="O1218" s="80">
        <v>5453782</v>
      </c>
      <c r="P1218" s="7"/>
      <c r="Q1218" s="16">
        <f>+IF(IFERROR(VLOOKUP(Tabla3[[#This Row],[Cliente factura]],Tabla4[[NIT]:[TOTAL CREDITO]],3,FALSE),0)="",0,IFERROR(VLOOKUP(Tabla3[[#This Row],[Cliente factura]],Tabla4[[NIT]:[TOTAL CREDITO]],3,FALSE),0))</f>
        <v>802084041</v>
      </c>
      <c r="R1218" s="9">
        <f>+IFERROR(VLOOKUP(Tabla3[[#This Row],[Cliente factura]],Tabla4[[NIT]:[TOTAL CREDITO]],6,FALSE),0)</f>
        <v>0</v>
      </c>
      <c r="S1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8" s="10" t="str">
        <f>VLOOKUP(Tabla3[[#This Row],[Razón social cliente factura]]&amp;Tabla3[[#This Row],[Desc. ciudad]],'Estandar de Rutas'!$C$1:$E$553,2,FALSE)</f>
        <v>1.3</v>
      </c>
      <c r="U1218" s="130">
        <f>IFERROR(VLOOKUP(Tabla3[[#This Row],[Referencia]]&amp;Tabla3[[#This Row],[Desc detalle ext 1]],Tabla1[[Referencia-Color]:[Disponibilidad]],3,FALSE),0)</f>
        <v>0</v>
      </c>
      <c r="V1218" s="13"/>
      <c r="W1218" s="17">
        <f>+Tabla3[[#This Row],[Cant. Programada]]*Tabla3[[#This Row],[Precio unit]]</f>
        <v>0</v>
      </c>
      <c r="X1218" s="8"/>
      <c r="Y1218" s="8"/>
      <c r="Z1218" s="8" t="str">
        <f>+Tabla3[[#This Row],[Referencia]]&amp;Tabla3[[#This Row],[Desc detalle ext 1]]</f>
        <v>CB 160F STD                                       NEGRO PER</v>
      </c>
      <c r="AA1218" s="128" t="e">
        <f>+VLOOKUP(Tabla3[[#This Row],[CODIGO2]],ESTANDAR!$B$3:$C$9,2,FALSE)</f>
        <v>#N/A</v>
      </c>
      <c r="AB1218" s="128" t="str">
        <f>+MID(Tabla3[[#This Row],['# Viaje]],10,1)</f>
        <v/>
      </c>
    </row>
    <row r="1219" spans="1:28" ht="15" hidden="1" customHeight="1">
      <c r="A1219" s="78" t="s">
        <v>1697</v>
      </c>
      <c r="B1219" s="79">
        <v>42949</v>
      </c>
      <c r="C1219" s="78" t="s">
        <v>1231</v>
      </c>
      <c r="D1219" s="78" t="s">
        <v>1478</v>
      </c>
      <c r="E1219" s="78" t="s">
        <v>1232</v>
      </c>
      <c r="F1219" s="78">
        <v>7</v>
      </c>
      <c r="G1219" s="78" t="s">
        <v>43</v>
      </c>
      <c r="H1219" s="78">
        <v>7</v>
      </c>
      <c r="I1219" s="78" t="s">
        <v>459</v>
      </c>
      <c r="J1219" s="78" t="s">
        <v>1234</v>
      </c>
      <c r="K1219" s="78" t="s">
        <v>44</v>
      </c>
      <c r="L1219" s="79"/>
      <c r="M1219" s="78" t="s">
        <v>42</v>
      </c>
      <c r="N1219" s="78">
        <v>890330584</v>
      </c>
      <c r="O1219" s="80">
        <v>5453782</v>
      </c>
      <c r="P1219" s="7"/>
      <c r="Q1219" s="16">
        <f>+IF(IFERROR(VLOOKUP(Tabla3[[#This Row],[Cliente factura]],Tabla4[[NIT]:[TOTAL CREDITO]],3,FALSE),0)="",0,IFERROR(VLOOKUP(Tabla3[[#This Row],[Cliente factura]],Tabla4[[NIT]:[TOTAL CREDITO]],3,FALSE),0))</f>
        <v>802084041</v>
      </c>
      <c r="R1219" s="9">
        <f>+IFERROR(VLOOKUP(Tabla3[[#This Row],[Cliente factura]],Tabla4[[NIT]:[TOTAL CREDITO]],6,FALSE),0)</f>
        <v>0</v>
      </c>
      <c r="S1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9" s="10" t="str">
        <f>VLOOKUP(Tabla3[[#This Row],[Razón social cliente factura]]&amp;Tabla3[[#This Row],[Desc. ciudad]],'Estandar de Rutas'!$C$1:$E$553,2,FALSE)</f>
        <v>1.3</v>
      </c>
      <c r="U1219" s="130">
        <f>IFERROR(VLOOKUP(Tabla3[[#This Row],[Referencia]]&amp;Tabla3[[#This Row],[Desc detalle ext 1]],Tabla1[[Referencia-Color]:[Disponibilidad]],3,FALSE),0)</f>
        <v>1</v>
      </c>
      <c r="V1219" s="13"/>
      <c r="W1219" s="17">
        <f>+Tabla3[[#This Row],[Cant. Programada]]*Tabla3[[#This Row],[Precio unit]]</f>
        <v>0</v>
      </c>
      <c r="X1219" s="8"/>
      <c r="Y1219" s="8"/>
      <c r="Z1219" s="8" t="str">
        <f>+Tabla3[[#This Row],[Referencia]]&amp;Tabla3[[#This Row],[Desc detalle ext 1]]</f>
        <v>CB 160F STD                                       BLANCO PE</v>
      </c>
      <c r="AA1219" s="128" t="e">
        <f>+VLOOKUP(Tabla3[[#This Row],[CODIGO2]],ESTANDAR!$B$3:$C$9,2,FALSE)</f>
        <v>#N/A</v>
      </c>
      <c r="AB1219" s="128" t="str">
        <f>+MID(Tabla3[[#This Row],['# Viaje]],10,1)</f>
        <v/>
      </c>
    </row>
    <row r="1220" spans="1:28" ht="15" hidden="1" customHeight="1">
      <c r="A1220" s="78" t="s">
        <v>1697</v>
      </c>
      <c r="B1220" s="79">
        <v>42949</v>
      </c>
      <c r="C1220" s="78" t="s">
        <v>1231</v>
      </c>
      <c r="D1220" s="78" t="s">
        <v>1478</v>
      </c>
      <c r="E1220" s="78" t="s">
        <v>1232</v>
      </c>
      <c r="F1220" s="78">
        <v>4</v>
      </c>
      <c r="G1220" s="78" t="s">
        <v>43</v>
      </c>
      <c r="H1220" s="78">
        <v>4</v>
      </c>
      <c r="I1220" s="78" t="s">
        <v>459</v>
      </c>
      <c r="J1220" s="78" t="s">
        <v>1451</v>
      </c>
      <c r="K1220" s="78" t="s">
        <v>1449</v>
      </c>
      <c r="L1220" s="79"/>
      <c r="M1220" s="78" t="s">
        <v>42</v>
      </c>
      <c r="N1220" s="78">
        <v>890330584</v>
      </c>
      <c r="O1220" s="80">
        <v>3696639</v>
      </c>
      <c r="P1220" s="7"/>
      <c r="Q1220" s="16">
        <f>+IF(IFERROR(VLOOKUP(Tabla3[[#This Row],[Cliente factura]],Tabla4[[NIT]:[TOTAL CREDITO]],3,FALSE),0)="",0,IFERROR(VLOOKUP(Tabla3[[#This Row],[Cliente factura]],Tabla4[[NIT]:[TOTAL CREDITO]],3,FALSE),0))</f>
        <v>802084041</v>
      </c>
      <c r="R1220" s="9">
        <f>+IFERROR(VLOOKUP(Tabla3[[#This Row],[Cliente factura]],Tabla4[[NIT]:[TOTAL CREDITO]],6,FALSE),0)</f>
        <v>0</v>
      </c>
      <c r="S1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0" s="10" t="str">
        <f>VLOOKUP(Tabla3[[#This Row],[Razón social cliente factura]]&amp;Tabla3[[#This Row],[Desc. ciudad]],'Estandar de Rutas'!$C$1:$E$553,2,FALSE)</f>
        <v>1.3</v>
      </c>
      <c r="U1220" s="130">
        <f>IFERROR(VLOOKUP(Tabla3[[#This Row],[Referencia]]&amp;Tabla3[[#This Row],[Desc detalle ext 1]],Tabla1[[Referencia-Color]:[Disponibilidad]],3,FALSE),0)</f>
        <v>24</v>
      </c>
      <c r="V1220" s="13"/>
      <c r="W1220" s="17">
        <f>+Tabla3[[#This Row],[Cant. Programada]]*Tabla3[[#This Row],[Precio unit]]</f>
        <v>0</v>
      </c>
      <c r="X1220" s="8"/>
      <c r="Y1220" s="8"/>
      <c r="Z1220" s="8" t="str">
        <f>+Tabla3[[#This Row],[Referencia]]&amp;Tabla3[[#This Row],[Desc detalle ext 1]]</f>
        <v xml:space="preserve">CB 110 DLX                                        GRIS     </v>
      </c>
      <c r="AA1220" s="128" t="e">
        <f>+VLOOKUP(Tabla3[[#This Row],[CODIGO2]],ESTANDAR!$B$3:$C$9,2,FALSE)</f>
        <v>#N/A</v>
      </c>
      <c r="AB1220" s="128" t="str">
        <f>+MID(Tabla3[[#This Row],['# Viaje]],10,1)</f>
        <v/>
      </c>
    </row>
    <row r="1221" spans="1:28" ht="15" hidden="1" customHeight="1">
      <c r="A1221" s="78" t="s">
        <v>1697</v>
      </c>
      <c r="B1221" s="79">
        <v>42949</v>
      </c>
      <c r="C1221" s="78" t="s">
        <v>1231</v>
      </c>
      <c r="D1221" s="78" t="s">
        <v>1478</v>
      </c>
      <c r="E1221" s="78" t="s">
        <v>1232</v>
      </c>
      <c r="F1221" s="78">
        <v>8</v>
      </c>
      <c r="G1221" s="78" t="s">
        <v>43</v>
      </c>
      <c r="H1221" s="78">
        <v>8</v>
      </c>
      <c r="I1221" s="78" t="s">
        <v>459</v>
      </c>
      <c r="J1221" s="78" t="s">
        <v>1451</v>
      </c>
      <c r="K1221" s="78" t="s">
        <v>16</v>
      </c>
      <c r="L1221" s="79"/>
      <c r="M1221" s="78" t="s">
        <v>42</v>
      </c>
      <c r="N1221" s="78">
        <v>890330584</v>
      </c>
      <c r="O1221" s="80">
        <v>3696639</v>
      </c>
      <c r="P1221" s="7"/>
      <c r="Q1221" s="16">
        <f>+IF(IFERROR(VLOOKUP(Tabla3[[#This Row],[Cliente factura]],Tabla4[[NIT]:[TOTAL CREDITO]],3,FALSE),0)="",0,IFERROR(VLOOKUP(Tabla3[[#This Row],[Cliente factura]],Tabla4[[NIT]:[TOTAL CREDITO]],3,FALSE),0))</f>
        <v>802084041</v>
      </c>
      <c r="R1221" s="9">
        <f>+IFERROR(VLOOKUP(Tabla3[[#This Row],[Cliente factura]],Tabla4[[NIT]:[TOTAL CREDITO]],6,FALSE),0)</f>
        <v>0</v>
      </c>
      <c r="S1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1" s="10" t="str">
        <f>VLOOKUP(Tabla3[[#This Row],[Razón social cliente factura]]&amp;Tabla3[[#This Row],[Desc. ciudad]],'Estandar de Rutas'!$C$1:$E$553,2,FALSE)</f>
        <v>1.3</v>
      </c>
      <c r="U1221" s="130">
        <f>IFERROR(VLOOKUP(Tabla3[[#This Row],[Referencia]]&amp;Tabla3[[#This Row],[Desc detalle ext 1]],Tabla1[[Referencia-Color]:[Disponibilidad]],3,FALSE),0)</f>
        <v>3</v>
      </c>
      <c r="V1221" s="13"/>
      <c r="W1221" s="17">
        <f>+Tabla3[[#This Row],[Cant. Programada]]*Tabla3[[#This Row],[Precio unit]]</f>
        <v>0</v>
      </c>
      <c r="X1221" s="8"/>
      <c r="Y1221" s="8"/>
      <c r="Z1221" s="8" t="str">
        <f>+Tabla3[[#This Row],[Referencia]]&amp;Tabla3[[#This Row],[Desc detalle ext 1]]</f>
        <v xml:space="preserve">CB 110 DLX                                        NEGRO    </v>
      </c>
      <c r="AA1221" s="128" t="e">
        <f>+VLOOKUP(Tabla3[[#This Row],[CODIGO2]],ESTANDAR!$B$3:$C$9,2,FALSE)</f>
        <v>#N/A</v>
      </c>
      <c r="AB1221" s="128" t="str">
        <f>+MID(Tabla3[[#This Row],['# Viaje]],10,1)</f>
        <v/>
      </c>
    </row>
    <row r="1222" spans="1:28" ht="15" hidden="1" customHeight="1">
      <c r="A1222" s="78" t="s">
        <v>1698</v>
      </c>
      <c r="B1222" s="79">
        <v>42949</v>
      </c>
      <c r="C1222" s="78" t="s">
        <v>1231</v>
      </c>
      <c r="D1222" s="78" t="s">
        <v>1478</v>
      </c>
      <c r="E1222" s="78" t="s">
        <v>1232</v>
      </c>
      <c r="F1222" s="78">
        <v>1</v>
      </c>
      <c r="G1222" s="78" t="s">
        <v>43</v>
      </c>
      <c r="H1222" s="78">
        <v>1</v>
      </c>
      <c r="I1222" s="78" t="s">
        <v>1224</v>
      </c>
      <c r="J1222" s="78" t="s">
        <v>27</v>
      </c>
      <c r="K1222" s="78" t="s">
        <v>16</v>
      </c>
      <c r="L1222" s="78"/>
      <c r="M1222" s="78" t="s">
        <v>42</v>
      </c>
      <c r="N1222" s="78">
        <v>890330584</v>
      </c>
      <c r="O1222" s="78">
        <v>5789916</v>
      </c>
      <c r="P1222" s="7"/>
      <c r="Q1222" s="16">
        <f>+IF(IFERROR(VLOOKUP(Tabla3[[#This Row],[Cliente factura]],Tabla4[[NIT]:[TOTAL CREDITO]],3,FALSE),0)="",0,IFERROR(VLOOKUP(Tabla3[[#This Row],[Cliente factura]],Tabla4[[NIT]:[TOTAL CREDITO]],3,FALSE),0))</f>
        <v>802084041</v>
      </c>
      <c r="R1222" s="9">
        <f>+IFERROR(VLOOKUP(Tabla3[[#This Row],[Cliente factura]],Tabla4[[NIT]:[TOTAL CREDITO]],6,FALSE),0)</f>
        <v>0</v>
      </c>
      <c r="S1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2" s="10" t="str">
        <f>VLOOKUP(Tabla3[[#This Row],[Razón social cliente factura]]&amp;Tabla3[[#This Row],[Desc. ciudad]],'Estandar de Rutas'!$C$1:$E$553,2,FALSE)</f>
        <v>1.3</v>
      </c>
      <c r="U1222" s="130">
        <f>IFERROR(VLOOKUP(Tabla3[[#This Row],[Referencia]]&amp;Tabla3[[#This Row],[Desc detalle ext 1]],Tabla1[[Referencia-Color]:[Disponibilidad]],3,FALSE),0)</f>
        <v>3</v>
      </c>
      <c r="V1222" s="13"/>
      <c r="W1222" s="17">
        <f>+Tabla3[[#This Row],[Cant. Programada]]*Tabla3[[#This Row],[Precio unit]]</f>
        <v>0</v>
      </c>
      <c r="X1222" s="8"/>
      <c r="Y1222" s="8"/>
      <c r="Z1222" s="8" t="str">
        <f>+Tabla3[[#This Row],[Referencia]]&amp;Tabla3[[#This Row],[Desc detalle ext 1]]</f>
        <v xml:space="preserve">*XR 150L                                          NEGRO    </v>
      </c>
      <c r="AA1222" s="128" t="e">
        <f>+VLOOKUP(Tabla3[[#This Row],[CODIGO2]],ESTANDAR!$B$3:$C$9,2,FALSE)</f>
        <v>#N/A</v>
      </c>
      <c r="AB1222" s="128" t="str">
        <f>+MID(Tabla3[[#This Row],['# Viaje]],10,1)</f>
        <v/>
      </c>
    </row>
    <row r="1223" spans="1:28" ht="15" hidden="1" customHeight="1">
      <c r="A1223" s="78" t="s">
        <v>1698</v>
      </c>
      <c r="B1223" s="79">
        <v>42949</v>
      </c>
      <c r="C1223" s="78" t="s">
        <v>1231</v>
      </c>
      <c r="D1223" s="78" t="s">
        <v>1478</v>
      </c>
      <c r="E1223" s="78" t="s">
        <v>1232</v>
      </c>
      <c r="F1223" s="78">
        <v>2</v>
      </c>
      <c r="G1223" s="78" t="s">
        <v>43</v>
      </c>
      <c r="H1223" s="78">
        <v>2</v>
      </c>
      <c r="I1223" s="78" t="s">
        <v>1224</v>
      </c>
      <c r="J1223" s="78" t="s">
        <v>354</v>
      </c>
      <c r="K1223" s="78" t="s">
        <v>355</v>
      </c>
      <c r="L1223" s="79"/>
      <c r="M1223" s="78" t="s">
        <v>42</v>
      </c>
      <c r="N1223" s="78">
        <v>890330584</v>
      </c>
      <c r="O1223" s="80">
        <v>6133613</v>
      </c>
      <c r="P1223" s="7"/>
      <c r="Q1223" s="16">
        <f>+IF(IFERROR(VLOOKUP(Tabla3[[#This Row],[Cliente factura]],Tabla4[[NIT]:[TOTAL CREDITO]],3,FALSE),0)="",0,IFERROR(VLOOKUP(Tabla3[[#This Row],[Cliente factura]],Tabla4[[NIT]:[TOTAL CREDITO]],3,FALSE),0))</f>
        <v>802084041</v>
      </c>
      <c r="R1223" s="9">
        <f>+IFERROR(VLOOKUP(Tabla3[[#This Row],[Cliente factura]],Tabla4[[NIT]:[TOTAL CREDITO]],6,FALSE),0)</f>
        <v>0</v>
      </c>
      <c r="S1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3" s="10" t="str">
        <f>VLOOKUP(Tabla3[[#This Row],[Razón social cliente factura]]&amp;Tabla3[[#This Row],[Desc. ciudad]],'Estandar de Rutas'!$C$1:$E$553,2,FALSE)</f>
        <v>1.3</v>
      </c>
      <c r="U1223" s="130">
        <f>IFERROR(VLOOKUP(Tabla3[[#This Row],[Referencia]]&amp;Tabla3[[#This Row],[Desc detalle ext 1]],Tabla1[[Referencia-Color]:[Disponibilidad]],3,FALSE),0)</f>
        <v>0</v>
      </c>
      <c r="V1223" s="13"/>
      <c r="W1223" s="17">
        <f>+Tabla3[[#This Row],[Cant. Programada]]*Tabla3[[#This Row],[Precio unit]]</f>
        <v>0</v>
      </c>
      <c r="X1223" s="8"/>
      <c r="Y1223" s="8"/>
      <c r="Z1223" s="8" t="str">
        <f>+Tabla3[[#This Row],[Referencia]]&amp;Tabla3[[#This Row],[Desc detalle ext 1]]</f>
        <v>CB 160F DLX                                       NEGRO PER</v>
      </c>
      <c r="AA1223" s="128" t="e">
        <f>+VLOOKUP(Tabla3[[#This Row],[CODIGO2]],ESTANDAR!$B$3:$C$9,2,FALSE)</f>
        <v>#N/A</v>
      </c>
      <c r="AB1223" s="128" t="str">
        <f>+MID(Tabla3[[#This Row],['# Viaje]],10,1)</f>
        <v/>
      </c>
    </row>
    <row r="1224" spans="1:28" ht="15" hidden="1" customHeight="1">
      <c r="A1224" s="78" t="s">
        <v>1698</v>
      </c>
      <c r="B1224" s="79">
        <v>42949</v>
      </c>
      <c r="C1224" s="78" t="s">
        <v>1231</v>
      </c>
      <c r="D1224" s="78" t="s">
        <v>1478</v>
      </c>
      <c r="E1224" s="78" t="s">
        <v>1232</v>
      </c>
      <c r="F1224" s="78">
        <v>1</v>
      </c>
      <c r="G1224" s="78" t="s">
        <v>43</v>
      </c>
      <c r="H1224" s="78">
        <v>1</v>
      </c>
      <c r="I1224" s="78" t="s">
        <v>1224</v>
      </c>
      <c r="J1224" s="78" t="s">
        <v>1433</v>
      </c>
      <c r="K1224" s="78" t="s">
        <v>1431</v>
      </c>
      <c r="L1224" s="79"/>
      <c r="M1224" s="78" t="s">
        <v>42</v>
      </c>
      <c r="N1224" s="78">
        <v>890330584</v>
      </c>
      <c r="O1224" s="80">
        <v>3521008</v>
      </c>
      <c r="P1224" s="7"/>
      <c r="Q1224" s="16">
        <f>+IF(IFERROR(VLOOKUP(Tabla3[[#This Row],[Cliente factura]],Tabla4[[NIT]:[TOTAL CREDITO]],3,FALSE),0)="",0,IFERROR(VLOOKUP(Tabla3[[#This Row],[Cliente factura]],Tabla4[[NIT]:[TOTAL CREDITO]],3,FALSE),0))</f>
        <v>802084041</v>
      </c>
      <c r="R1224" s="9">
        <f>+IFERROR(VLOOKUP(Tabla3[[#This Row],[Cliente factura]],Tabla4[[NIT]:[TOTAL CREDITO]],6,FALSE),0)</f>
        <v>0</v>
      </c>
      <c r="S1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4" s="10" t="str">
        <f>VLOOKUP(Tabla3[[#This Row],[Razón social cliente factura]]&amp;Tabla3[[#This Row],[Desc. ciudad]],'Estandar de Rutas'!$C$1:$E$553,2,FALSE)</f>
        <v>1.3</v>
      </c>
      <c r="U1224" s="130">
        <f>IFERROR(VLOOKUP(Tabla3[[#This Row],[Referencia]]&amp;Tabla3[[#This Row],[Desc detalle ext 1]],Tabla1[[Referencia-Color]:[Disponibilidad]],3,FALSE),0)</f>
        <v>0</v>
      </c>
      <c r="V1224" s="13"/>
      <c r="W1224" s="17">
        <f>+Tabla3[[#This Row],[Cant. Programada]]*Tabla3[[#This Row],[Precio unit]]</f>
        <v>0</v>
      </c>
      <c r="X1224" s="8"/>
      <c r="Y1224" s="8"/>
      <c r="Z1224" s="8" t="str">
        <f>+Tabla3[[#This Row],[Referencia]]&amp;Tabla3[[#This Row],[Desc detalle ext 1]]</f>
        <v xml:space="preserve">DIO  110                                          ROJO     </v>
      </c>
      <c r="AA1224" s="128" t="e">
        <f>+VLOOKUP(Tabla3[[#This Row],[CODIGO2]],ESTANDAR!$B$3:$C$9,2,FALSE)</f>
        <v>#N/A</v>
      </c>
      <c r="AB1224" s="128" t="str">
        <f>+MID(Tabla3[[#This Row],['# Viaje]],10,1)</f>
        <v/>
      </c>
    </row>
    <row r="1225" spans="1:28" ht="15" hidden="1" customHeight="1">
      <c r="A1225" s="78" t="s">
        <v>1698</v>
      </c>
      <c r="B1225" s="79">
        <v>42949</v>
      </c>
      <c r="C1225" s="78" t="s">
        <v>1231</v>
      </c>
      <c r="D1225" s="78" t="s">
        <v>1478</v>
      </c>
      <c r="E1225" s="78" t="s">
        <v>1232</v>
      </c>
      <c r="F1225" s="78">
        <v>2</v>
      </c>
      <c r="G1225" s="78" t="s">
        <v>43</v>
      </c>
      <c r="H1225" s="78">
        <v>2</v>
      </c>
      <c r="I1225" s="78" t="s">
        <v>1224</v>
      </c>
      <c r="J1225" s="78" t="s">
        <v>1428</v>
      </c>
      <c r="K1225" s="78" t="s">
        <v>1461</v>
      </c>
      <c r="L1225" s="79"/>
      <c r="M1225" s="78" t="s">
        <v>42</v>
      </c>
      <c r="N1225" s="78">
        <v>890330584</v>
      </c>
      <c r="O1225" s="80">
        <v>3067227</v>
      </c>
      <c r="P1225" s="7"/>
      <c r="Q1225" s="16">
        <f>+IF(IFERROR(VLOOKUP(Tabla3[[#This Row],[Cliente factura]],Tabla4[[NIT]:[TOTAL CREDITO]],3,FALSE),0)="",0,IFERROR(VLOOKUP(Tabla3[[#This Row],[Cliente factura]],Tabla4[[NIT]:[TOTAL CREDITO]],3,FALSE),0))</f>
        <v>802084041</v>
      </c>
      <c r="R1225" s="9">
        <f>+IFERROR(VLOOKUP(Tabla3[[#This Row],[Cliente factura]],Tabla4[[NIT]:[TOTAL CREDITO]],6,FALSE),0)</f>
        <v>0</v>
      </c>
      <c r="S1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5" s="10" t="str">
        <f>VLOOKUP(Tabla3[[#This Row],[Razón social cliente factura]]&amp;Tabla3[[#This Row],[Desc. ciudad]],'Estandar de Rutas'!$C$1:$E$553,2,FALSE)</f>
        <v>1.3</v>
      </c>
      <c r="U1225" s="130">
        <f>IFERROR(VLOOKUP(Tabla3[[#This Row],[Referencia]]&amp;Tabla3[[#This Row],[Desc detalle ext 1]],Tabla1[[Referencia-Color]:[Disponibilidad]],3,FALSE),0)</f>
        <v>0</v>
      </c>
      <c r="V1225" s="13"/>
      <c r="W1225" s="17">
        <f>+Tabla3[[#This Row],[Cant. Programada]]*Tabla3[[#This Row],[Precio unit]]</f>
        <v>0</v>
      </c>
      <c r="X1225" s="8"/>
      <c r="Y1225" s="8"/>
      <c r="Z1225" s="8" t="str">
        <f>+Tabla3[[#This Row],[Referencia]]&amp;Tabla3[[#This Row],[Desc detalle ext 1]]</f>
        <v>DREAM  NEO                                        ROJO ALFA</v>
      </c>
      <c r="AA1225" s="128" t="e">
        <f>+VLOOKUP(Tabla3[[#This Row],[CODIGO2]],ESTANDAR!$B$3:$C$9,2,FALSE)</f>
        <v>#N/A</v>
      </c>
      <c r="AB1225" s="128" t="str">
        <f>+MID(Tabla3[[#This Row],['# Viaje]],10,1)</f>
        <v/>
      </c>
    </row>
    <row r="1226" spans="1:28" ht="15" hidden="1" customHeight="1">
      <c r="A1226" s="78" t="s">
        <v>1698</v>
      </c>
      <c r="B1226" s="79">
        <v>42949</v>
      </c>
      <c r="C1226" s="78" t="s">
        <v>1231</v>
      </c>
      <c r="D1226" s="78" t="s">
        <v>1478</v>
      </c>
      <c r="E1226" s="78" t="s">
        <v>1232</v>
      </c>
      <c r="F1226" s="78">
        <v>4</v>
      </c>
      <c r="G1226" s="78" t="s">
        <v>43</v>
      </c>
      <c r="H1226" s="78">
        <v>4</v>
      </c>
      <c r="I1226" s="78" t="s">
        <v>1224</v>
      </c>
      <c r="J1226" s="78" t="s">
        <v>1428</v>
      </c>
      <c r="K1226" s="78" t="s">
        <v>1429</v>
      </c>
      <c r="L1226" s="79"/>
      <c r="M1226" s="78" t="s">
        <v>42</v>
      </c>
      <c r="N1226" s="78">
        <v>890330584</v>
      </c>
      <c r="O1226" s="80">
        <v>3067227</v>
      </c>
      <c r="P1226" s="7"/>
      <c r="Q1226" s="16">
        <f>+IF(IFERROR(VLOOKUP(Tabla3[[#This Row],[Cliente factura]],Tabla4[[NIT]:[TOTAL CREDITO]],3,FALSE),0)="",0,IFERROR(VLOOKUP(Tabla3[[#This Row],[Cliente factura]],Tabla4[[NIT]:[TOTAL CREDITO]],3,FALSE),0))</f>
        <v>802084041</v>
      </c>
      <c r="R1226" s="9">
        <f>+IFERROR(VLOOKUP(Tabla3[[#This Row],[Cliente factura]],Tabla4[[NIT]:[TOTAL CREDITO]],6,FALSE),0)</f>
        <v>0</v>
      </c>
      <c r="S1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6" s="10" t="str">
        <f>VLOOKUP(Tabla3[[#This Row],[Razón social cliente factura]]&amp;Tabla3[[#This Row],[Desc. ciudad]],'Estandar de Rutas'!$C$1:$E$553,2,FALSE)</f>
        <v>1.3</v>
      </c>
      <c r="U1226" s="130">
        <f>IFERROR(VLOOKUP(Tabla3[[#This Row],[Referencia]]&amp;Tabla3[[#This Row],[Desc detalle ext 1]],Tabla1[[Referencia-Color]:[Disponibilidad]],3,FALSE),0)</f>
        <v>0</v>
      </c>
      <c r="V1226" s="13"/>
      <c r="W1226" s="17">
        <f>+Tabla3[[#This Row],[Cant. Programada]]*Tabla3[[#This Row],[Precio unit]]</f>
        <v>0</v>
      </c>
      <c r="X1226" s="8"/>
      <c r="Y1226" s="8"/>
      <c r="Z1226" s="8" t="str">
        <f>+Tabla3[[#This Row],[Referencia]]&amp;Tabla3[[#This Row],[Desc detalle ext 1]]</f>
        <v>DREAM  NEO                                        NEGRO AZU</v>
      </c>
      <c r="AA1226" s="128" t="e">
        <f>+VLOOKUP(Tabla3[[#This Row],[CODIGO2]],ESTANDAR!$B$3:$C$9,2,FALSE)</f>
        <v>#N/A</v>
      </c>
      <c r="AB1226" s="128" t="str">
        <f>+MID(Tabla3[[#This Row],['# Viaje]],10,1)</f>
        <v/>
      </c>
    </row>
    <row r="1227" spans="1:28" ht="15" hidden="1" customHeight="1">
      <c r="A1227" s="78" t="s">
        <v>1698</v>
      </c>
      <c r="B1227" s="79">
        <v>42949</v>
      </c>
      <c r="C1227" s="78" t="s">
        <v>1231</v>
      </c>
      <c r="D1227" s="78" t="s">
        <v>1478</v>
      </c>
      <c r="E1227" s="78" t="s">
        <v>1232</v>
      </c>
      <c r="F1227" s="78">
        <v>3</v>
      </c>
      <c r="G1227" s="78" t="s">
        <v>43</v>
      </c>
      <c r="H1227" s="78">
        <v>3</v>
      </c>
      <c r="I1227" s="78" t="s">
        <v>1224</v>
      </c>
      <c r="J1227" s="78" t="s">
        <v>1430</v>
      </c>
      <c r="K1227" s="78" t="s">
        <v>16</v>
      </c>
      <c r="L1227" s="79"/>
      <c r="M1227" s="78" t="s">
        <v>42</v>
      </c>
      <c r="N1227" s="78">
        <v>890330584</v>
      </c>
      <c r="O1227" s="80">
        <v>3941176</v>
      </c>
      <c r="P1227" s="7"/>
      <c r="Q1227" s="16">
        <f>+IF(IFERROR(VLOOKUP(Tabla3[[#This Row],[Cliente factura]],Tabla4[[NIT]:[TOTAL CREDITO]],3,FALSE),0)="",0,IFERROR(VLOOKUP(Tabla3[[#This Row],[Cliente factura]],Tabla4[[NIT]:[TOTAL CREDITO]],3,FALSE),0))</f>
        <v>802084041</v>
      </c>
      <c r="R1227" s="9">
        <f>+IFERROR(VLOOKUP(Tabla3[[#This Row],[Cliente factura]],Tabla4[[NIT]:[TOTAL CREDITO]],6,FALSE),0)</f>
        <v>0</v>
      </c>
      <c r="S1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7" s="10" t="str">
        <f>VLOOKUP(Tabla3[[#This Row],[Razón social cliente factura]]&amp;Tabla3[[#This Row],[Desc. ciudad]],'Estandar de Rutas'!$C$1:$E$553,2,FALSE)</f>
        <v>1.3</v>
      </c>
      <c r="U1227" s="130">
        <f>IFERROR(VLOOKUP(Tabla3[[#This Row],[Referencia]]&amp;Tabla3[[#This Row],[Desc detalle ext 1]],Tabla1[[Referencia-Color]:[Disponibilidad]],3,FALSE),0)</f>
        <v>0</v>
      </c>
      <c r="V1227" s="13"/>
      <c r="W1227" s="17">
        <f>+Tabla3[[#This Row],[Cant. Programada]]*Tabla3[[#This Row],[Precio unit]]</f>
        <v>0</v>
      </c>
      <c r="X1227" s="8"/>
      <c r="Y1227" s="8"/>
      <c r="Z1227" s="8" t="str">
        <f>+Tabla3[[#This Row],[Referencia]]&amp;Tabla3[[#This Row],[Desc detalle ext 1]]</f>
        <v xml:space="preserve">WAVE 110S                                         NEGRO    </v>
      </c>
      <c r="AA1227" s="128" t="e">
        <f>+VLOOKUP(Tabla3[[#This Row],[CODIGO2]],ESTANDAR!$B$3:$C$9,2,FALSE)</f>
        <v>#N/A</v>
      </c>
      <c r="AB1227" s="128" t="str">
        <f>+MID(Tabla3[[#This Row],['# Viaje]],10,1)</f>
        <v/>
      </c>
    </row>
    <row r="1228" spans="1:28" ht="15" hidden="1" customHeight="1">
      <c r="A1228" s="78" t="s">
        <v>1698</v>
      </c>
      <c r="B1228" s="79">
        <v>42949</v>
      </c>
      <c r="C1228" s="78" t="s">
        <v>1231</v>
      </c>
      <c r="D1228" s="78" t="s">
        <v>1478</v>
      </c>
      <c r="E1228" s="78" t="s">
        <v>1232</v>
      </c>
      <c r="F1228" s="78">
        <v>1</v>
      </c>
      <c r="G1228" s="78" t="s">
        <v>43</v>
      </c>
      <c r="H1228" s="78">
        <v>1</v>
      </c>
      <c r="I1228" s="78" t="s">
        <v>1224</v>
      </c>
      <c r="J1228" s="78" t="s">
        <v>1234</v>
      </c>
      <c r="K1228" s="78" t="s">
        <v>17</v>
      </c>
      <c r="L1228" s="79"/>
      <c r="M1228" s="78" t="s">
        <v>42</v>
      </c>
      <c r="N1228" s="78">
        <v>890330584</v>
      </c>
      <c r="O1228" s="80">
        <v>5453782</v>
      </c>
      <c r="P1228" s="7"/>
      <c r="Q1228" s="16">
        <f>+IF(IFERROR(VLOOKUP(Tabla3[[#This Row],[Cliente factura]],Tabla4[[NIT]:[TOTAL CREDITO]],3,FALSE),0)="",0,IFERROR(VLOOKUP(Tabla3[[#This Row],[Cliente factura]],Tabla4[[NIT]:[TOTAL CREDITO]],3,FALSE),0))</f>
        <v>802084041</v>
      </c>
      <c r="R1228" s="9">
        <f>+IFERROR(VLOOKUP(Tabla3[[#This Row],[Cliente factura]],Tabla4[[NIT]:[TOTAL CREDITO]],6,FALSE),0)</f>
        <v>0</v>
      </c>
      <c r="S1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8" s="10" t="str">
        <f>VLOOKUP(Tabla3[[#This Row],[Razón social cliente factura]]&amp;Tabla3[[#This Row],[Desc. ciudad]],'Estandar de Rutas'!$C$1:$E$553,2,FALSE)</f>
        <v>1.3</v>
      </c>
      <c r="U1228" s="130">
        <f>IFERROR(VLOOKUP(Tabla3[[#This Row],[Referencia]]&amp;Tabla3[[#This Row],[Desc detalle ext 1]],Tabla1[[Referencia-Color]:[Disponibilidad]],3,FALSE),0)</f>
        <v>0</v>
      </c>
      <c r="V1228" s="13"/>
      <c r="W1228" s="17">
        <f>+Tabla3[[#This Row],[Cant. Programada]]*Tabla3[[#This Row],[Precio unit]]</f>
        <v>0</v>
      </c>
      <c r="X1228" s="8"/>
      <c r="Y1228" s="8"/>
      <c r="Z1228" s="8" t="str">
        <f>+Tabla3[[#This Row],[Referencia]]&amp;Tabla3[[#This Row],[Desc detalle ext 1]]</f>
        <v>CB 160F STD                                       ROJO SPOR</v>
      </c>
      <c r="AA1228" s="128" t="e">
        <f>+VLOOKUP(Tabla3[[#This Row],[CODIGO2]],ESTANDAR!$B$3:$C$9,2,FALSE)</f>
        <v>#N/A</v>
      </c>
      <c r="AB1228" s="128" t="str">
        <f>+MID(Tabla3[[#This Row],['# Viaje]],10,1)</f>
        <v/>
      </c>
    </row>
    <row r="1229" spans="1:28" ht="15" hidden="1" customHeight="1">
      <c r="A1229" s="78" t="s">
        <v>1698</v>
      </c>
      <c r="B1229" s="79">
        <v>42949</v>
      </c>
      <c r="C1229" s="78" t="s">
        <v>1231</v>
      </c>
      <c r="D1229" s="78" t="s">
        <v>1478</v>
      </c>
      <c r="E1229" s="78" t="s">
        <v>1232</v>
      </c>
      <c r="F1229" s="78">
        <v>1</v>
      </c>
      <c r="G1229" s="78" t="s">
        <v>43</v>
      </c>
      <c r="H1229" s="78">
        <v>1</v>
      </c>
      <c r="I1229" s="78" t="s">
        <v>1224</v>
      </c>
      <c r="J1229" s="78" t="s">
        <v>1234</v>
      </c>
      <c r="K1229" s="78" t="s">
        <v>355</v>
      </c>
      <c r="L1229" s="79"/>
      <c r="M1229" s="78" t="s">
        <v>42</v>
      </c>
      <c r="N1229" s="78">
        <v>890330584</v>
      </c>
      <c r="O1229" s="80">
        <v>5453782</v>
      </c>
      <c r="P1229" s="7"/>
      <c r="Q1229" s="16">
        <f>+IF(IFERROR(VLOOKUP(Tabla3[[#This Row],[Cliente factura]],Tabla4[[NIT]:[TOTAL CREDITO]],3,FALSE),0)="",0,IFERROR(VLOOKUP(Tabla3[[#This Row],[Cliente factura]],Tabla4[[NIT]:[TOTAL CREDITO]],3,FALSE),0))</f>
        <v>802084041</v>
      </c>
      <c r="R1229" s="9">
        <f>+IFERROR(VLOOKUP(Tabla3[[#This Row],[Cliente factura]],Tabla4[[NIT]:[TOTAL CREDITO]],6,FALSE),0)</f>
        <v>0</v>
      </c>
      <c r="S1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9" s="10" t="str">
        <f>VLOOKUP(Tabla3[[#This Row],[Razón social cliente factura]]&amp;Tabla3[[#This Row],[Desc. ciudad]],'Estandar de Rutas'!$C$1:$E$553,2,FALSE)</f>
        <v>1.3</v>
      </c>
      <c r="U1229" s="130">
        <f>IFERROR(VLOOKUP(Tabla3[[#This Row],[Referencia]]&amp;Tabla3[[#This Row],[Desc detalle ext 1]],Tabla1[[Referencia-Color]:[Disponibilidad]],3,FALSE),0)</f>
        <v>0</v>
      </c>
      <c r="V1229" s="13"/>
      <c r="W1229" s="17">
        <f>+Tabla3[[#This Row],[Cant. Programada]]*Tabla3[[#This Row],[Precio unit]]</f>
        <v>0</v>
      </c>
      <c r="X1229" s="8"/>
      <c r="Y1229" s="8"/>
      <c r="Z1229" s="8" t="str">
        <f>+Tabla3[[#This Row],[Referencia]]&amp;Tabla3[[#This Row],[Desc detalle ext 1]]</f>
        <v>CB 160F STD                                       NEGRO PER</v>
      </c>
      <c r="AA1229" s="128" t="e">
        <f>+VLOOKUP(Tabla3[[#This Row],[CODIGO2]],ESTANDAR!$B$3:$C$9,2,FALSE)</f>
        <v>#N/A</v>
      </c>
      <c r="AB1229" s="128" t="str">
        <f>+MID(Tabla3[[#This Row],['# Viaje]],10,1)</f>
        <v/>
      </c>
    </row>
    <row r="1230" spans="1:28" ht="15" hidden="1" customHeight="1">
      <c r="A1230" s="78" t="s">
        <v>1698</v>
      </c>
      <c r="B1230" s="79">
        <v>42949</v>
      </c>
      <c r="C1230" s="78" t="s">
        <v>1231</v>
      </c>
      <c r="D1230" s="78" t="s">
        <v>1478</v>
      </c>
      <c r="E1230" s="78" t="s">
        <v>1232</v>
      </c>
      <c r="F1230" s="78">
        <v>1</v>
      </c>
      <c r="G1230" s="78" t="s">
        <v>43</v>
      </c>
      <c r="H1230" s="78">
        <v>1</v>
      </c>
      <c r="I1230" s="78" t="s">
        <v>1224</v>
      </c>
      <c r="J1230" s="78" t="s">
        <v>1234</v>
      </c>
      <c r="K1230" s="78" t="s">
        <v>44</v>
      </c>
      <c r="L1230" s="79"/>
      <c r="M1230" s="78" t="s">
        <v>42</v>
      </c>
      <c r="N1230" s="78">
        <v>890330584</v>
      </c>
      <c r="O1230" s="80">
        <v>5453782</v>
      </c>
      <c r="P1230" s="7"/>
      <c r="Q1230" s="16">
        <f>+IF(IFERROR(VLOOKUP(Tabla3[[#This Row],[Cliente factura]],Tabla4[[NIT]:[TOTAL CREDITO]],3,FALSE),0)="",0,IFERROR(VLOOKUP(Tabla3[[#This Row],[Cliente factura]],Tabla4[[NIT]:[TOTAL CREDITO]],3,FALSE),0))</f>
        <v>802084041</v>
      </c>
      <c r="R1230" s="9">
        <f>+IFERROR(VLOOKUP(Tabla3[[#This Row],[Cliente factura]],Tabla4[[NIT]:[TOTAL CREDITO]],6,FALSE),0)</f>
        <v>0</v>
      </c>
      <c r="S1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0" s="10" t="str">
        <f>VLOOKUP(Tabla3[[#This Row],[Razón social cliente factura]]&amp;Tabla3[[#This Row],[Desc. ciudad]],'Estandar de Rutas'!$C$1:$E$553,2,FALSE)</f>
        <v>1.3</v>
      </c>
      <c r="U1230" s="130">
        <f>IFERROR(VLOOKUP(Tabla3[[#This Row],[Referencia]]&amp;Tabla3[[#This Row],[Desc detalle ext 1]],Tabla1[[Referencia-Color]:[Disponibilidad]],3,FALSE),0)</f>
        <v>1</v>
      </c>
      <c r="V1230" s="13"/>
      <c r="W1230" s="17">
        <f>+Tabla3[[#This Row],[Cant. Programada]]*Tabla3[[#This Row],[Precio unit]]</f>
        <v>0</v>
      </c>
      <c r="X1230" s="8"/>
      <c r="Y1230" s="8"/>
      <c r="Z1230" s="8" t="str">
        <f>+Tabla3[[#This Row],[Referencia]]&amp;Tabla3[[#This Row],[Desc detalle ext 1]]</f>
        <v>CB 160F STD                                       BLANCO PE</v>
      </c>
      <c r="AA1230" s="128" t="e">
        <f>+VLOOKUP(Tabla3[[#This Row],[CODIGO2]],ESTANDAR!$B$3:$C$9,2,FALSE)</f>
        <v>#N/A</v>
      </c>
      <c r="AB1230" s="128" t="str">
        <f>+MID(Tabla3[[#This Row],['# Viaje]],10,1)</f>
        <v/>
      </c>
    </row>
    <row r="1231" spans="1:28" ht="15" hidden="1" customHeight="1">
      <c r="A1231" s="78" t="s">
        <v>1698</v>
      </c>
      <c r="B1231" s="79">
        <v>42949</v>
      </c>
      <c r="C1231" s="78" t="s">
        <v>1231</v>
      </c>
      <c r="D1231" s="78" t="s">
        <v>1478</v>
      </c>
      <c r="E1231" s="78" t="s">
        <v>1232</v>
      </c>
      <c r="F1231" s="78">
        <v>2</v>
      </c>
      <c r="G1231" s="78" t="s">
        <v>43</v>
      </c>
      <c r="H1231" s="78">
        <v>2</v>
      </c>
      <c r="I1231" s="78" t="s">
        <v>1224</v>
      </c>
      <c r="J1231" s="78" t="s">
        <v>1451</v>
      </c>
      <c r="K1231" s="78" t="s">
        <v>1449</v>
      </c>
      <c r="L1231" s="79"/>
      <c r="M1231" s="78" t="s">
        <v>42</v>
      </c>
      <c r="N1231" s="78">
        <v>890330584</v>
      </c>
      <c r="O1231" s="80">
        <v>3696639</v>
      </c>
      <c r="P1231" s="7"/>
      <c r="Q1231" s="16">
        <f>+IF(IFERROR(VLOOKUP(Tabla3[[#This Row],[Cliente factura]],Tabla4[[NIT]:[TOTAL CREDITO]],3,FALSE),0)="",0,IFERROR(VLOOKUP(Tabla3[[#This Row],[Cliente factura]],Tabla4[[NIT]:[TOTAL CREDITO]],3,FALSE),0))</f>
        <v>802084041</v>
      </c>
      <c r="R1231" s="9">
        <f>+IFERROR(VLOOKUP(Tabla3[[#This Row],[Cliente factura]],Tabla4[[NIT]:[TOTAL CREDITO]],6,FALSE),0)</f>
        <v>0</v>
      </c>
      <c r="S1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1" s="10" t="str">
        <f>VLOOKUP(Tabla3[[#This Row],[Razón social cliente factura]]&amp;Tabla3[[#This Row],[Desc. ciudad]],'Estandar de Rutas'!$C$1:$E$553,2,FALSE)</f>
        <v>1.3</v>
      </c>
      <c r="U1231" s="130">
        <f>IFERROR(VLOOKUP(Tabla3[[#This Row],[Referencia]]&amp;Tabla3[[#This Row],[Desc detalle ext 1]],Tabla1[[Referencia-Color]:[Disponibilidad]],3,FALSE),0)</f>
        <v>24</v>
      </c>
      <c r="V1231" s="13"/>
      <c r="W1231" s="17">
        <f>+Tabla3[[#This Row],[Cant. Programada]]*Tabla3[[#This Row],[Precio unit]]</f>
        <v>0</v>
      </c>
      <c r="X1231" s="8"/>
      <c r="Y1231" s="8"/>
      <c r="Z1231" s="8" t="str">
        <f>+Tabla3[[#This Row],[Referencia]]&amp;Tabla3[[#This Row],[Desc detalle ext 1]]</f>
        <v xml:space="preserve">CB 110 DLX                                        GRIS     </v>
      </c>
      <c r="AA1231" s="128" t="e">
        <f>+VLOOKUP(Tabla3[[#This Row],[CODIGO2]],ESTANDAR!$B$3:$C$9,2,FALSE)</f>
        <v>#N/A</v>
      </c>
      <c r="AB1231" s="128" t="str">
        <f>+MID(Tabla3[[#This Row],['# Viaje]],10,1)</f>
        <v/>
      </c>
    </row>
    <row r="1232" spans="1:28" ht="15" hidden="1" customHeight="1">
      <c r="A1232" s="78" t="s">
        <v>1698</v>
      </c>
      <c r="B1232" s="79">
        <v>42949</v>
      </c>
      <c r="C1232" s="78" t="s">
        <v>1231</v>
      </c>
      <c r="D1232" s="78" t="s">
        <v>1478</v>
      </c>
      <c r="E1232" s="78" t="s">
        <v>1232</v>
      </c>
      <c r="F1232" s="78">
        <v>1</v>
      </c>
      <c r="G1232" s="78" t="s">
        <v>43</v>
      </c>
      <c r="H1232" s="78">
        <v>1</v>
      </c>
      <c r="I1232" s="78" t="s">
        <v>1224</v>
      </c>
      <c r="J1232" s="78" t="s">
        <v>1451</v>
      </c>
      <c r="K1232" s="78" t="s">
        <v>1431</v>
      </c>
      <c r="L1232" s="79"/>
      <c r="M1232" s="78" t="s">
        <v>42</v>
      </c>
      <c r="N1232" s="78">
        <v>890330584</v>
      </c>
      <c r="O1232" s="80">
        <v>3696639</v>
      </c>
      <c r="P1232" s="7"/>
      <c r="Q1232" s="16">
        <f>+IF(IFERROR(VLOOKUP(Tabla3[[#This Row],[Cliente factura]],Tabla4[[NIT]:[TOTAL CREDITO]],3,FALSE),0)="",0,IFERROR(VLOOKUP(Tabla3[[#This Row],[Cliente factura]],Tabla4[[NIT]:[TOTAL CREDITO]],3,FALSE),0))</f>
        <v>802084041</v>
      </c>
      <c r="R1232" s="9">
        <f>+IFERROR(VLOOKUP(Tabla3[[#This Row],[Cliente factura]],Tabla4[[NIT]:[TOTAL CREDITO]],6,FALSE),0)</f>
        <v>0</v>
      </c>
      <c r="S1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2" s="10" t="str">
        <f>VLOOKUP(Tabla3[[#This Row],[Razón social cliente factura]]&amp;Tabla3[[#This Row],[Desc. ciudad]],'Estandar de Rutas'!$C$1:$E$553,2,FALSE)</f>
        <v>1.3</v>
      </c>
      <c r="U1232" s="130">
        <f>IFERROR(VLOOKUP(Tabla3[[#This Row],[Referencia]]&amp;Tabla3[[#This Row],[Desc detalle ext 1]],Tabla1[[Referencia-Color]:[Disponibilidad]],3,FALSE),0)</f>
        <v>21</v>
      </c>
      <c r="V1232" s="13"/>
      <c r="W1232" s="17">
        <f>+Tabla3[[#This Row],[Cant. Programada]]*Tabla3[[#This Row],[Precio unit]]</f>
        <v>0</v>
      </c>
      <c r="X1232" s="8"/>
      <c r="Y1232" s="8"/>
      <c r="Z1232" s="8" t="str">
        <f>+Tabla3[[#This Row],[Referencia]]&amp;Tabla3[[#This Row],[Desc detalle ext 1]]</f>
        <v xml:space="preserve">CB 110 DLX                                        ROJO     </v>
      </c>
      <c r="AA1232" s="128" t="e">
        <f>+VLOOKUP(Tabla3[[#This Row],[CODIGO2]],ESTANDAR!$B$3:$C$9,2,FALSE)</f>
        <v>#N/A</v>
      </c>
      <c r="AB1232" s="128" t="str">
        <f>+MID(Tabla3[[#This Row],['# Viaje]],10,1)</f>
        <v/>
      </c>
    </row>
    <row r="1233" spans="1:28" ht="15" hidden="1" customHeight="1">
      <c r="A1233" s="78" t="s">
        <v>1698</v>
      </c>
      <c r="B1233" s="79">
        <v>42949</v>
      </c>
      <c r="C1233" s="78" t="s">
        <v>1231</v>
      </c>
      <c r="D1233" s="78" t="s">
        <v>1478</v>
      </c>
      <c r="E1233" s="78" t="s">
        <v>1232</v>
      </c>
      <c r="F1233" s="78">
        <v>1</v>
      </c>
      <c r="G1233" s="78" t="s">
        <v>43</v>
      </c>
      <c r="H1233" s="78">
        <v>1</v>
      </c>
      <c r="I1233" s="78" t="s">
        <v>1224</v>
      </c>
      <c r="J1233" s="78" t="s">
        <v>1451</v>
      </c>
      <c r="K1233" s="78" t="s">
        <v>1452</v>
      </c>
      <c r="L1233" s="79"/>
      <c r="M1233" s="78" t="s">
        <v>42</v>
      </c>
      <c r="N1233" s="78">
        <v>890330584</v>
      </c>
      <c r="O1233" s="80">
        <v>3696639</v>
      </c>
      <c r="P1233" s="7"/>
      <c r="Q1233" s="16">
        <f>+IF(IFERROR(VLOOKUP(Tabla3[[#This Row],[Cliente factura]],Tabla4[[NIT]:[TOTAL CREDITO]],3,FALSE),0)="",0,IFERROR(VLOOKUP(Tabla3[[#This Row],[Cliente factura]],Tabla4[[NIT]:[TOTAL CREDITO]],3,FALSE),0))</f>
        <v>802084041</v>
      </c>
      <c r="R1233" s="9">
        <f>+IFERROR(VLOOKUP(Tabla3[[#This Row],[Cliente factura]],Tabla4[[NIT]:[TOTAL CREDITO]],6,FALSE),0)</f>
        <v>0</v>
      </c>
      <c r="S1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3" s="10" t="str">
        <f>VLOOKUP(Tabla3[[#This Row],[Razón social cliente factura]]&amp;Tabla3[[#This Row],[Desc. ciudad]],'Estandar de Rutas'!$C$1:$E$553,2,FALSE)</f>
        <v>1.3</v>
      </c>
      <c r="U1233" s="130">
        <f>IFERROR(VLOOKUP(Tabla3[[#This Row],[Referencia]]&amp;Tabla3[[#This Row],[Desc detalle ext 1]],Tabla1[[Referencia-Color]:[Disponibilidad]],3,FALSE),0)</f>
        <v>21</v>
      </c>
      <c r="V1233" s="13"/>
      <c r="W1233" s="17">
        <f>+Tabla3[[#This Row],[Cant. Programada]]*Tabla3[[#This Row],[Precio unit]]</f>
        <v>0</v>
      </c>
      <c r="X1233" s="8"/>
      <c r="Y1233" s="8"/>
      <c r="Z1233" s="8" t="str">
        <f>+Tabla3[[#This Row],[Referencia]]&amp;Tabla3[[#This Row],[Desc detalle ext 1]]</f>
        <v xml:space="preserve">CB 110 DLX                                        AZUL     </v>
      </c>
      <c r="AA1233" s="128" t="e">
        <f>+VLOOKUP(Tabla3[[#This Row],[CODIGO2]],ESTANDAR!$B$3:$C$9,2,FALSE)</f>
        <v>#N/A</v>
      </c>
      <c r="AB1233" s="128" t="str">
        <f>+MID(Tabla3[[#This Row],['# Viaje]],10,1)</f>
        <v/>
      </c>
    </row>
    <row r="1234" spans="1:28" ht="15" hidden="1" customHeight="1">
      <c r="A1234" s="78" t="s">
        <v>1698</v>
      </c>
      <c r="B1234" s="79">
        <v>42949</v>
      </c>
      <c r="C1234" s="78" t="s">
        <v>1231</v>
      </c>
      <c r="D1234" s="78" t="s">
        <v>1478</v>
      </c>
      <c r="E1234" s="78" t="s">
        <v>1232</v>
      </c>
      <c r="F1234" s="78">
        <v>2</v>
      </c>
      <c r="G1234" s="78" t="s">
        <v>43</v>
      </c>
      <c r="H1234" s="78">
        <v>2</v>
      </c>
      <c r="I1234" s="78" t="s">
        <v>1224</v>
      </c>
      <c r="J1234" s="78" t="s">
        <v>1451</v>
      </c>
      <c r="K1234" s="78" t="s">
        <v>16</v>
      </c>
      <c r="L1234" s="79"/>
      <c r="M1234" s="78" t="s">
        <v>42</v>
      </c>
      <c r="N1234" s="78">
        <v>890330584</v>
      </c>
      <c r="O1234" s="80">
        <v>3696639</v>
      </c>
      <c r="P1234" s="7"/>
      <c r="Q1234" s="16">
        <f>+IF(IFERROR(VLOOKUP(Tabla3[[#This Row],[Cliente factura]],Tabla4[[NIT]:[TOTAL CREDITO]],3,FALSE),0)="",0,IFERROR(VLOOKUP(Tabla3[[#This Row],[Cliente factura]],Tabla4[[NIT]:[TOTAL CREDITO]],3,FALSE),0))</f>
        <v>802084041</v>
      </c>
      <c r="R1234" s="9">
        <f>+IFERROR(VLOOKUP(Tabla3[[#This Row],[Cliente factura]],Tabla4[[NIT]:[TOTAL CREDITO]],6,FALSE),0)</f>
        <v>0</v>
      </c>
      <c r="S1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4" s="10" t="str">
        <f>VLOOKUP(Tabla3[[#This Row],[Razón social cliente factura]]&amp;Tabla3[[#This Row],[Desc. ciudad]],'Estandar de Rutas'!$C$1:$E$553,2,FALSE)</f>
        <v>1.3</v>
      </c>
      <c r="U1234" s="130">
        <f>IFERROR(VLOOKUP(Tabla3[[#This Row],[Referencia]]&amp;Tabla3[[#This Row],[Desc detalle ext 1]],Tabla1[[Referencia-Color]:[Disponibilidad]],3,FALSE),0)</f>
        <v>3</v>
      </c>
      <c r="V1234" s="13"/>
      <c r="W1234" s="17">
        <f>+Tabla3[[#This Row],[Cant. Programada]]*Tabla3[[#This Row],[Precio unit]]</f>
        <v>0</v>
      </c>
      <c r="X1234" s="8"/>
      <c r="Y1234" s="8"/>
      <c r="Z1234" s="8" t="str">
        <f>+Tabla3[[#This Row],[Referencia]]&amp;Tabla3[[#This Row],[Desc detalle ext 1]]</f>
        <v xml:space="preserve">CB 110 DLX                                        NEGRO    </v>
      </c>
      <c r="AA1234" s="128" t="e">
        <f>+VLOOKUP(Tabla3[[#This Row],[CODIGO2]],ESTANDAR!$B$3:$C$9,2,FALSE)</f>
        <v>#N/A</v>
      </c>
      <c r="AB1234" s="128" t="str">
        <f>+MID(Tabla3[[#This Row],['# Viaje]],10,1)</f>
        <v/>
      </c>
    </row>
    <row r="1235" spans="1:28" ht="15" hidden="1" customHeight="1">
      <c r="A1235" s="78" t="s">
        <v>1699</v>
      </c>
      <c r="B1235" s="79">
        <v>42949</v>
      </c>
      <c r="C1235" s="78" t="s">
        <v>1231</v>
      </c>
      <c r="D1235" s="78" t="s">
        <v>1478</v>
      </c>
      <c r="E1235" s="78" t="s">
        <v>1232</v>
      </c>
      <c r="F1235" s="78">
        <v>2</v>
      </c>
      <c r="G1235" s="78" t="s">
        <v>43</v>
      </c>
      <c r="H1235" s="78">
        <v>2</v>
      </c>
      <c r="I1235" s="78" t="s">
        <v>1225</v>
      </c>
      <c r="J1235" s="78" t="s">
        <v>10</v>
      </c>
      <c r="K1235" s="78" t="s">
        <v>11</v>
      </c>
      <c r="L1235" s="78"/>
      <c r="M1235" s="78" t="s">
        <v>47</v>
      </c>
      <c r="N1235" s="78">
        <v>890330584</v>
      </c>
      <c r="O1235" s="78">
        <v>7554622</v>
      </c>
      <c r="P1235" s="7"/>
      <c r="Q1235" s="16">
        <f>+IF(IFERROR(VLOOKUP(Tabla3[[#This Row],[Cliente factura]],Tabla4[[NIT]:[TOTAL CREDITO]],3,FALSE),0)="",0,IFERROR(VLOOKUP(Tabla3[[#This Row],[Cliente factura]],Tabla4[[NIT]:[TOTAL CREDITO]],3,FALSE),0))</f>
        <v>802084041</v>
      </c>
      <c r="R1235" s="9">
        <f>+IFERROR(VLOOKUP(Tabla3[[#This Row],[Cliente factura]],Tabla4[[NIT]:[TOTAL CREDITO]],6,FALSE),0)</f>
        <v>0</v>
      </c>
      <c r="S1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5" s="10" t="str">
        <f>VLOOKUP(Tabla3[[#This Row],[Razón social cliente factura]]&amp;Tabla3[[#This Row],[Desc. ciudad]],'Estandar de Rutas'!$C$1:$E$553,2,FALSE)</f>
        <v>1.3.A</v>
      </c>
      <c r="U1235" s="130">
        <f>IFERROR(VLOOKUP(Tabla3[[#This Row],[Referencia]]&amp;Tabla3[[#This Row],[Desc detalle ext 1]],Tabla1[[Referencia-Color]:[Disponibilidad]],3,FALSE),0)</f>
        <v>0</v>
      </c>
      <c r="V1235" s="13"/>
      <c r="W1235" s="17">
        <f>+Tabla3[[#This Row],[Cant. Programada]]*Tabla3[[#This Row],[Precio unit]]</f>
        <v>0</v>
      </c>
      <c r="X1235" s="8"/>
      <c r="Y1235" s="8"/>
      <c r="Z1235" s="8" t="str">
        <f>+Tabla3[[#This Row],[Referencia]]&amp;Tabla3[[#This Row],[Desc detalle ext 1]]</f>
        <v>CB 190R                                           NEGRO ONI</v>
      </c>
      <c r="AA1235" s="128" t="e">
        <f>+VLOOKUP(Tabla3[[#This Row],[CODIGO2]],ESTANDAR!$B$3:$C$9,2,FALSE)</f>
        <v>#N/A</v>
      </c>
      <c r="AB1235" s="128" t="str">
        <f>+MID(Tabla3[[#This Row],['# Viaje]],10,1)</f>
        <v/>
      </c>
    </row>
    <row r="1236" spans="1:28" ht="15" hidden="1" customHeight="1">
      <c r="A1236" s="78" t="s">
        <v>1699</v>
      </c>
      <c r="B1236" s="79">
        <v>42949</v>
      </c>
      <c r="C1236" s="78" t="s">
        <v>1231</v>
      </c>
      <c r="D1236" s="78" t="s">
        <v>1478</v>
      </c>
      <c r="E1236" s="78" t="s">
        <v>1232</v>
      </c>
      <c r="F1236" s="78">
        <v>3</v>
      </c>
      <c r="G1236" s="78" t="s">
        <v>43</v>
      </c>
      <c r="H1236" s="78">
        <v>3</v>
      </c>
      <c r="I1236" s="78" t="s">
        <v>1225</v>
      </c>
      <c r="J1236" s="78" t="s">
        <v>354</v>
      </c>
      <c r="K1236" s="78" t="s">
        <v>17</v>
      </c>
      <c r="L1236" s="79"/>
      <c r="M1236" s="78" t="s">
        <v>47</v>
      </c>
      <c r="N1236" s="78">
        <v>890330584</v>
      </c>
      <c r="O1236" s="80">
        <v>6133613</v>
      </c>
      <c r="P1236" s="7"/>
      <c r="Q1236" s="16">
        <f>+IF(IFERROR(VLOOKUP(Tabla3[[#This Row],[Cliente factura]],Tabla4[[NIT]:[TOTAL CREDITO]],3,FALSE),0)="",0,IFERROR(VLOOKUP(Tabla3[[#This Row],[Cliente factura]],Tabla4[[NIT]:[TOTAL CREDITO]],3,FALSE),0))</f>
        <v>802084041</v>
      </c>
      <c r="R1236" s="9">
        <f>+IFERROR(VLOOKUP(Tabla3[[#This Row],[Cliente factura]],Tabla4[[NIT]:[TOTAL CREDITO]],6,FALSE),0)</f>
        <v>0</v>
      </c>
      <c r="S1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6" s="10" t="str">
        <f>VLOOKUP(Tabla3[[#This Row],[Razón social cliente factura]]&amp;Tabla3[[#This Row],[Desc. ciudad]],'Estandar de Rutas'!$C$1:$E$553,2,FALSE)</f>
        <v>1.3.A</v>
      </c>
      <c r="U1236" s="130">
        <f>IFERROR(VLOOKUP(Tabla3[[#This Row],[Referencia]]&amp;Tabla3[[#This Row],[Desc detalle ext 1]],Tabla1[[Referencia-Color]:[Disponibilidad]],3,FALSE),0)</f>
        <v>48</v>
      </c>
      <c r="V1236" s="13"/>
      <c r="W1236" s="17">
        <f>+Tabla3[[#This Row],[Cant. Programada]]*Tabla3[[#This Row],[Precio unit]]</f>
        <v>0</v>
      </c>
      <c r="X1236" s="8"/>
      <c r="Y1236" s="8"/>
      <c r="Z1236" s="8" t="str">
        <f>+Tabla3[[#This Row],[Referencia]]&amp;Tabla3[[#This Row],[Desc detalle ext 1]]</f>
        <v>CB 160F DLX                                       ROJO SPOR</v>
      </c>
      <c r="AA1236" s="128" t="e">
        <f>+VLOOKUP(Tabla3[[#This Row],[CODIGO2]],ESTANDAR!$B$3:$C$9,2,FALSE)</f>
        <v>#N/A</v>
      </c>
      <c r="AB1236" s="128" t="str">
        <f>+MID(Tabla3[[#This Row],['# Viaje]],10,1)</f>
        <v/>
      </c>
    </row>
    <row r="1237" spans="1:28" ht="15" hidden="1" customHeight="1">
      <c r="A1237" s="78" t="s">
        <v>1699</v>
      </c>
      <c r="B1237" s="79">
        <v>42949</v>
      </c>
      <c r="C1237" s="78" t="s">
        <v>1231</v>
      </c>
      <c r="D1237" s="78" t="s">
        <v>1478</v>
      </c>
      <c r="E1237" s="78" t="s">
        <v>1232</v>
      </c>
      <c r="F1237" s="78">
        <v>1</v>
      </c>
      <c r="G1237" s="78" t="s">
        <v>43</v>
      </c>
      <c r="H1237" s="78">
        <v>1</v>
      </c>
      <c r="I1237" s="78" t="s">
        <v>1225</v>
      </c>
      <c r="J1237" s="78" t="s">
        <v>354</v>
      </c>
      <c r="K1237" s="78" t="s">
        <v>355</v>
      </c>
      <c r="L1237" s="79"/>
      <c r="M1237" s="78" t="s">
        <v>47</v>
      </c>
      <c r="N1237" s="78">
        <v>890330584</v>
      </c>
      <c r="O1237" s="80">
        <v>6133613</v>
      </c>
      <c r="P1237" s="7"/>
      <c r="Q1237" s="16">
        <f>+IF(IFERROR(VLOOKUP(Tabla3[[#This Row],[Cliente factura]],Tabla4[[NIT]:[TOTAL CREDITO]],3,FALSE),0)="",0,IFERROR(VLOOKUP(Tabla3[[#This Row],[Cliente factura]],Tabla4[[NIT]:[TOTAL CREDITO]],3,FALSE),0))</f>
        <v>802084041</v>
      </c>
      <c r="R1237" s="9">
        <f>+IFERROR(VLOOKUP(Tabla3[[#This Row],[Cliente factura]],Tabla4[[NIT]:[TOTAL CREDITO]],6,FALSE),0)</f>
        <v>0</v>
      </c>
      <c r="S1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7" s="10" t="str">
        <f>VLOOKUP(Tabla3[[#This Row],[Razón social cliente factura]]&amp;Tabla3[[#This Row],[Desc. ciudad]],'Estandar de Rutas'!$C$1:$E$553,2,FALSE)</f>
        <v>1.3.A</v>
      </c>
      <c r="U1237" s="130">
        <f>IFERROR(VLOOKUP(Tabla3[[#This Row],[Referencia]]&amp;Tabla3[[#This Row],[Desc detalle ext 1]],Tabla1[[Referencia-Color]:[Disponibilidad]],3,FALSE),0)</f>
        <v>0</v>
      </c>
      <c r="V1237" s="13"/>
      <c r="W1237" s="17">
        <f>+Tabla3[[#This Row],[Cant. Programada]]*Tabla3[[#This Row],[Precio unit]]</f>
        <v>0</v>
      </c>
      <c r="X1237" s="8"/>
      <c r="Y1237" s="8"/>
      <c r="Z1237" s="8" t="str">
        <f>+Tabla3[[#This Row],[Referencia]]&amp;Tabla3[[#This Row],[Desc detalle ext 1]]</f>
        <v>CB 160F DLX                                       NEGRO PER</v>
      </c>
      <c r="AA1237" s="128" t="e">
        <f>+VLOOKUP(Tabla3[[#This Row],[CODIGO2]],ESTANDAR!$B$3:$C$9,2,FALSE)</f>
        <v>#N/A</v>
      </c>
      <c r="AB1237" s="128" t="str">
        <f>+MID(Tabla3[[#This Row],['# Viaje]],10,1)</f>
        <v/>
      </c>
    </row>
    <row r="1238" spans="1:28" ht="15" hidden="1" customHeight="1">
      <c r="A1238" s="78" t="s">
        <v>1699</v>
      </c>
      <c r="B1238" s="79">
        <v>42949</v>
      </c>
      <c r="C1238" s="78" t="s">
        <v>1231</v>
      </c>
      <c r="D1238" s="78" t="s">
        <v>1478</v>
      </c>
      <c r="E1238" s="78" t="s">
        <v>1232</v>
      </c>
      <c r="F1238" s="78">
        <v>1</v>
      </c>
      <c r="G1238" s="78" t="s">
        <v>43</v>
      </c>
      <c r="H1238" s="78">
        <v>1</v>
      </c>
      <c r="I1238" s="78" t="s">
        <v>1225</v>
      </c>
      <c r="J1238" s="78" t="s">
        <v>1433</v>
      </c>
      <c r="K1238" s="78" t="s">
        <v>1452</v>
      </c>
      <c r="L1238" s="78"/>
      <c r="M1238" s="78" t="s">
        <v>47</v>
      </c>
      <c r="N1238" s="78">
        <v>890330584</v>
      </c>
      <c r="O1238" s="78">
        <v>3521008</v>
      </c>
      <c r="P1238" s="7"/>
      <c r="Q1238" s="16">
        <f>+IF(IFERROR(VLOOKUP(Tabla3[[#This Row],[Cliente factura]],Tabla4[[NIT]:[TOTAL CREDITO]],3,FALSE),0)="",0,IFERROR(VLOOKUP(Tabla3[[#This Row],[Cliente factura]],Tabla4[[NIT]:[TOTAL CREDITO]],3,FALSE),0))</f>
        <v>802084041</v>
      </c>
      <c r="R1238" s="9">
        <f>+IFERROR(VLOOKUP(Tabla3[[#This Row],[Cliente factura]],Tabla4[[NIT]:[TOTAL CREDITO]],6,FALSE),0)</f>
        <v>0</v>
      </c>
      <c r="S1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8" s="10" t="str">
        <f>VLOOKUP(Tabla3[[#This Row],[Razón social cliente factura]]&amp;Tabla3[[#This Row],[Desc. ciudad]],'Estandar de Rutas'!$C$1:$E$553,2,FALSE)</f>
        <v>1.3.A</v>
      </c>
      <c r="U1238" s="130">
        <f>IFERROR(VLOOKUP(Tabla3[[#This Row],[Referencia]]&amp;Tabla3[[#This Row],[Desc detalle ext 1]],Tabla1[[Referencia-Color]:[Disponibilidad]],3,FALSE),0)</f>
        <v>0</v>
      </c>
      <c r="V1238" s="13"/>
      <c r="W1238" s="17">
        <f>+Tabla3[[#This Row],[Cant. Programada]]*Tabla3[[#This Row],[Precio unit]]</f>
        <v>0</v>
      </c>
      <c r="X1238" s="8"/>
      <c r="Y1238" s="8"/>
      <c r="Z1238" s="8" t="str">
        <f>+Tabla3[[#This Row],[Referencia]]&amp;Tabla3[[#This Row],[Desc detalle ext 1]]</f>
        <v xml:space="preserve">DIO  110                                          AZUL     </v>
      </c>
      <c r="AA1238" s="128" t="e">
        <f>+VLOOKUP(Tabla3[[#This Row],[CODIGO2]],ESTANDAR!$B$3:$C$9,2,FALSE)</f>
        <v>#N/A</v>
      </c>
      <c r="AB1238" s="128" t="str">
        <f>+MID(Tabla3[[#This Row],['# Viaje]],10,1)</f>
        <v/>
      </c>
    </row>
    <row r="1239" spans="1:28" ht="15" hidden="1" customHeight="1">
      <c r="A1239" s="78" t="s">
        <v>1699</v>
      </c>
      <c r="B1239" s="79">
        <v>42949</v>
      </c>
      <c r="C1239" s="78" t="s">
        <v>1231</v>
      </c>
      <c r="D1239" s="78" t="s">
        <v>1478</v>
      </c>
      <c r="E1239" s="78" t="s">
        <v>1232</v>
      </c>
      <c r="F1239" s="78">
        <v>1</v>
      </c>
      <c r="G1239" s="78" t="s">
        <v>43</v>
      </c>
      <c r="H1239" s="78">
        <v>1</v>
      </c>
      <c r="I1239" s="78" t="s">
        <v>1225</v>
      </c>
      <c r="J1239" s="78" t="s">
        <v>1433</v>
      </c>
      <c r="K1239" s="78" t="s">
        <v>1431</v>
      </c>
      <c r="L1239" s="79"/>
      <c r="M1239" s="78" t="s">
        <v>47</v>
      </c>
      <c r="N1239" s="78">
        <v>890330584</v>
      </c>
      <c r="O1239" s="80">
        <v>3521008</v>
      </c>
      <c r="P1239" s="7"/>
      <c r="Q1239" s="16">
        <f>+IF(IFERROR(VLOOKUP(Tabla3[[#This Row],[Cliente factura]],Tabla4[[NIT]:[TOTAL CREDITO]],3,FALSE),0)="",0,IFERROR(VLOOKUP(Tabla3[[#This Row],[Cliente factura]],Tabla4[[NIT]:[TOTAL CREDITO]],3,FALSE),0))</f>
        <v>802084041</v>
      </c>
      <c r="R1239" s="9">
        <f>+IFERROR(VLOOKUP(Tabla3[[#This Row],[Cliente factura]],Tabla4[[NIT]:[TOTAL CREDITO]],6,FALSE),0)</f>
        <v>0</v>
      </c>
      <c r="S1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9" s="10" t="str">
        <f>VLOOKUP(Tabla3[[#This Row],[Razón social cliente factura]]&amp;Tabla3[[#This Row],[Desc. ciudad]],'Estandar de Rutas'!$C$1:$E$553,2,FALSE)</f>
        <v>1.3.A</v>
      </c>
      <c r="U1239" s="130">
        <f>IFERROR(VLOOKUP(Tabla3[[#This Row],[Referencia]]&amp;Tabla3[[#This Row],[Desc detalle ext 1]],Tabla1[[Referencia-Color]:[Disponibilidad]],3,FALSE),0)</f>
        <v>0</v>
      </c>
      <c r="V1239" s="13"/>
      <c r="W1239" s="17">
        <f>+Tabla3[[#This Row],[Cant. Programada]]*Tabla3[[#This Row],[Precio unit]]</f>
        <v>0</v>
      </c>
      <c r="X1239" s="8"/>
      <c r="Y1239" s="8"/>
      <c r="Z1239" s="8" t="str">
        <f>+Tabla3[[#This Row],[Referencia]]&amp;Tabla3[[#This Row],[Desc detalle ext 1]]</f>
        <v xml:space="preserve">DIO  110                                          ROJO     </v>
      </c>
      <c r="AA1239" s="128" t="e">
        <f>+VLOOKUP(Tabla3[[#This Row],[CODIGO2]],ESTANDAR!$B$3:$C$9,2,FALSE)</f>
        <v>#N/A</v>
      </c>
      <c r="AB1239" s="128" t="str">
        <f>+MID(Tabla3[[#This Row],['# Viaje]],10,1)</f>
        <v/>
      </c>
    </row>
    <row r="1240" spans="1:28" ht="15" hidden="1" customHeight="1">
      <c r="A1240" s="78" t="s">
        <v>1699</v>
      </c>
      <c r="B1240" s="79">
        <v>42949</v>
      </c>
      <c r="C1240" s="78" t="s">
        <v>1231</v>
      </c>
      <c r="D1240" s="78" t="s">
        <v>1478</v>
      </c>
      <c r="E1240" s="78" t="s">
        <v>1232</v>
      </c>
      <c r="F1240" s="78">
        <v>2</v>
      </c>
      <c r="G1240" s="78" t="s">
        <v>43</v>
      </c>
      <c r="H1240" s="78">
        <v>2</v>
      </c>
      <c r="I1240" s="78" t="s">
        <v>1225</v>
      </c>
      <c r="J1240" s="78" t="s">
        <v>1428</v>
      </c>
      <c r="K1240" s="78" t="s">
        <v>1461</v>
      </c>
      <c r="L1240" s="79"/>
      <c r="M1240" s="78" t="s">
        <v>47</v>
      </c>
      <c r="N1240" s="78">
        <v>890330584</v>
      </c>
      <c r="O1240" s="80">
        <v>3067227</v>
      </c>
      <c r="P1240" s="7"/>
      <c r="Q1240" s="16">
        <f>+IF(IFERROR(VLOOKUP(Tabla3[[#This Row],[Cliente factura]],Tabla4[[NIT]:[TOTAL CREDITO]],3,FALSE),0)="",0,IFERROR(VLOOKUP(Tabla3[[#This Row],[Cliente factura]],Tabla4[[NIT]:[TOTAL CREDITO]],3,FALSE),0))</f>
        <v>802084041</v>
      </c>
      <c r="R1240" s="9">
        <f>+IFERROR(VLOOKUP(Tabla3[[#This Row],[Cliente factura]],Tabla4[[NIT]:[TOTAL CREDITO]],6,FALSE),0)</f>
        <v>0</v>
      </c>
      <c r="S1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0" s="10" t="str">
        <f>VLOOKUP(Tabla3[[#This Row],[Razón social cliente factura]]&amp;Tabla3[[#This Row],[Desc. ciudad]],'Estandar de Rutas'!$C$1:$E$553,2,FALSE)</f>
        <v>1.3.A</v>
      </c>
      <c r="U1240" s="130">
        <f>IFERROR(VLOOKUP(Tabla3[[#This Row],[Referencia]]&amp;Tabla3[[#This Row],[Desc detalle ext 1]],Tabla1[[Referencia-Color]:[Disponibilidad]],3,FALSE),0)</f>
        <v>0</v>
      </c>
      <c r="V1240" s="13"/>
      <c r="W1240" s="17">
        <f>+Tabla3[[#This Row],[Cant. Programada]]*Tabla3[[#This Row],[Precio unit]]</f>
        <v>0</v>
      </c>
      <c r="X1240" s="8"/>
      <c r="Y1240" s="8"/>
      <c r="Z1240" s="8" t="str">
        <f>+Tabla3[[#This Row],[Referencia]]&amp;Tabla3[[#This Row],[Desc detalle ext 1]]</f>
        <v>DREAM  NEO                                        ROJO ALFA</v>
      </c>
      <c r="AA1240" s="128" t="e">
        <f>+VLOOKUP(Tabla3[[#This Row],[CODIGO2]],ESTANDAR!$B$3:$C$9,2,FALSE)</f>
        <v>#N/A</v>
      </c>
      <c r="AB1240" s="128" t="str">
        <f>+MID(Tabla3[[#This Row],['# Viaje]],10,1)</f>
        <v/>
      </c>
    </row>
    <row r="1241" spans="1:28" ht="15" hidden="1" customHeight="1">
      <c r="A1241" s="78" t="s">
        <v>1699</v>
      </c>
      <c r="B1241" s="79">
        <v>42949</v>
      </c>
      <c r="C1241" s="78" t="s">
        <v>1231</v>
      </c>
      <c r="D1241" s="78" t="s">
        <v>1478</v>
      </c>
      <c r="E1241" s="78" t="s">
        <v>1232</v>
      </c>
      <c r="F1241" s="78">
        <v>1</v>
      </c>
      <c r="G1241" s="78" t="s">
        <v>43</v>
      </c>
      <c r="H1241" s="78">
        <v>1</v>
      </c>
      <c r="I1241" s="78" t="s">
        <v>1225</v>
      </c>
      <c r="J1241" s="78" t="s">
        <v>1234</v>
      </c>
      <c r="K1241" s="78" t="s">
        <v>17</v>
      </c>
      <c r="L1241" s="79"/>
      <c r="M1241" s="78" t="s">
        <v>47</v>
      </c>
      <c r="N1241" s="78">
        <v>890330584</v>
      </c>
      <c r="O1241" s="80">
        <v>5453782</v>
      </c>
      <c r="P1241" s="7"/>
      <c r="Q1241" s="16">
        <f>+IF(IFERROR(VLOOKUP(Tabla3[[#This Row],[Cliente factura]],Tabla4[[NIT]:[TOTAL CREDITO]],3,FALSE),0)="",0,IFERROR(VLOOKUP(Tabla3[[#This Row],[Cliente factura]],Tabla4[[NIT]:[TOTAL CREDITO]],3,FALSE),0))</f>
        <v>802084041</v>
      </c>
      <c r="R1241" s="9">
        <f>+IFERROR(VLOOKUP(Tabla3[[#This Row],[Cliente factura]],Tabla4[[NIT]:[TOTAL CREDITO]],6,FALSE),0)</f>
        <v>0</v>
      </c>
      <c r="S1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1" s="10" t="str">
        <f>VLOOKUP(Tabla3[[#This Row],[Razón social cliente factura]]&amp;Tabla3[[#This Row],[Desc. ciudad]],'Estandar de Rutas'!$C$1:$E$553,2,FALSE)</f>
        <v>1.3.A</v>
      </c>
      <c r="U1241" s="130">
        <f>IFERROR(VLOOKUP(Tabla3[[#This Row],[Referencia]]&amp;Tabla3[[#This Row],[Desc detalle ext 1]],Tabla1[[Referencia-Color]:[Disponibilidad]],3,FALSE),0)</f>
        <v>0</v>
      </c>
      <c r="V1241" s="13"/>
      <c r="W1241" s="17">
        <f>+Tabla3[[#This Row],[Cant. Programada]]*Tabla3[[#This Row],[Precio unit]]</f>
        <v>0</v>
      </c>
      <c r="X1241" s="8"/>
      <c r="Y1241" s="8"/>
      <c r="Z1241" s="8" t="str">
        <f>+Tabla3[[#This Row],[Referencia]]&amp;Tabla3[[#This Row],[Desc detalle ext 1]]</f>
        <v>CB 160F STD                                       ROJO SPOR</v>
      </c>
      <c r="AA1241" s="128" t="e">
        <f>+VLOOKUP(Tabla3[[#This Row],[CODIGO2]],ESTANDAR!$B$3:$C$9,2,FALSE)</f>
        <v>#N/A</v>
      </c>
      <c r="AB1241" s="128" t="str">
        <f>+MID(Tabla3[[#This Row],['# Viaje]],10,1)</f>
        <v/>
      </c>
    </row>
    <row r="1242" spans="1:28" ht="15" hidden="1" customHeight="1">
      <c r="A1242" s="78" t="s">
        <v>1699</v>
      </c>
      <c r="B1242" s="79">
        <v>42949</v>
      </c>
      <c r="C1242" s="78" t="s">
        <v>1231</v>
      </c>
      <c r="D1242" s="78" t="s">
        <v>1478</v>
      </c>
      <c r="E1242" s="78" t="s">
        <v>1232</v>
      </c>
      <c r="F1242" s="78">
        <v>3</v>
      </c>
      <c r="G1242" s="78" t="s">
        <v>43</v>
      </c>
      <c r="H1242" s="78">
        <v>3</v>
      </c>
      <c r="I1242" s="78" t="s">
        <v>1225</v>
      </c>
      <c r="J1242" s="78" t="s">
        <v>1234</v>
      </c>
      <c r="K1242" s="78" t="s">
        <v>355</v>
      </c>
      <c r="L1242" s="79"/>
      <c r="M1242" s="78" t="s">
        <v>47</v>
      </c>
      <c r="N1242" s="78">
        <v>890330584</v>
      </c>
      <c r="O1242" s="80">
        <v>5453782</v>
      </c>
      <c r="P1242" s="7"/>
      <c r="Q1242" s="16">
        <f>+IF(IFERROR(VLOOKUP(Tabla3[[#This Row],[Cliente factura]],Tabla4[[NIT]:[TOTAL CREDITO]],3,FALSE),0)="",0,IFERROR(VLOOKUP(Tabla3[[#This Row],[Cliente factura]],Tabla4[[NIT]:[TOTAL CREDITO]],3,FALSE),0))</f>
        <v>802084041</v>
      </c>
      <c r="R1242" s="9">
        <f>+IFERROR(VLOOKUP(Tabla3[[#This Row],[Cliente factura]],Tabla4[[NIT]:[TOTAL CREDITO]],6,FALSE),0)</f>
        <v>0</v>
      </c>
      <c r="S1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2" s="10" t="str">
        <f>VLOOKUP(Tabla3[[#This Row],[Razón social cliente factura]]&amp;Tabla3[[#This Row],[Desc. ciudad]],'Estandar de Rutas'!$C$1:$E$553,2,FALSE)</f>
        <v>1.3.A</v>
      </c>
      <c r="U1242" s="130">
        <f>IFERROR(VLOOKUP(Tabla3[[#This Row],[Referencia]]&amp;Tabla3[[#This Row],[Desc detalle ext 1]],Tabla1[[Referencia-Color]:[Disponibilidad]],3,FALSE),0)</f>
        <v>0</v>
      </c>
      <c r="V1242" s="13"/>
      <c r="W1242" s="17">
        <f>+Tabla3[[#This Row],[Cant. Programada]]*Tabla3[[#This Row],[Precio unit]]</f>
        <v>0</v>
      </c>
      <c r="X1242" s="8"/>
      <c r="Y1242" s="8"/>
      <c r="Z1242" s="8" t="str">
        <f>+Tabla3[[#This Row],[Referencia]]&amp;Tabla3[[#This Row],[Desc detalle ext 1]]</f>
        <v>CB 160F STD                                       NEGRO PER</v>
      </c>
      <c r="AA1242" s="128" t="e">
        <f>+VLOOKUP(Tabla3[[#This Row],[CODIGO2]],ESTANDAR!$B$3:$C$9,2,FALSE)</f>
        <v>#N/A</v>
      </c>
      <c r="AB1242" s="128" t="str">
        <f>+MID(Tabla3[[#This Row],['# Viaje]],10,1)</f>
        <v/>
      </c>
    </row>
    <row r="1243" spans="1:28" ht="15" hidden="1" customHeight="1">
      <c r="A1243" s="78" t="s">
        <v>1699</v>
      </c>
      <c r="B1243" s="79">
        <v>42949</v>
      </c>
      <c r="C1243" s="78" t="s">
        <v>1231</v>
      </c>
      <c r="D1243" s="78" t="s">
        <v>1478</v>
      </c>
      <c r="E1243" s="78" t="s">
        <v>1232</v>
      </c>
      <c r="F1243" s="78">
        <v>1</v>
      </c>
      <c r="G1243" s="78" t="s">
        <v>43</v>
      </c>
      <c r="H1243" s="78">
        <v>1</v>
      </c>
      <c r="I1243" s="78" t="s">
        <v>1225</v>
      </c>
      <c r="J1243" s="78" t="s">
        <v>1234</v>
      </c>
      <c r="K1243" s="78" t="s">
        <v>44</v>
      </c>
      <c r="L1243" s="79"/>
      <c r="M1243" s="78" t="s">
        <v>47</v>
      </c>
      <c r="N1243" s="78">
        <v>890330584</v>
      </c>
      <c r="O1243" s="80">
        <v>5453782</v>
      </c>
      <c r="P1243" s="7"/>
      <c r="Q1243" s="16">
        <f>+IF(IFERROR(VLOOKUP(Tabla3[[#This Row],[Cliente factura]],Tabla4[[NIT]:[TOTAL CREDITO]],3,FALSE),0)="",0,IFERROR(VLOOKUP(Tabla3[[#This Row],[Cliente factura]],Tabla4[[NIT]:[TOTAL CREDITO]],3,FALSE),0))</f>
        <v>802084041</v>
      </c>
      <c r="R1243" s="9">
        <f>+IFERROR(VLOOKUP(Tabla3[[#This Row],[Cliente factura]],Tabla4[[NIT]:[TOTAL CREDITO]],6,FALSE),0)</f>
        <v>0</v>
      </c>
      <c r="S1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3" s="10" t="str">
        <f>VLOOKUP(Tabla3[[#This Row],[Razón social cliente factura]]&amp;Tabla3[[#This Row],[Desc. ciudad]],'Estandar de Rutas'!$C$1:$E$553,2,FALSE)</f>
        <v>1.3.A</v>
      </c>
      <c r="U1243" s="130">
        <f>IFERROR(VLOOKUP(Tabla3[[#This Row],[Referencia]]&amp;Tabla3[[#This Row],[Desc detalle ext 1]],Tabla1[[Referencia-Color]:[Disponibilidad]],3,FALSE),0)</f>
        <v>1</v>
      </c>
      <c r="V1243" s="13"/>
      <c r="W1243" s="17">
        <f>+Tabla3[[#This Row],[Cant. Programada]]*Tabla3[[#This Row],[Precio unit]]</f>
        <v>0</v>
      </c>
      <c r="X1243" s="8"/>
      <c r="Y1243" s="8"/>
      <c r="Z1243" s="8" t="str">
        <f>+Tabla3[[#This Row],[Referencia]]&amp;Tabla3[[#This Row],[Desc detalle ext 1]]</f>
        <v>CB 160F STD                                       BLANCO PE</v>
      </c>
      <c r="AA1243" s="128" t="e">
        <f>+VLOOKUP(Tabla3[[#This Row],[CODIGO2]],ESTANDAR!$B$3:$C$9,2,FALSE)</f>
        <v>#N/A</v>
      </c>
      <c r="AB1243" s="128" t="str">
        <f>+MID(Tabla3[[#This Row],['# Viaje]],10,1)</f>
        <v/>
      </c>
    </row>
    <row r="1244" spans="1:28" ht="15" hidden="1" customHeight="1">
      <c r="A1244" s="78" t="s">
        <v>1699</v>
      </c>
      <c r="B1244" s="79">
        <v>42949</v>
      </c>
      <c r="C1244" s="78" t="s">
        <v>1231</v>
      </c>
      <c r="D1244" s="78" t="s">
        <v>1478</v>
      </c>
      <c r="E1244" s="78" t="s">
        <v>1232</v>
      </c>
      <c r="F1244" s="78">
        <v>3</v>
      </c>
      <c r="G1244" s="78" t="s">
        <v>43</v>
      </c>
      <c r="H1244" s="78">
        <v>3</v>
      </c>
      <c r="I1244" s="78" t="s">
        <v>1225</v>
      </c>
      <c r="J1244" s="78" t="s">
        <v>1451</v>
      </c>
      <c r="K1244" s="78" t="s">
        <v>1452</v>
      </c>
      <c r="L1244" s="79"/>
      <c r="M1244" s="78" t="s">
        <v>47</v>
      </c>
      <c r="N1244" s="78">
        <v>890330584</v>
      </c>
      <c r="O1244" s="80">
        <v>3696639</v>
      </c>
      <c r="P1244" s="7"/>
      <c r="Q1244" s="16">
        <f>+IF(IFERROR(VLOOKUP(Tabla3[[#This Row],[Cliente factura]],Tabla4[[NIT]:[TOTAL CREDITO]],3,FALSE),0)="",0,IFERROR(VLOOKUP(Tabla3[[#This Row],[Cliente factura]],Tabla4[[NIT]:[TOTAL CREDITO]],3,FALSE),0))</f>
        <v>802084041</v>
      </c>
      <c r="R1244" s="9">
        <f>+IFERROR(VLOOKUP(Tabla3[[#This Row],[Cliente factura]],Tabla4[[NIT]:[TOTAL CREDITO]],6,FALSE),0)</f>
        <v>0</v>
      </c>
      <c r="S1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4" s="10" t="str">
        <f>VLOOKUP(Tabla3[[#This Row],[Razón social cliente factura]]&amp;Tabla3[[#This Row],[Desc. ciudad]],'Estandar de Rutas'!$C$1:$E$553,2,FALSE)</f>
        <v>1.3.A</v>
      </c>
      <c r="U1244" s="130">
        <f>IFERROR(VLOOKUP(Tabla3[[#This Row],[Referencia]]&amp;Tabla3[[#This Row],[Desc detalle ext 1]],Tabla1[[Referencia-Color]:[Disponibilidad]],3,FALSE),0)</f>
        <v>21</v>
      </c>
      <c r="V1244" s="13"/>
      <c r="W1244" s="17">
        <f>+Tabla3[[#This Row],[Cant. Programada]]*Tabla3[[#This Row],[Precio unit]]</f>
        <v>0</v>
      </c>
      <c r="X1244" s="8"/>
      <c r="Y1244" s="8"/>
      <c r="Z1244" s="8" t="str">
        <f>+Tabla3[[#This Row],[Referencia]]&amp;Tabla3[[#This Row],[Desc detalle ext 1]]</f>
        <v xml:space="preserve">CB 110 DLX                                        AZUL     </v>
      </c>
      <c r="AA1244" s="128" t="e">
        <f>+VLOOKUP(Tabla3[[#This Row],[CODIGO2]],ESTANDAR!$B$3:$C$9,2,FALSE)</f>
        <v>#N/A</v>
      </c>
      <c r="AB1244" s="128" t="str">
        <f>+MID(Tabla3[[#This Row],['# Viaje]],10,1)</f>
        <v/>
      </c>
    </row>
    <row r="1245" spans="1:28" ht="15" hidden="1" customHeight="1">
      <c r="A1245" s="78" t="s">
        <v>1699</v>
      </c>
      <c r="B1245" s="79">
        <v>42949</v>
      </c>
      <c r="C1245" s="78" t="s">
        <v>1231</v>
      </c>
      <c r="D1245" s="78" t="s">
        <v>1478</v>
      </c>
      <c r="E1245" s="78" t="s">
        <v>1232</v>
      </c>
      <c r="F1245" s="78">
        <v>6</v>
      </c>
      <c r="G1245" s="78" t="s">
        <v>43</v>
      </c>
      <c r="H1245" s="78">
        <v>6</v>
      </c>
      <c r="I1245" s="78" t="s">
        <v>1225</v>
      </c>
      <c r="J1245" s="78" t="s">
        <v>1451</v>
      </c>
      <c r="K1245" s="78" t="s">
        <v>16</v>
      </c>
      <c r="L1245" s="79"/>
      <c r="M1245" s="78" t="s">
        <v>47</v>
      </c>
      <c r="N1245" s="78">
        <v>890330584</v>
      </c>
      <c r="O1245" s="80">
        <v>3696639</v>
      </c>
      <c r="P1245" s="7"/>
      <c r="Q1245" s="16">
        <f>+IF(IFERROR(VLOOKUP(Tabla3[[#This Row],[Cliente factura]],Tabla4[[NIT]:[TOTAL CREDITO]],3,FALSE),0)="",0,IFERROR(VLOOKUP(Tabla3[[#This Row],[Cliente factura]],Tabla4[[NIT]:[TOTAL CREDITO]],3,FALSE),0))</f>
        <v>802084041</v>
      </c>
      <c r="R1245" s="9">
        <f>+IFERROR(VLOOKUP(Tabla3[[#This Row],[Cliente factura]],Tabla4[[NIT]:[TOTAL CREDITO]],6,FALSE),0)</f>
        <v>0</v>
      </c>
      <c r="S1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5" s="10" t="str">
        <f>VLOOKUP(Tabla3[[#This Row],[Razón social cliente factura]]&amp;Tabla3[[#This Row],[Desc. ciudad]],'Estandar de Rutas'!$C$1:$E$553,2,FALSE)</f>
        <v>1.3.A</v>
      </c>
      <c r="U1245" s="130">
        <f>IFERROR(VLOOKUP(Tabla3[[#This Row],[Referencia]]&amp;Tabla3[[#This Row],[Desc detalle ext 1]],Tabla1[[Referencia-Color]:[Disponibilidad]],3,FALSE),0)</f>
        <v>3</v>
      </c>
      <c r="V1245" s="13"/>
      <c r="W1245" s="17">
        <f>+Tabla3[[#This Row],[Cant. Programada]]*Tabla3[[#This Row],[Precio unit]]</f>
        <v>0</v>
      </c>
      <c r="X1245" s="8"/>
      <c r="Y1245" s="8"/>
      <c r="Z1245" s="8" t="str">
        <f>+Tabla3[[#This Row],[Referencia]]&amp;Tabla3[[#This Row],[Desc detalle ext 1]]</f>
        <v xml:space="preserve">CB 110 DLX                                        NEGRO    </v>
      </c>
      <c r="AA1245" s="128" t="e">
        <f>+VLOOKUP(Tabla3[[#This Row],[CODIGO2]],ESTANDAR!$B$3:$C$9,2,FALSE)</f>
        <v>#N/A</v>
      </c>
      <c r="AB1245" s="128" t="str">
        <f>+MID(Tabla3[[#This Row],['# Viaje]],10,1)</f>
        <v/>
      </c>
    </row>
    <row r="1246" spans="1:28" ht="15" hidden="1" customHeight="1">
      <c r="A1246" s="78" t="s">
        <v>1700</v>
      </c>
      <c r="B1246" s="79">
        <v>42949</v>
      </c>
      <c r="C1246" s="78" t="s">
        <v>1231</v>
      </c>
      <c r="D1246" s="78" t="s">
        <v>1487</v>
      </c>
      <c r="E1246" s="78" t="s">
        <v>1232</v>
      </c>
      <c r="F1246" s="78">
        <v>1</v>
      </c>
      <c r="G1246" s="78" t="s">
        <v>193</v>
      </c>
      <c r="H1246" s="78">
        <v>1</v>
      </c>
      <c r="I1246" s="78" t="s">
        <v>1701</v>
      </c>
      <c r="J1246" s="78" t="s">
        <v>1421</v>
      </c>
      <c r="K1246" s="78" t="s">
        <v>1434</v>
      </c>
      <c r="L1246" s="79"/>
      <c r="M1246" s="78" t="s">
        <v>194</v>
      </c>
      <c r="N1246" s="78">
        <v>890406707</v>
      </c>
      <c r="O1246" s="80">
        <v>11496063</v>
      </c>
      <c r="P1246" s="7"/>
      <c r="Q1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6" s="9">
        <f>+IFERROR(VLOOKUP(Tabla3[[#This Row],[Cliente factura]],Tabla4[[NIT]:[TOTAL CREDITO]],6,FALSE),0)</f>
        <v>0</v>
      </c>
      <c r="S1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6" s="10" t="str">
        <f>VLOOKUP(Tabla3[[#This Row],[Razón social cliente factura]]&amp;Tabla3[[#This Row],[Desc. ciudad]],'Estandar de Rutas'!$C$1:$E$553,2,FALSE)</f>
        <v>11.1.A</v>
      </c>
      <c r="U1246" s="130">
        <f>IFERROR(VLOOKUP(Tabla3[[#This Row],[Referencia]]&amp;Tabla3[[#This Row],[Desc detalle ext 1]],Tabla1[[Referencia-Color]:[Disponibilidad]],3,FALSE),0)</f>
        <v>0</v>
      </c>
      <c r="V1246" s="13"/>
      <c r="W1246" s="17">
        <f>+Tabla3[[#This Row],[Cant. Programada]]*Tabla3[[#This Row],[Precio unit]]</f>
        <v>0</v>
      </c>
      <c r="X1246" s="8"/>
      <c r="Y1246" s="8"/>
      <c r="Z1246" s="8" t="str">
        <f>+Tabla3[[#This Row],[Referencia]]&amp;Tabla3[[#This Row],[Desc detalle ext 1]]</f>
        <v>*XR-250 TORNADO pt MD34                           BLANCO NE</v>
      </c>
      <c r="AA1246" s="128" t="e">
        <f>+VLOOKUP(Tabla3[[#This Row],[CODIGO2]],ESTANDAR!$B$3:$C$9,2,FALSE)</f>
        <v>#N/A</v>
      </c>
      <c r="AB1246" s="128" t="str">
        <f>+MID(Tabla3[[#This Row],['# Viaje]],10,1)</f>
        <v/>
      </c>
    </row>
    <row r="1247" spans="1:28" ht="15" hidden="1" customHeight="1">
      <c r="A1247" s="78" t="s">
        <v>1700</v>
      </c>
      <c r="B1247" s="79">
        <v>42949</v>
      </c>
      <c r="C1247" s="78" t="s">
        <v>1231</v>
      </c>
      <c r="D1247" s="78" t="s">
        <v>1487</v>
      </c>
      <c r="E1247" s="78" t="s">
        <v>1232</v>
      </c>
      <c r="F1247" s="78">
        <v>2</v>
      </c>
      <c r="G1247" s="78" t="s">
        <v>193</v>
      </c>
      <c r="H1247" s="78">
        <v>2</v>
      </c>
      <c r="I1247" s="78" t="s">
        <v>1701</v>
      </c>
      <c r="J1247" s="78" t="s">
        <v>14</v>
      </c>
      <c r="K1247" s="78" t="s">
        <v>1417</v>
      </c>
      <c r="L1247" s="79"/>
      <c r="M1247" s="78" t="s">
        <v>194</v>
      </c>
      <c r="N1247" s="78">
        <v>890406707</v>
      </c>
      <c r="O1247" s="80">
        <v>3360504</v>
      </c>
      <c r="P1247" s="7"/>
      <c r="Q1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7" s="9">
        <f>+IFERROR(VLOOKUP(Tabla3[[#This Row],[Cliente factura]],Tabla4[[NIT]:[TOTAL CREDITO]],6,FALSE),0)</f>
        <v>0</v>
      </c>
      <c r="S1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7" s="10" t="str">
        <f>VLOOKUP(Tabla3[[#This Row],[Razón social cliente factura]]&amp;Tabla3[[#This Row],[Desc. ciudad]],'Estandar de Rutas'!$C$1:$E$553,2,FALSE)</f>
        <v>11.1.A</v>
      </c>
      <c r="U1247" s="130">
        <f>IFERROR(VLOOKUP(Tabla3[[#This Row],[Referencia]]&amp;Tabla3[[#This Row],[Desc detalle ext 1]],Tabla1[[Referencia-Color]:[Disponibilidad]],3,FALSE),0)</f>
        <v>24</v>
      </c>
      <c r="V1247" s="13"/>
      <c r="W1247" s="17">
        <f>+Tabla3[[#This Row],[Cant. Programada]]*Tabla3[[#This Row],[Precio unit]]</f>
        <v>0</v>
      </c>
      <c r="X1247" s="8"/>
      <c r="Y1247" s="8"/>
      <c r="Z1247" s="8" t="str">
        <f>+Tabla3[[#This Row],[Referencia]]&amp;Tabla3[[#This Row],[Desc detalle ext 1]]</f>
        <v xml:space="preserve">*CB-110                                           GRIS MET </v>
      </c>
      <c r="AA1247" s="128" t="e">
        <f>+VLOOKUP(Tabla3[[#This Row],[CODIGO2]],ESTANDAR!$B$3:$C$9,2,FALSE)</f>
        <v>#N/A</v>
      </c>
      <c r="AB1247" s="128" t="str">
        <f>+MID(Tabla3[[#This Row],['# Viaje]],10,1)</f>
        <v/>
      </c>
    </row>
    <row r="1248" spans="1:28" ht="15" hidden="1" customHeight="1">
      <c r="A1248" s="78" t="s">
        <v>1700</v>
      </c>
      <c r="B1248" s="79">
        <v>42949</v>
      </c>
      <c r="C1248" s="78" t="s">
        <v>1231</v>
      </c>
      <c r="D1248" s="78" t="s">
        <v>1487</v>
      </c>
      <c r="E1248" s="78" t="s">
        <v>1232</v>
      </c>
      <c r="F1248" s="78">
        <v>2</v>
      </c>
      <c r="G1248" s="78" t="s">
        <v>193</v>
      </c>
      <c r="H1248" s="78">
        <v>2</v>
      </c>
      <c r="I1248" s="78" t="s">
        <v>1701</v>
      </c>
      <c r="J1248" s="78" t="s">
        <v>354</v>
      </c>
      <c r="K1248" s="78" t="s">
        <v>17</v>
      </c>
      <c r="L1248" s="79"/>
      <c r="M1248" s="78" t="s">
        <v>194</v>
      </c>
      <c r="N1248" s="78">
        <v>890406707</v>
      </c>
      <c r="O1248" s="80">
        <v>6133613</v>
      </c>
      <c r="P1248" s="7"/>
      <c r="Q1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8" s="9">
        <f>+IFERROR(VLOOKUP(Tabla3[[#This Row],[Cliente factura]],Tabla4[[NIT]:[TOTAL CREDITO]],6,FALSE),0)</f>
        <v>0</v>
      </c>
      <c r="S1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8" s="10" t="str">
        <f>VLOOKUP(Tabla3[[#This Row],[Razón social cliente factura]]&amp;Tabla3[[#This Row],[Desc. ciudad]],'Estandar de Rutas'!$C$1:$E$553,2,FALSE)</f>
        <v>11.1.A</v>
      </c>
      <c r="U1248" s="130">
        <f>IFERROR(VLOOKUP(Tabla3[[#This Row],[Referencia]]&amp;Tabla3[[#This Row],[Desc detalle ext 1]],Tabla1[[Referencia-Color]:[Disponibilidad]],3,FALSE),0)</f>
        <v>48</v>
      </c>
      <c r="V1248" s="13"/>
      <c r="W1248" s="17">
        <f>+Tabla3[[#This Row],[Cant. Programada]]*Tabla3[[#This Row],[Precio unit]]</f>
        <v>0</v>
      </c>
      <c r="X1248" s="8"/>
      <c r="Y1248" s="8"/>
      <c r="Z1248" s="8" t="str">
        <f>+Tabla3[[#This Row],[Referencia]]&amp;Tabla3[[#This Row],[Desc detalle ext 1]]</f>
        <v>CB 160F DLX                                       ROJO SPOR</v>
      </c>
      <c r="AA1248" s="128" t="e">
        <f>+VLOOKUP(Tabla3[[#This Row],[CODIGO2]],ESTANDAR!$B$3:$C$9,2,FALSE)</f>
        <v>#N/A</v>
      </c>
      <c r="AB1248" s="128" t="str">
        <f>+MID(Tabla3[[#This Row],['# Viaje]],10,1)</f>
        <v/>
      </c>
    </row>
    <row r="1249" spans="1:28" ht="15" hidden="1" customHeight="1">
      <c r="A1249" s="78" t="s">
        <v>1700</v>
      </c>
      <c r="B1249" s="79">
        <v>42949</v>
      </c>
      <c r="C1249" s="78" t="s">
        <v>1231</v>
      </c>
      <c r="D1249" s="78" t="s">
        <v>1487</v>
      </c>
      <c r="E1249" s="78" t="s">
        <v>1232</v>
      </c>
      <c r="F1249" s="78">
        <v>2</v>
      </c>
      <c r="G1249" s="78" t="s">
        <v>193</v>
      </c>
      <c r="H1249" s="78">
        <v>2</v>
      </c>
      <c r="I1249" s="78" t="s">
        <v>1701</v>
      </c>
      <c r="J1249" s="78" t="s">
        <v>354</v>
      </c>
      <c r="K1249" s="78" t="s">
        <v>355</v>
      </c>
      <c r="L1249" s="79"/>
      <c r="M1249" s="78" t="s">
        <v>194</v>
      </c>
      <c r="N1249" s="78">
        <v>890406707</v>
      </c>
      <c r="O1249" s="80">
        <v>6133613</v>
      </c>
      <c r="P1249" s="7"/>
      <c r="Q1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9" s="9">
        <f>+IFERROR(VLOOKUP(Tabla3[[#This Row],[Cliente factura]],Tabla4[[NIT]:[TOTAL CREDITO]],6,FALSE),0)</f>
        <v>0</v>
      </c>
      <c r="S1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9" s="10" t="str">
        <f>VLOOKUP(Tabla3[[#This Row],[Razón social cliente factura]]&amp;Tabla3[[#This Row],[Desc. ciudad]],'Estandar de Rutas'!$C$1:$E$553,2,FALSE)</f>
        <v>11.1.A</v>
      </c>
      <c r="U1249" s="130">
        <f>IFERROR(VLOOKUP(Tabla3[[#This Row],[Referencia]]&amp;Tabla3[[#This Row],[Desc detalle ext 1]],Tabla1[[Referencia-Color]:[Disponibilidad]],3,FALSE),0)</f>
        <v>0</v>
      </c>
      <c r="V1249" s="13"/>
      <c r="W1249" s="17">
        <f>+Tabla3[[#This Row],[Cant. Programada]]*Tabla3[[#This Row],[Precio unit]]</f>
        <v>0</v>
      </c>
      <c r="X1249" s="8"/>
      <c r="Y1249" s="8"/>
      <c r="Z1249" s="8" t="str">
        <f>+Tabla3[[#This Row],[Referencia]]&amp;Tabla3[[#This Row],[Desc detalle ext 1]]</f>
        <v>CB 160F DLX                                       NEGRO PER</v>
      </c>
      <c r="AA1249" s="128" t="e">
        <f>+VLOOKUP(Tabla3[[#This Row],[CODIGO2]],ESTANDAR!$B$3:$C$9,2,FALSE)</f>
        <v>#N/A</v>
      </c>
      <c r="AB1249" s="128" t="str">
        <f>+MID(Tabla3[[#This Row],['# Viaje]],10,1)</f>
        <v/>
      </c>
    </row>
    <row r="1250" spans="1:28" ht="15" hidden="1" customHeight="1">
      <c r="A1250" s="78" t="s">
        <v>1700</v>
      </c>
      <c r="B1250" s="79">
        <v>42949</v>
      </c>
      <c r="C1250" s="78" t="s">
        <v>1231</v>
      </c>
      <c r="D1250" s="78" t="s">
        <v>1487</v>
      </c>
      <c r="E1250" s="78" t="s">
        <v>1232</v>
      </c>
      <c r="F1250" s="78">
        <v>1</v>
      </c>
      <c r="G1250" s="78" t="s">
        <v>193</v>
      </c>
      <c r="H1250" s="78">
        <v>1</v>
      </c>
      <c r="I1250" s="78" t="s">
        <v>1701</v>
      </c>
      <c r="J1250" s="78" t="s">
        <v>1453</v>
      </c>
      <c r="K1250" s="78" t="s">
        <v>11</v>
      </c>
      <c r="L1250" s="79"/>
      <c r="M1250" s="78" t="s">
        <v>194</v>
      </c>
      <c r="N1250" s="78">
        <v>890406707</v>
      </c>
      <c r="O1250" s="80">
        <v>7730252</v>
      </c>
      <c r="P1250" s="7"/>
      <c r="Q1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0" s="9">
        <f>+IFERROR(VLOOKUP(Tabla3[[#This Row],[Cliente factura]],Tabla4[[NIT]:[TOTAL CREDITO]],6,FALSE),0)</f>
        <v>0</v>
      </c>
      <c r="S1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0" s="10" t="str">
        <f>VLOOKUP(Tabla3[[#This Row],[Razón social cliente factura]]&amp;Tabla3[[#This Row],[Desc. ciudad]],'Estandar de Rutas'!$C$1:$E$553,2,FALSE)</f>
        <v>11.1.A</v>
      </c>
      <c r="U1250" s="130">
        <f>IFERROR(VLOOKUP(Tabla3[[#This Row],[Referencia]]&amp;Tabla3[[#This Row],[Desc detalle ext 1]],Tabla1[[Referencia-Color]:[Disponibilidad]],3,FALSE),0)</f>
        <v>0</v>
      </c>
      <c r="V1250" s="13"/>
      <c r="W1250" s="17">
        <f>+Tabla3[[#This Row],[Cant. Programada]]*Tabla3[[#This Row],[Precio unit]]</f>
        <v>0</v>
      </c>
      <c r="X1250" s="8"/>
      <c r="Y1250" s="8"/>
      <c r="Z1250" s="8" t="str">
        <f>+Tabla3[[#This Row],[Referencia]]&amp;Tabla3[[#This Row],[Desc detalle ext 1]]</f>
        <v>CB 190R INSTINTO R                                NEGRO ONI</v>
      </c>
      <c r="AA1250" s="128" t="e">
        <f>+VLOOKUP(Tabla3[[#This Row],[CODIGO2]],ESTANDAR!$B$3:$C$9,2,FALSE)</f>
        <v>#N/A</v>
      </c>
      <c r="AB1250" s="128" t="str">
        <f>+MID(Tabla3[[#This Row],['# Viaje]],10,1)</f>
        <v/>
      </c>
    </row>
    <row r="1251" spans="1:28" ht="15" hidden="1" customHeight="1">
      <c r="A1251" s="78" t="s">
        <v>1700</v>
      </c>
      <c r="B1251" s="79">
        <v>42949</v>
      </c>
      <c r="C1251" s="78" t="s">
        <v>1231</v>
      </c>
      <c r="D1251" s="78" t="s">
        <v>1487</v>
      </c>
      <c r="E1251" s="78" t="s">
        <v>1232</v>
      </c>
      <c r="F1251" s="78">
        <v>2</v>
      </c>
      <c r="G1251" s="78" t="s">
        <v>193</v>
      </c>
      <c r="H1251" s="78">
        <v>2</v>
      </c>
      <c r="I1251" s="78" t="s">
        <v>1701</v>
      </c>
      <c r="J1251" s="78" t="s">
        <v>1428</v>
      </c>
      <c r="K1251" s="78" t="s">
        <v>32</v>
      </c>
      <c r="L1251" s="79"/>
      <c r="M1251" s="78" t="s">
        <v>194</v>
      </c>
      <c r="N1251" s="78">
        <v>890406707</v>
      </c>
      <c r="O1251" s="80">
        <v>3067227</v>
      </c>
      <c r="P1251" s="7"/>
      <c r="Q1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1" s="9">
        <f>+IFERROR(VLOOKUP(Tabla3[[#This Row],[Cliente factura]],Tabla4[[NIT]:[TOTAL CREDITO]],6,FALSE),0)</f>
        <v>0</v>
      </c>
      <c r="S1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1" s="10" t="str">
        <f>VLOOKUP(Tabla3[[#This Row],[Razón social cliente factura]]&amp;Tabla3[[#This Row],[Desc. ciudad]],'Estandar de Rutas'!$C$1:$E$553,2,FALSE)</f>
        <v>11.1.A</v>
      </c>
      <c r="U1251" s="130">
        <f>IFERROR(VLOOKUP(Tabla3[[#This Row],[Referencia]]&amp;Tabla3[[#This Row],[Desc detalle ext 1]],Tabla1[[Referencia-Color]:[Disponibilidad]],3,FALSE),0)</f>
        <v>0</v>
      </c>
      <c r="V1251" s="13"/>
      <c r="W1251" s="17">
        <f>+Tabla3[[#This Row],[Cant. Programada]]*Tabla3[[#This Row],[Precio unit]]</f>
        <v>0</v>
      </c>
      <c r="X1251" s="8"/>
      <c r="Y1251" s="8"/>
      <c r="Z1251" s="8" t="str">
        <f>+Tabla3[[#This Row],[Referencia]]&amp;Tabla3[[#This Row],[Desc detalle ext 1]]</f>
        <v>DREAM  NEO                                        NEGRO ROJ</v>
      </c>
      <c r="AA1251" s="128" t="e">
        <f>+VLOOKUP(Tabla3[[#This Row],[CODIGO2]],ESTANDAR!$B$3:$C$9,2,FALSE)</f>
        <v>#N/A</v>
      </c>
      <c r="AB1251" s="128" t="str">
        <f>+MID(Tabla3[[#This Row],['# Viaje]],10,1)</f>
        <v/>
      </c>
    </row>
    <row r="1252" spans="1:28" ht="15" hidden="1" customHeight="1">
      <c r="A1252" s="78" t="s">
        <v>1700</v>
      </c>
      <c r="B1252" s="79">
        <v>42949</v>
      </c>
      <c r="C1252" s="78" t="s">
        <v>1231</v>
      </c>
      <c r="D1252" s="78" t="s">
        <v>1487</v>
      </c>
      <c r="E1252" s="78" t="s">
        <v>1232</v>
      </c>
      <c r="F1252" s="78">
        <v>5</v>
      </c>
      <c r="G1252" s="78" t="s">
        <v>193</v>
      </c>
      <c r="H1252" s="78">
        <v>5</v>
      </c>
      <c r="I1252" s="78" t="s">
        <v>1701</v>
      </c>
      <c r="J1252" s="78" t="s">
        <v>1428</v>
      </c>
      <c r="K1252" s="78" t="s">
        <v>1429</v>
      </c>
      <c r="L1252" s="79"/>
      <c r="M1252" s="78" t="s">
        <v>194</v>
      </c>
      <c r="N1252" s="78">
        <v>890406707</v>
      </c>
      <c r="O1252" s="80">
        <v>3067227</v>
      </c>
      <c r="P1252" s="7"/>
      <c r="Q1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2" s="9">
        <f>+IFERROR(VLOOKUP(Tabla3[[#This Row],[Cliente factura]],Tabla4[[NIT]:[TOTAL CREDITO]],6,FALSE),0)</f>
        <v>0</v>
      </c>
      <c r="S1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2" s="10" t="str">
        <f>VLOOKUP(Tabla3[[#This Row],[Razón social cliente factura]]&amp;Tabla3[[#This Row],[Desc. ciudad]],'Estandar de Rutas'!$C$1:$E$553,2,FALSE)</f>
        <v>11.1.A</v>
      </c>
      <c r="U1252" s="130">
        <f>IFERROR(VLOOKUP(Tabla3[[#This Row],[Referencia]]&amp;Tabla3[[#This Row],[Desc detalle ext 1]],Tabla1[[Referencia-Color]:[Disponibilidad]],3,FALSE),0)</f>
        <v>0</v>
      </c>
      <c r="V1252" s="13"/>
      <c r="W1252" s="17">
        <f>+Tabla3[[#This Row],[Cant. Programada]]*Tabla3[[#This Row],[Precio unit]]</f>
        <v>0</v>
      </c>
      <c r="X1252" s="8"/>
      <c r="Y1252" s="8"/>
      <c r="Z1252" s="8" t="str">
        <f>+Tabla3[[#This Row],[Referencia]]&amp;Tabla3[[#This Row],[Desc detalle ext 1]]</f>
        <v>DREAM  NEO                                        NEGRO AZU</v>
      </c>
      <c r="AA1252" s="128" t="e">
        <f>+VLOOKUP(Tabla3[[#This Row],[CODIGO2]],ESTANDAR!$B$3:$C$9,2,FALSE)</f>
        <v>#N/A</v>
      </c>
      <c r="AB1252" s="128" t="str">
        <f>+MID(Tabla3[[#This Row],['# Viaje]],10,1)</f>
        <v/>
      </c>
    </row>
    <row r="1253" spans="1:28" ht="15" hidden="1" customHeight="1">
      <c r="A1253" s="81" t="s">
        <v>1700</v>
      </c>
      <c r="B1253" s="82">
        <v>42949</v>
      </c>
      <c r="C1253" s="81" t="s">
        <v>1231</v>
      </c>
      <c r="D1253" s="81" t="s">
        <v>1487</v>
      </c>
      <c r="E1253" s="81" t="s">
        <v>1232</v>
      </c>
      <c r="F1253" s="81">
        <v>3</v>
      </c>
      <c r="G1253" s="81" t="s">
        <v>193</v>
      </c>
      <c r="H1253" s="81">
        <v>3</v>
      </c>
      <c r="I1253" s="81" t="s">
        <v>1701</v>
      </c>
      <c r="J1253" s="81" t="s">
        <v>1451</v>
      </c>
      <c r="K1253" s="81" t="s">
        <v>1449</v>
      </c>
      <c r="L1253" s="82"/>
      <c r="M1253" s="81" t="s">
        <v>194</v>
      </c>
      <c r="N1253" s="81">
        <v>890406707</v>
      </c>
      <c r="O1253" s="83">
        <v>3696639</v>
      </c>
      <c r="P1253" s="7"/>
      <c r="Q1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3" s="9">
        <f>+IFERROR(VLOOKUP(Tabla3[[#This Row],[Cliente factura]],Tabla4[[NIT]:[TOTAL CREDITO]],6,FALSE),0)</f>
        <v>0</v>
      </c>
      <c r="S1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3" s="10" t="str">
        <f>VLOOKUP(Tabla3[[#This Row],[Razón social cliente factura]]&amp;Tabla3[[#This Row],[Desc. ciudad]],'Estandar de Rutas'!$C$1:$E$553,2,FALSE)</f>
        <v>11.1.A</v>
      </c>
      <c r="U1253" s="130">
        <f>IFERROR(VLOOKUP(Tabla3[[#This Row],[Referencia]]&amp;Tabla3[[#This Row],[Desc detalle ext 1]],Tabla1[[Referencia-Color]:[Disponibilidad]],3,FALSE),0)</f>
        <v>24</v>
      </c>
      <c r="V1253" s="13"/>
      <c r="W1253" s="17">
        <f>+Tabla3[[#This Row],[Cant. Programada]]*Tabla3[[#This Row],[Precio unit]]</f>
        <v>0</v>
      </c>
      <c r="X1253" s="8"/>
      <c r="Y1253" s="8"/>
      <c r="Z1253" s="8" t="str">
        <f>+Tabla3[[#This Row],[Referencia]]&amp;Tabla3[[#This Row],[Desc detalle ext 1]]</f>
        <v xml:space="preserve">CB 110 DLX                                        GRIS     </v>
      </c>
      <c r="AA1253" s="128" t="e">
        <f>+VLOOKUP(Tabla3[[#This Row],[CODIGO2]],ESTANDAR!$B$3:$C$9,2,FALSE)</f>
        <v>#N/A</v>
      </c>
      <c r="AB1253" s="128" t="str">
        <f>+MID(Tabla3[[#This Row],['# Viaje]],10,1)</f>
        <v/>
      </c>
    </row>
    <row r="1254" spans="1:28" ht="15" hidden="1" customHeight="1">
      <c r="A1254" s="81" t="s">
        <v>1700</v>
      </c>
      <c r="B1254" s="82">
        <v>42949</v>
      </c>
      <c r="C1254" s="81" t="s">
        <v>1231</v>
      </c>
      <c r="D1254" s="81" t="s">
        <v>1487</v>
      </c>
      <c r="E1254" s="81" t="s">
        <v>1232</v>
      </c>
      <c r="F1254" s="81">
        <v>8</v>
      </c>
      <c r="G1254" s="81" t="s">
        <v>193</v>
      </c>
      <c r="H1254" s="81">
        <v>8</v>
      </c>
      <c r="I1254" s="81" t="s">
        <v>1701</v>
      </c>
      <c r="J1254" s="81" t="s">
        <v>1451</v>
      </c>
      <c r="K1254" s="81" t="s">
        <v>16</v>
      </c>
      <c r="L1254" s="82"/>
      <c r="M1254" s="81" t="s">
        <v>194</v>
      </c>
      <c r="N1254" s="81">
        <v>890406707</v>
      </c>
      <c r="O1254" s="83">
        <v>3696639</v>
      </c>
      <c r="P1254" s="7"/>
      <c r="Q1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4" s="9">
        <f>+IFERROR(VLOOKUP(Tabla3[[#This Row],[Cliente factura]],Tabla4[[NIT]:[TOTAL CREDITO]],6,FALSE),0)</f>
        <v>0</v>
      </c>
      <c r="S1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4" s="10" t="str">
        <f>VLOOKUP(Tabla3[[#This Row],[Razón social cliente factura]]&amp;Tabla3[[#This Row],[Desc. ciudad]],'Estandar de Rutas'!$C$1:$E$553,2,FALSE)</f>
        <v>11.1.A</v>
      </c>
      <c r="U1254" s="130">
        <f>IFERROR(VLOOKUP(Tabla3[[#This Row],[Referencia]]&amp;Tabla3[[#This Row],[Desc detalle ext 1]],Tabla1[[Referencia-Color]:[Disponibilidad]],3,FALSE),0)</f>
        <v>3</v>
      </c>
      <c r="V1254" s="13"/>
      <c r="W1254" s="17">
        <f>+Tabla3[[#This Row],[Cant. Programada]]*Tabla3[[#This Row],[Precio unit]]</f>
        <v>0</v>
      </c>
      <c r="X1254" s="8"/>
      <c r="Y1254" s="8"/>
      <c r="Z1254" s="8" t="str">
        <f>+Tabla3[[#This Row],[Referencia]]&amp;Tabla3[[#This Row],[Desc detalle ext 1]]</f>
        <v xml:space="preserve">CB 110 DLX                                        NEGRO    </v>
      </c>
      <c r="AA1254" s="128" t="e">
        <f>+VLOOKUP(Tabla3[[#This Row],[CODIGO2]],ESTANDAR!$B$3:$C$9,2,FALSE)</f>
        <v>#N/A</v>
      </c>
      <c r="AB1254" s="128" t="str">
        <f>+MID(Tabla3[[#This Row],['# Viaje]],10,1)</f>
        <v/>
      </c>
    </row>
    <row r="1255" spans="1:28" ht="15" hidden="1" customHeight="1">
      <c r="A1255" s="69" t="s">
        <v>1702</v>
      </c>
      <c r="B1255" s="70">
        <v>42949</v>
      </c>
      <c r="C1255" s="69" t="s">
        <v>1231</v>
      </c>
      <c r="D1255" s="69" t="s">
        <v>1487</v>
      </c>
      <c r="E1255" s="69" t="s">
        <v>1232</v>
      </c>
      <c r="F1255" s="69">
        <v>2</v>
      </c>
      <c r="G1255" s="69" t="s">
        <v>193</v>
      </c>
      <c r="H1255" s="69">
        <v>2</v>
      </c>
      <c r="I1255" s="69" t="s">
        <v>1933</v>
      </c>
      <c r="J1255" s="69" t="s">
        <v>14</v>
      </c>
      <c r="K1255" s="69" t="s">
        <v>1417</v>
      </c>
      <c r="L1255" s="70"/>
      <c r="M1255" s="69" t="s">
        <v>194</v>
      </c>
      <c r="N1255" s="69">
        <v>890406707</v>
      </c>
      <c r="O1255" s="71">
        <v>3360504</v>
      </c>
      <c r="P1255" s="7"/>
      <c r="Q1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5" s="9">
        <f>+IFERROR(VLOOKUP(Tabla3[[#This Row],[Cliente factura]],Tabla4[[NIT]:[TOTAL CREDITO]],6,FALSE),0)</f>
        <v>0</v>
      </c>
      <c r="S1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5" s="10" t="str">
        <f>VLOOKUP(Tabla3[[#This Row],[Razón social cliente factura]]&amp;Tabla3[[#This Row],[Desc. ciudad]],'Estandar de Rutas'!$C$1:$E$553,2,FALSE)</f>
        <v>11.1.A</v>
      </c>
      <c r="U1255" s="130">
        <f>IFERROR(VLOOKUP(Tabla3[[#This Row],[Referencia]]&amp;Tabla3[[#This Row],[Desc detalle ext 1]],Tabla1[[Referencia-Color]:[Disponibilidad]],3,FALSE),0)</f>
        <v>24</v>
      </c>
      <c r="V1255" s="13"/>
      <c r="W1255" s="17">
        <f>+Tabla3[[#This Row],[Cant. Programada]]*Tabla3[[#This Row],[Precio unit]]</f>
        <v>0</v>
      </c>
      <c r="X1255" s="8"/>
      <c r="Y1255" s="8"/>
      <c r="Z1255" s="8" t="str">
        <f>+Tabla3[[#This Row],[Referencia]]&amp;Tabla3[[#This Row],[Desc detalle ext 1]]</f>
        <v xml:space="preserve">*CB-110                                           GRIS MET </v>
      </c>
      <c r="AA1255" s="128" t="e">
        <f>+VLOOKUP(Tabla3[[#This Row],[CODIGO2]],ESTANDAR!$B$3:$C$9,2,FALSE)</f>
        <v>#N/A</v>
      </c>
      <c r="AB1255" s="128" t="str">
        <f>+MID(Tabla3[[#This Row],['# Viaje]],10,1)</f>
        <v/>
      </c>
    </row>
    <row r="1256" spans="1:28" ht="15" hidden="1" customHeight="1">
      <c r="A1256" s="69" t="s">
        <v>1702</v>
      </c>
      <c r="B1256" s="70">
        <v>42949</v>
      </c>
      <c r="C1256" s="69" t="s">
        <v>1231</v>
      </c>
      <c r="D1256" s="69" t="s">
        <v>1487</v>
      </c>
      <c r="E1256" s="69" t="s">
        <v>1232</v>
      </c>
      <c r="F1256" s="69">
        <v>2</v>
      </c>
      <c r="G1256" s="69" t="s">
        <v>193</v>
      </c>
      <c r="H1256" s="69">
        <v>2</v>
      </c>
      <c r="I1256" s="69" t="s">
        <v>1933</v>
      </c>
      <c r="J1256" s="69" t="s">
        <v>354</v>
      </c>
      <c r="K1256" s="69" t="s">
        <v>17</v>
      </c>
      <c r="L1256" s="70"/>
      <c r="M1256" s="69" t="s">
        <v>194</v>
      </c>
      <c r="N1256" s="69">
        <v>890406707</v>
      </c>
      <c r="O1256" s="71">
        <v>6133613</v>
      </c>
      <c r="P1256" s="7"/>
      <c r="Q1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6" s="9">
        <f>+IFERROR(VLOOKUP(Tabla3[[#This Row],[Cliente factura]],Tabla4[[NIT]:[TOTAL CREDITO]],6,FALSE),0)</f>
        <v>0</v>
      </c>
      <c r="S1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6" s="10" t="str">
        <f>VLOOKUP(Tabla3[[#This Row],[Razón social cliente factura]]&amp;Tabla3[[#This Row],[Desc. ciudad]],'Estandar de Rutas'!$C$1:$E$553,2,FALSE)</f>
        <v>11.1.A</v>
      </c>
      <c r="U1256" s="130">
        <f>IFERROR(VLOOKUP(Tabla3[[#This Row],[Referencia]]&amp;Tabla3[[#This Row],[Desc detalle ext 1]],Tabla1[[Referencia-Color]:[Disponibilidad]],3,FALSE),0)</f>
        <v>48</v>
      </c>
      <c r="V1256" s="13"/>
      <c r="W1256" s="17">
        <f>+Tabla3[[#This Row],[Cant. Programada]]*Tabla3[[#This Row],[Precio unit]]</f>
        <v>0</v>
      </c>
      <c r="X1256" s="8"/>
      <c r="Y1256" s="8"/>
      <c r="Z1256" s="8" t="str">
        <f>+Tabla3[[#This Row],[Referencia]]&amp;Tabla3[[#This Row],[Desc detalle ext 1]]</f>
        <v>CB 160F DLX                                       ROJO SPOR</v>
      </c>
      <c r="AA1256" s="128" t="e">
        <f>+VLOOKUP(Tabla3[[#This Row],[CODIGO2]],ESTANDAR!$B$3:$C$9,2,FALSE)</f>
        <v>#N/A</v>
      </c>
      <c r="AB1256" s="128" t="str">
        <f>+MID(Tabla3[[#This Row],['# Viaje]],10,1)</f>
        <v/>
      </c>
    </row>
    <row r="1257" spans="1:28" ht="15" hidden="1" customHeight="1">
      <c r="A1257" s="69" t="s">
        <v>1702</v>
      </c>
      <c r="B1257" s="70">
        <v>42949</v>
      </c>
      <c r="C1257" s="69" t="s">
        <v>1231</v>
      </c>
      <c r="D1257" s="69" t="s">
        <v>1487</v>
      </c>
      <c r="E1257" s="69" t="s">
        <v>1232</v>
      </c>
      <c r="F1257" s="69">
        <v>2</v>
      </c>
      <c r="G1257" s="69" t="s">
        <v>193</v>
      </c>
      <c r="H1257" s="69">
        <v>2</v>
      </c>
      <c r="I1257" s="69" t="s">
        <v>1933</v>
      </c>
      <c r="J1257" s="69" t="s">
        <v>354</v>
      </c>
      <c r="K1257" s="69" t="s">
        <v>355</v>
      </c>
      <c r="L1257" s="70"/>
      <c r="M1257" s="69" t="s">
        <v>194</v>
      </c>
      <c r="N1257" s="69">
        <v>890406707</v>
      </c>
      <c r="O1257" s="71">
        <v>6133613</v>
      </c>
      <c r="P1257" s="7"/>
      <c r="Q1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7" s="9">
        <f>+IFERROR(VLOOKUP(Tabla3[[#This Row],[Cliente factura]],Tabla4[[NIT]:[TOTAL CREDITO]],6,FALSE),0)</f>
        <v>0</v>
      </c>
      <c r="S1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7" s="10" t="str">
        <f>VLOOKUP(Tabla3[[#This Row],[Razón social cliente factura]]&amp;Tabla3[[#This Row],[Desc. ciudad]],'Estandar de Rutas'!$C$1:$E$553,2,FALSE)</f>
        <v>11.1.A</v>
      </c>
      <c r="U1257" s="130">
        <f>IFERROR(VLOOKUP(Tabla3[[#This Row],[Referencia]]&amp;Tabla3[[#This Row],[Desc detalle ext 1]],Tabla1[[Referencia-Color]:[Disponibilidad]],3,FALSE),0)</f>
        <v>0</v>
      </c>
      <c r="V1257" s="13"/>
      <c r="W1257" s="17">
        <f>+Tabla3[[#This Row],[Cant. Programada]]*Tabla3[[#This Row],[Precio unit]]</f>
        <v>0</v>
      </c>
      <c r="X1257" s="8"/>
      <c r="Y1257" s="8"/>
      <c r="Z1257" s="8" t="str">
        <f>+Tabla3[[#This Row],[Referencia]]&amp;Tabla3[[#This Row],[Desc detalle ext 1]]</f>
        <v>CB 160F DLX                                       NEGRO PER</v>
      </c>
      <c r="AA1257" s="128" t="e">
        <f>+VLOOKUP(Tabla3[[#This Row],[CODIGO2]],ESTANDAR!$B$3:$C$9,2,FALSE)</f>
        <v>#N/A</v>
      </c>
      <c r="AB1257" s="128" t="str">
        <f>+MID(Tabla3[[#This Row],['# Viaje]],10,1)</f>
        <v/>
      </c>
    </row>
    <row r="1258" spans="1:28" ht="15" hidden="1" customHeight="1">
      <c r="A1258" s="69" t="s">
        <v>1702</v>
      </c>
      <c r="B1258" s="70">
        <v>42949</v>
      </c>
      <c r="C1258" s="69" t="s">
        <v>1231</v>
      </c>
      <c r="D1258" s="69" t="s">
        <v>1487</v>
      </c>
      <c r="E1258" s="69" t="s">
        <v>1232</v>
      </c>
      <c r="F1258" s="69">
        <v>1</v>
      </c>
      <c r="G1258" s="69" t="s">
        <v>193</v>
      </c>
      <c r="H1258" s="69">
        <v>1</v>
      </c>
      <c r="I1258" s="69" t="s">
        <v>1933</v>
      </c>
      <c r="J1258" s="69" t="s">
        <v>1453</v>
      </c>
      <c r="K1258" s="69" t="s">
        <v>11</v>
      </c>
      <c r="L1258" s="70"/>
      <c r="M1258" s="69" t="s">
        <v>194</v>
      </c>
      <c r="N1258" s="69">
        <v>890406707</v>
      </c>
      <c r="O1258" s="71">
        <v>7730252</v>
      </c>
      <c r="P1258" s="7"/>
      <c r="Q1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8" s="9">
        <f>+IFERROR(VLOOKUP(Tabla3[[#This Row],[Cliente factura]],Tabla4[[NIT]:[TOTAL CREDITO]],6,FALSE),0)</f>
        <v>0</v>
      </c>
      <c r="S1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8" s="10" t="str">
        <f>VLOOKUP(Tabla3[[#This Row],[Razón social cliente factura]]&amp;Tabla3[[#This Row],[Desc. ciudad]],'Estandar de Rutas'!$C$1:$E$553,2,FALSE)</f>
        <v>11.1.A</v>
      </c>
      <c r="U1258" s="130">
        <f>IFERROR(VLOOKUP(Tabla3[[#This Row],[Referencia]]&amp;Tabla3[[#This Row],[Desc detalle ext 1]],Tabla1[[Referencia-Color]:[Disponibilidad]],3,FALSE),0)</f>
        <v>0</v>
      </c>
      <c r="V1258" s="13"/>
      <c r="W1258" s="17">
        <f>+Tabla3[[#This Row],[Cant. Programada]]*Tabla3[[#This Row],[Precio unit]]</f>
        <v>0</v>
      </c>
      <c r="X1258" s="8"/>
      <c r="Y1258" s="8"/>
      <c r="Z1258" s="8" t="str">
        <f>+Tabla3[[#This Row],[Referencia]]&amp;Tabla3[[#This Row],[Desc detalle ext 1]]</f>
        <v>CB 190R INSTINTO R                                NEGRO ONI</v>
      </c>
      <c r="AA1258" s="128" t="e">
        <f>+VLOOKUP(Tabla3[[#This Row],[CODIGO2]],ESTANDAR!$B$3:$C$9,2,FALSE)</f>
        <v>#N/A</v>
      </c>
      <c r="AB1258" s="128" t="str">
        <f>+MID(Tabla3[[#This Row],['# Viaje]],10,1)</f>
        <v/>
      </c>
    </row>
    <row r="1259" spans="1:28" ht="15" hidden="1" customHeight="1">
      <c r="A1259" s="69" t="s">
        <v>1702</v>
      </c>
      <c r="B1259" s="70">
        <v>42949</v>
      </c>
      <c r="C1259" s="69" t="s">
        <v>1231</v>
      </c>
      <c r="D1259" s="69" t="s">
        <v>1487</v>
      </c>
      <c r="E1259" s="69" t="s">
        <v>1232</v>
      </c>
      <c r="F1259" s="69">
        <v>2</v>
      </c>
      <c r="G1259" s="69" t="s">
        <v>193</v>
      </c>
      <c r="H1259" s="69">
        <v>2</v>
      </c>
      <c r="I1259" s="69" t="s">
        <v>1933</v>
      </c>
      <c r="J1259" s="69" t="s">
        <v>1428</v>
      </c>
      <c r="K1259" s="69" t="s">
        <v>32</v>
      </c>
      <c r="L1259" s="70"/>
      <c r="M1259" s="69" t="s">
        <v>194</v>
      </c>
      <c r="N1259" s="69">
        <v>890406707</v>
      </c>
      <c r="O1259" s="71">
        <v>3067227</v>
      </c>
      <c r="P1259" s="7"/>
      <c r="Q12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9" s="9">
        <f>+IFERROR(VLOOKUP(Tabla3[[#This Row],[Cliente factura]],Tabla4[[NIT]:[TOTAL CREDITO]],6,FALSE),0)</f>
        <v>0</v>
      </c>
      <c r="S1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9" s="10" t="str">
        <f>VLOOKUP(Tabla3[[#This Row],[Razón social cliente factura]]&amp;Tabla3[[#This Row],[Desc. ciudad]],'Estandar de Rutas'!$C$1:$E$553,2,FALSE)</f>
        <v>11.1.A</v>
      </c>
      <c r="U1259" s="130">
        <f>IFERROR(VLOOKUP(Tabla3[[#This Row],[Referencia]]&amp;Tabla3[[#This Row],[Desc detalle ext 1]],Tabla1[[Referencia-Color]:[Disponibilidad]],3,FALSE),0)</f>
        <v>0</v>
      </c>
      <c r="V1259" s="13"/>
      <c r="W1259" s="17">
        <f>+Tabla3[[#This Row],[Cant. Programada]]*Tabla3[[#This Row],[Precio unit]]</f>
        <v>0</v>
      </c>
      <c r="X1259" s="8"/>
      <c r="Y1259" s="8"/>
      <c r="Z1259" s="8" t="str">
        <f>+Tabla3[[#This Row],[Referencia]]&amp;Tabla3[[#This Row],[Desc detalle ext 1]]</f>
        <v>DREAM  NEO                                        NEGRO ROJ</v>
      </c>
      <c r="AA1259" s="128" t="e">
        <f>+VLOOKUP(Tabla3[[#This Row],[CODIGO2]],ESTANDAR!$B$3:$C$9,2,FALSE)</f>
        <v>#N/A</v>
      </c>
      <c r="AB1259" s="128" t="str">
        <f>+MID(Tabla3[[#This Row],['# Viaje]],10,1)</f>
        <v/>
      </c>
    </row>
    <row r="1260" spans="1:28" ht="15" hidden="1" customHeight="1">
      <c r="A1260" s="69" t="s">
        <v>1702</v>
      </c>
      <c r="B1260" s="70">
        <v>42949</v>
      </c>
      <c r="C1260" s="69" t="s">
        <v>1231</v>
      </c>
      <c r="D1260" s="69" t="s">
        <v>1487</v>
      </c>
      <c r="E1260" s="69" t="s">
        <v>1232</v>
      </c>
      <c r="F1260" s="69">
        <v>5</v>
      </c>
      <c r="G1260" s="69" t="s">
        <v>193</v>
      </c>
      <c r="H1260" s="69">
        <v>5</v>
      </c>
      <c r="I1260" s="69" t="s">
        <v>1933</v>
      </c>
      <c r="J1260" s="69" t="s">
        <v>1428</v>
      </c>
      <c r="K1260" s="69" t="s">
        <v>1429</v>
      </c>
      <c r="L1260" s="70"/>
      <c r="M1260" s="69" t="s">
        <v>194</v>
      </c>
      <c r="N1260" s="69">
        <v>890406707</v>
      </c>
      <c r="O1260" s="71">
        <v>3067227</v>
      </c>
      <c r="P1260" s="7"/>
      <c r="Q12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0" s="9">
        <f>+IFERROR(VLOOKUP(Tabla3[[#This Row],[Cliente factura]],Tabla4[[NIT]:[TOTAL CREDITO]],6,FALSE),0)</f>
        <v>0</v>
      </c>
      <c r="S1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0" s="10" t="str">
        <f>VLOOKUP(Tabla3[[#This Row],[Razón social cliente factura]]&amp;Tabla3[[#This Row],[Desc. ciudad]],'Estandar de Rutas'!$C$1:$E$553,2,FALSE)</f>
        <v>11.1.A</v>
      </c>
      <c r="U1260" s="130">
        <f>IFERROR(VLOOKUP(Tabla3[[#This Row],[Referencia]]&amp;Tabla3[[#This Row],[Desc detalle ext 1]],Tabla1[[Referencia-Color]:[Disponibilidad]],3,FALSE),0)</f>
        <v>0</v>
      </c>
      <c r="V1260" s="13"/>
      <c r="W1260" s="17">
        <f>+Tabla3[[#This Row],[Cant. Programada]]*Tabla3[[#This Row],[Precio unit]]</f>
        <v>0</v>
      </c>
      <c r="X1260" s="8"/>
      <c r="Y1260" s="8"/>
      <c r="Z1260" s="8" t="str">
        <f>+Tabla3[[#This Row],[Referencia]]&amp;Tabla3[[#This Row],[Desc detalle ext 1]]</f>
        <v>DREAM  NEO                                        NEGRO AZU</v>
      </c>
      <c r="AA1260" s="128" t="e">
        <f>+VLOOKUP(Tabla3[[#This Row],[CODIGO2]],ESTANDAR!$B$3:$C$9,2,FALSE)</f>
        <v>#N/A</v>
      </c>
      <c r="AB1260" s="128" t="str">
        <f>+MID(Tabla3[[#This Row],['# Viaje]],10,1)</f>
        <v/>
      </c>
    </row>
    <row r="1261" spans="1:28" ht="15" hidden="1" customHeight="1">
      <c r="A1261" s="69" t="s">
        <v>1702</v>
      </c>
      <c r="B1261" s="70">
        <v>42949</v>
      </c>
      <c r="C1261" s="69" t="s">
        <v>1231</v>
      </c>
      <c r="D1261" s="69" t="s">
        <v>1487</v>
      </c>
      <c r="E1261" s="69" t="s">
        <v>1232</v>
      </c>
      <c r="F1261" s="69">
        <v>2</v>
      </c>
      <c r="G1261" s="69" t="s">
        <v>193</v>
      </c>
      <c r="H1261" s="69">
        <v>2</v>
      </c>
      <c r="I1261" s="69" t="s">
        <v>1933</v>
      </c>
      <c r="J1261" s="69" t="s">
        <v>1451</v>
      </c>
      <c r="K1261" s="69" t="s">
        <v>1449</v>
      </c>
      <c r="L1261" s="70"/>
      <c r="M1261" s="69" t="s">
        <v>194</v>
      </c>
      <c r="N1261" s="69">
        <v>890406707</v>
      </c>
      <c r="O1261" s="71">
        <v>3696639</v>
      </c>
      <c r="P1261" s="7"/>
      <c r="Q12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1" s="9">
        <f>+IFERROR(VLOOKUP(Tabla3[[#This Row],[Cliente factura]],Tabla4[[NIT]:[TOTAL CREDITO]],6,FALSE),0)</f>
        <v>0</v>
      </c>
      <c r="S1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1" s="10" t="str">
        <f>VLOOKUP(Tabla3[[#This Row],[Razón social cliente factura]]&amp;Tabla3[[#This Row],[Desc. ciudad]],'Estandar de Rutas'!$C$1:$E$553,2,FALSE)</f>
        <v>11.1.A</v>
      </c>
      <c r="U1261" s="130">
        <f>IFERROR(VLOOKUP(Tabla3[[#This Row],[Referencia]]&amp;Tabla3[[#This Row],[Desc detalle ext 1]],Tabla1[[Referencia-Color]:[Disponibilidad]],3,FALSE),0)</f>
        <v>24</v>
      </c>
      <c r="V1261" s="13"/>
      <c r="W1261" s="17">
        <f>+Tabla3[[#This Row],[Cant. Programada]]*Tabla3[[#This Row],[Precio unit]]</f>
        <v>0</v>
      </c>
      <c r="X1261" s="8"/>
      <c r="Y1261" s="8"/>
      <c r="Z1261" s="8" t="str">
        <f>+Tabla3[[#This Row],[Referencia]]&amp;Tabla3[[#This Row],[Desc detalle ext 1]]</f>
        <v xml:space="preserve">CB 110 DLX                                        GRIS     </v>
      </c>
      <c r="AA1261" s="128" t="e">
        <f>+VLOOKUP(Tabla3[[#This Row],[CODIGO2]],ESTANDAR!$B$3:$C$9,2,FALSE)</f>
        <v>#N/A</v>
      </c>
      <c r="AB1261" s="128" t="str">
        <f>+MID(Tabla3[[#This Row],['# Viaje]],10,1)</f>
        <v/>
      </c>
    </row>
    <row r="1262" spans="1:28" ht="15" hidden="1" customHeight="1">
      <c r="A1262" s="69" t="s">
        <v>1702</v>
      </c>
      <c r="B1262" s="70">
        <v>42949</v>
      </c>
      <c r="C1262" s="69" t="s">
        <v>1231</v>
      </c>
      <c r="D1262" s="69" t="s">
        <v>1487</v>
      </c>
      <c r="E1262" s="69" t="s">
        <v>1232</v>
      </c>
      <c r="F1262" s="69">
        <v>7</v>
      </c>
      <c r="G1262" s="69" t="s">
        <v>193</v>
      </c>
      <c r="H1262" s="69">
        <v>7</v>
      </c>
      <c r="I1262" s="69" t="s">
        <v>1933</v>
      </c>
      <c r="J1262" s="69" t="s">
        <v>1451</v>
      </c>
      <c r="K1262" s="69" t="s">
        <v>16</v>
      </c>
      <c r="L1262" s="70"/>
      <c r="M1262" s="69" t="s">
        <v>194</v>
      </c>
      <c r="N1262" s="69">
        <v>890406707</v>
      </c>
      <c r="O1262" s="71">
        <v>3696639</v>
      </c>
      <c r="P1262" s="7"/>
      <c r="Q12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2" s="9">
        <f>+IFERROR(VLOOKUP(Tabla3[[#This Row],[Cliente factura]],Tabla4[[NIT]:[TOTAL CREDITO]],6,FALSE),0)</f>
        <v>0</v>
      </c>
      <c r="S1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2" s="10" t="str">
        <f>VLOOKUP(Tabla3[[#This Row],[Razón social cliente factura]]&amp;Tabla3[[#This Row],[Desc. ciudad]],'Estandar de Rutas'!$C$1:$E$553,2,FALSE)</f>
        <v>11.1.A</v>
      </c>
      <c r="U1262" s="130">
        <f>IFERROR(VLOOKUP(Tabla3[[#This Row],[Referencia]]&amp;Tabla3[[#This Row],[Desc detalle ext 1]],Tabla1[[Referencia-Color]:[Disponibilidad]],3,FALSE),0)</f>
        <v>3</v>
      </c>
      <c r="V1262" s="13"/>
      <c r="W1262" s="17">
        <f>+Tabla3[[#This Row],[Cant. Programada]]*Tabla3[[#This Row],[Precio unit]]</f>
        <v>0</v>
      </c>
      <c r="X1262" s="8"/>
      <c r="Y1262" s="8"/>
      <c r="Z1262" s="8" t="str">
        <f>+Tabla3[[#This Row],[Referencia]]&amp;Tabla3[[#This Row],[Desc detalle ext 1]]</f>
        <v xml:space="preserve">CB 110 DLX                                        NEGRO    </v>
      </c>
      <c r="AA1262" s="128" t="e">
        <f>+VLOOKUP(Tabla3[[#This Row],[CODIGO2]],ESTANDAR!$B$3:$C$9,2,FALSE)</f>
        <v>#N/A</v>
      </c>
      <c r="AB1262" s="128" t="str">
        <f>+MID(Tabla3[[#This Row],['# Viaje]],10,1)</f>
        <v/>
      </c>
    </row>
    <row r="1263" spans="1:28" ht="15" hidden="1" customHeight="1">
      <c r="A1263" s="69" t="s">
        <v>1703</v>
      </c>
      <c r="B1263" s="70">
        <v>42949</v>
      </c>
      <c r="C1263" s="69" t="s">
        <v>1231</v>
      </c>
      <c r="D1263" s="69" t="s">
        <v>1478</v>
      </c>
      <c r="E1263" s="69" t="s">
        <v>1232</v>
      </c>
      <c r="F1263" s="69">
        <v>1</v>
      </c>
      <c r="G1263" s="69" t="s">
        <v>215</v>
      </c>
      <c r="H1263" s="69">
        <v>1</v>
      </c>
      <c r="I1263" s="69" t="s">
        <v>1704</v>
      </c>
      <c r="J1263" s="69" t="s">
        <v>1421</v>
      </c>
      <c r="K1263" s="69" t="s">
        <v>16</v>
      </c>
      <c r="L1263" s="70"/>
      <c r="M1263" s="69" t="s">
        <v>225</v>
      </c>
      <c r="N1263" s="69">
        <v>817000553</v>
      </c>
      <c r="O1263" s="71">
        <v>11496063</v>
      </c>
      <c r="P1263" s="7"/>
      <c r="Q1263" s="16">
        <f>+IF(IFERROR(VLOOKUP(Tabla3[[#This Row],[Cliente factura]],Tabla4[[NIT]:[TOTAL CREDITO]],3,FALSE),0)="",0,IFERROR(VLOOKUP(Tabla3[[#This Row],[Cliente factura]],Tabla4[[NIT]:[TOTAL CREDITO]],3,FALSE),0))</f>
        <v>137260504</v>
      </c>
      <c r="R1263" s="9">
        <f>+IFERROR(VLOOKUP(Tabla3[[#This Row],[Cliente factura]],Tabla4[[NIT]:[TOTAL CREDITO]],6,FALSE),0)</f>
        <v>0</v>
      </c>
      <c r="S1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3" s="10" t="str">
        <f>VLOOKUP(Tabla3[[#This Row],[Razón social cliente factura]]&amp;Tabla3[[#This Row],[Desc. ciudad]],'Estandar de Rutas'!$C$1:$E$553,2,FALSE)</f>
        <v>1.3.B</v>
      </c>
      <c r="U1263" s="130">
        <f>IFERROR(VLOOKUP(Tabla3[[#This Row],[Referencia]]&amp;Tabla3[[#This Row],[Desc detalle ext 1]],Tabla1[[Referencia-Color]:[Disponibilidad]],3,FALSE),0)</f>
        <v>0</v>
      </c>
      <c r="V1263" s="13"/>
      <c r="W1263" s="17">
        <f>+Tabla3[[#This Row],[Cant. Programada]]*Tabla3[[#This Row],[Precio unit]]</f>
        <v>0</v>
      </c>
      <c r="X1263" s="8"/>
      <c r="Y1263" s="8"/>
      <c r="Z1263" s="8" t="str">
        <f>+Tabla3[[#This Row],[Referencia]]&amp;Tabla3[[#This Row],[Desc detalle ext 1]]</f>
        <v xml:space="preserve">*XR-250 TORNADO pt MD34                           NEGRO    </v>
      </c>
      <c r="AA1263" s="128" t="e">
        <f>+VLOOKUP(Tabla3[[#This Row],[CODIGO2]],ESTANDAR!$B$3:$C$9,2,FALSE)</f>
        <v>#N/A</v>
      </c>
      <c r="AB1263" s="128" t="str">
        <f>+MID(Tabla3[[#This Row],['# Viaje]],10,1)</f>
        <v/>
      </c>
    </row>
    <row r="1264" spans="1:28" ht="15" hidden="1" customHeight="1">
      <c r="A1264" s="69" t="s">
        <v>1703</v>
      </c>
      <c r="B1264" s="70">
        <v>42949</v>
      </c>
      <c r="C1264" s="69" t="s">
        <v>1231</v>
      </c>
      <c r="D1264" s="69" t="s">
        <v>1478</v>
      </c>
      <c r="E1264" s="69" t="s">
        <v>1232</v>
      </c>
      <c r="F1264" s="69">
        <v>5</v>
      </c>
      <c r="G1264" s="69" t="s">
        <v>215</v>
      </c>
      <c r="H1264" s="69">
        <v>5</v>
      </c>
      <c r="I1264" s="69" t="s">
        <v>1704</v>
      </c>
      <c r="J1264" s="69" t="s">
        <v>14</v>
      </c>
      <c r="K1264" s="69" t="s">
        <v>1417</v>
      </c>
      <c r="L1264" s="70"/>
      <c r="M1264" s="69" t="s">
        <v>225</v>
      </c>
      <c r="N1264" s="69">
        <v>817000553</v>
      </c>
      <c r="O1264" s="71">
        <v>3360504</v>
      </c>
      <c r="P1264" s="7"/>
      <c r="Q1264" s="16">
        <f>+IF(IFERROR(VLOOKUP(Tabla3[[#This Row],[Cliente factura]],Tabla4[[NIT]:[TOTAL CREDITO]],3,FALSE),0)="",0,IFERROR(VLOOKUP(Tabla3[[#This Row],[Cliente factura]],Tabla4[[NIT]:[TOTAL CREDITO]],3,FALSE),0))</f>
        <v>137260504</v>
      </c>
      <c r="R1264" s="9">
        <f>+IFERROR(VLOOKUP(Tabla3[[#This Row],[Cliente factura]],Tabla4[[NIT]:[TOTAL CREDITO]],6,FALSE),0)</f>
        <v>0</v>
      </c>
      <c r="S1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4" s="10" t="str">
        <f>VLOOKUP(Tabla3[[#This Row],[Razón social cliente factura]]&amp;Tabla3[[#This Row],[Desc. ciudad]],'Estandar de Rutas'!$C$1:$E$553,2,FALSE)</f>
        <v>1.3.B</v>
      </c>
      <c r="U1264" s="130">
        <f>IFERROR(VLOOKUP(Tabla3[[#This Row],[Referencia]]&amp;Tabla3[[#This Row],[Desc detalle ext 1]],Tabla1[[Referencia-Color]:[Disponibilidad]],3,FALSE),0)</f>
        <v>24</v>
      </c>
      <c r="V1264" s="13"/>
      <c r="W1264" s="17">
        <f>+Tabla3[[#This Row],[Cant. Programada]]*Tabla3[[#This Row],[Precio unit]]</f>
        <v>0</v>
      </c>
      <c r="X1264" s="8"/>
      <c r="Y1264" s="8"/>
      <c r="Z1264" s="8" t="str">
        <f>+Tabla3[[#This Row],[Referencia]]&amp;Tabla3[[#This Row],[Desc detalle ext 1]]</f>
        <v xml:space="preserve">*CB-110                                           GRIS MET </v>
      </c>
      <c r="AA1264" s="128" t="e">
        <f>+VLOOKUP(Tabla3[[#This Row],[CODIGO2]],ESTANDAR!$B$3:$C$9,2,FALSE)</f>
        <v>#N/A</v>
      </c>
      <c r="AB1264" s="128" t="str">
        <f>+MID(Tabla3[[#This Row],['# Viaje]],10,1)</f>
        <v/>
      </c>
    </row>
    <row r="1265" spans="1:28" ht="15" hidden="1" customHeight="1">
      <c r="A1265" s="69" t="s">
        <v>1703</v>
      </c>
      <c r="B1265" s="70">
        <v>42949</v>
      </c>
      <c r="C1265" s="69" t="s">
        <v>1231</v>
      </c>
      <c r="D1265" s="69" t="s">
        <v>1478</v>
      </c>
      <c r="E1265" s="69" t="s">
        <v>1232</v>
      </c>
      <c r="F1265" s="69">
        <v>5</v>
      </c>
      <c r="G1265" s="69" t="s">
        <v>215</v>
      </c>
      <c r="H1265" s="69">
        <v>5</v>
      </c>
      <c r="I1265" s="69" t="s">
        <v>1704</v>
      </c>
      <c r="J1265" s="69" t="s">
        <v>14</v>
      </c>
      <c r="K1265" s="69" t="s">
        <v>16</v>
      </c>
      <c r="L1265" s="70"/>
      <c r="M1265" s="69" t="s">
        <v>225</v>
      </c>
      <c r="N1265" s="69">
        <v>817000553</v>
      </c>
      <c r="O1265" s="71">
        <v>3360504</v>
      </c>
      <c r="P1265" s="7"/>
      <c r="Q1265" s="16">
        <f>+IF(IFERROR(VLOOKUP(Tabla3[[#This Row],[Cliente factura]],Tabla4[[NIT]:[TOTAL CREDITO]],3,FALSE),0)="",0,IFERROR(VLOOKUP(Tabla3[[#This Row],[Cliente factura]],Tabla4[[NIT]:[TOTAL CREDITO]],3,FALSE),0))</f>
        <v>137260504</v>
      </c>
      <c r="R1265" s="9">
        <f>+IFERROR(VLOOKUP(Tabla3[[#This Row],[Cliente factura]],Tabla4[[NIT]:[TOTAL CREDITO]],6,FALSE),0)</f>
        <v>0</v>
      </c>
      <c r="S1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5" s="10" t="str">
        <f>VLOOKUP(Tabla3[[#This Row],[Razón social cliente factura]]&amp;Tabla3[[#This Row],[Desc. ciudad]],'Estandar de Rutas'!$C$1:$E$553,2,FALSE)</f>
        <v>1.3.B</v>
      </c>
      <c r="U1265" s="130">
        <f>IFERROR(VLOOKUP(Tabla3[[#This Row],[Referencia]]&amp;Tabla3[[#This Row],[Desc detalle ext 1]],Tabla1[[Referencia-Color]:[Disponibilidad]],3,FALSE),0)</f>
        <v>83</v>
      </c>
      <c r="V1265" s="13"/>
      <c r="W1265" s="17">
        <f>+Tabla3[[#This Row],[Cant. Programada]]*Tabla3[[#This Row],[Precio unit]]</f>
        <v>0</v>
      </c>
      <c r="X1265" s="8"/>
      <c r="Y1265" s="8"/>
      <c r="Z1265" s="8" t="str">
        <f>+Tabla3[[#This Row],[Referencia]]&amp;Tabla3[[#This Row],[Desc detalle ext 1]]</f>
        <v xml:space="preserve">*CB-110                                           NEGRO    </v>
      </c>
      <c r="AA1265" s="128" t="e">
        <f>+VLOOKUP(Tabla3[[#This Row],[CODIGO2]],ESTANDAR!$B$3:$C$9,2,FALSE)</f>
        <v>#N/A</v>
      </c>
      <c r="AB1265" s="128" t="str">
        <f>+MID(Tabla3[[#This Row],['# Viaje]],10,1)</f>
        <v/>
      </c>
    </row>
    <row r="1266" spans="1:28" ht="15" hidden="1" customHeight="1">
      <c r="A1266" s="69" t="s">
        <v>1703</v>
      </c>
      <c r="B1266" s="70">
        <v>42949</v>
      </c>
      <c r="C1266" s="69" t="s">
        <v>1231</v>
      </c>
      <c r="D1266" s="69" t="s">
        <v>1478</v>
      </c>
      <c r="E1266" s="69" t="s">
        <v>1232</v>
      </c>
      <c r="F1266" s="69">
        <v>17</v>
      </c>
      <c r="G1266" s="69" t="s">
        <v>215</v>
      </c>
      <c r="H1266" s="69">
        <v>17</v>
      </c>
      <c r="I1266" s="69" t="s">
        <v>1704</v>
      </c>
      <c r="J1266" s="69" t="s">
        <v>14</v>
      </c>
      <c r="K1266" s="69" t="s">
        <v>15</v>
      </c>
      <c r="L1266" s="70"/>
      <c r="M1266" s="69" t="s">
        <v>225</v>
      </c>
      <c r="N1266" s="69">
        <v>817000553</v>
      </c>
      <c r="O1266" s="71">
        <v>3360504</v>
      </c>
      <c r="P1266" s="7"/>
      <c r="Q1266" s="16">
        <f>+IF(IFERROR(VLOOKUP(Tabla3[[#This Row],[Cliente factura]],Tabla4[[NIT]:[TOTAL CREDITO]],3,FALSE),0)="",0,IFERROR(VLOOKUP(Tabla3[[#This Row],[Cliente factura]],Tabla4[[NIT]:[TOTAL CREDITO]],3,FALSE),0))</f>
        <v>137260504</v>
      </c>
      <c r="R1266" s="9">
        <f>+IFERROR(VLOOKUP(Tabla3[[#This Row],[Cliente factura]],Tabla4[[NIT]:[TOTAL CREDITO]],6,FALSE),0)</f>
        <v>0</v>
      </c>
      <c r="S1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6" s="10" t="str">
        <f>VLOOKUP(Tabla3[[#This Row],[Razón social cliente factura]]&amp;Tabla3[[#This Row],[Desc. ciudad]],'Estandar de Rutas'!$C$1:$E$553,2,FALSE)</f>
        <v>1.3.B</v>
      </c>
      <c r="U1266" s="130">
        <f>IFERROR(VLOOKUP(Tabla3[[#This Row],[Referencia]]&amp;Tabla3[[#This Row],[Desc detalle ext 1]],Tabla1[[Referencia-Color]:[Disponibilidad]],3,FALSE),0)</f>
        <v>99</v>
      </c>
      <c r="V1266" s="13"/>
      <c r="W1266" s="17">
        <f>+Tabla3[[#This Row],[Cant. Programada]]*Tabla3[[#This Row],[Precio unit]]</f>
        <v>0</v>
      </c>
      <c r="X1266" s="8"/>
      <c r="Y1266" s="8"/>
      <c r="Z1266" s="8" t="str">
        <f>+Tabla3[[#This Row],[Referencia]]&amp;Tabla3[[#This Row],[Desc detalle ext 1]]</f>
        <v>*CB-110                                           AZUL FIJI</v>
      </c>
      <c r="AA1266" s="128" t="e">
        <f>+VLOOKUP(Tabla3[[#This Row],[CODIGO2]],ESTANDAR!$B$3:$C$9,2,FALSE)</f>
        <v>#N/A</v>
      </c>
      <c r="AB1266" s="128" t="str">
        <f>+MID(Tabla3[[#This Row],['# Viaje]],10,1)</f>
        <v/>
      </c>
    </row>
    <row r="1267" spans="1:28" ht="15" hidden="1" customHeight="1">
      <c r="A1267" s="69" t="s">
        <v>1703</v>
      </c>
      <c r="B1267" s="70">
        <v>42949</v>
      </c>
      <c r="C1267" s="69" t="s">
        <v>1231</v>
      </c>
      <c r="D1267" s="69" t="s">
        <v>1478</v>
      </c>
      <c r="E1267" s="69" t="s">
        <v>1232</v>
      </c>
      <c r="F1267" s="69">
        <v>3</v>
      </c>
      <c r="G1267" s="69" t="s">
        <v>215</v>
      </c>
      <c r="H1267" s="69">
        <v>3</v>
      </c>
      <c r="I1267" s="69" t="s">
        <v>1704</v>
      </c>
      <c r="J1267" s="69" t="s">
        <v>27</v>
      </c>
      <c r="K1267" s="69" t="s">
        <v>32</v>
      </c>
      <c r="L1267" s="70"/>
      <c r="M1267" s="69" t="s">
        <v>225</v>
      </c>
      <c r="N1267" s="69">
        <v>817000553</v>
      </c>
      <c r="O1267" s="71">
        <v>5789916</v>
      </c>
      <c r="P1267" s="7"/>
      <c r="Q1267" s="16">
        <f>+IF(IFERROR(VLOOKUP(Tabla3[[#This Row],[Cliente factura]],Tabla4[[NIT]:[TOTAL CREDITO]],3,FALSE),0)="",0,IFERROR(VLOOKUP(Tabla3[[#This Row],[Cliente factura]],Tabla4[[NIT]:[TOTAL CREDITO]],3,FALSE),0))</f>
        <v>137260504</v>
      </c>
      <c r="R1267" s="9">
        <f>+IFERROR(VLOOKUP(Tabla3[[#This Row],[Cliente factura]],Tabla4[[NIT]:[TOTAL CREDITO]],6,FALSE),0)</f>
        <v>0</v>
      </c>
      <c r="S1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7" s="10" t="str">
        <f>VLOOKUP(Tabla3[[#This Row],[Razón social cliente factura]]&amp;Tabla3[[#This Row],[Desc. ciudad]],'Estandar de Rutas'!$C$1:$E$553,2,FALSE)</f>
        <v>1.3.B</v>
      </c>
      <c r="U1267" s="130">
        <f>IFERROR(VLOOKUP(Tabla3[[#This Row],[Referencia]]&amp;Tabla3[[#This Row],[Desc detalle ext 1]],Tabla1[[Referencia-Color]:[Disponibilidad]],3,FALSE),0)</f>
        <v>7</v>
      </c>
      <c r="V1267" s="13"/>
      <c r="W1267" s="17">
        <f>+Tabla3[[#This Row],[Cant. Programada]]*Tabla3[[#This Row],[Precio unit]]</f>
        <v>0</v>
      </c>
      <c r="X1267" s="8"/>
      <c r="Y1267" s="8"/>
      <c r="Z1267" s="8" t="str">
        <f>+Tabla3[[#This Row],[Referencia]]&amp;Tabla3[[#This Row],[Desc detalle ext 1]]</f>
        <v>*XR 150L                                          NEGRO ROJ</v>
      </c>
      <c r="AA1267" s="128" t="e">
        <f>+VLOOKUP(Tabla3[[#This Row],[CODIGO2]],ESTANDAR!$B$3:$C$9,2,FALSE)</f>
        <v>#N/A</v>
      </c>
      <c r="AB1267" s="128" t="str">
        <f>+MID(Tabla3[[#This Row],['# Viaje]],10,1)</f>
        <v/>
      </c>
    </row>
    <row r="1268" spans="1:28" ht="15" hidden="1" customHeight="1">
      <c r="A1268" s="69" t="s">
        <v>1703</v>
      </c>
      <c r="B1268" s="70">
        <v>42949</v>
      </c>
      <c r="C1268" s="69" t="s">
        <v>1231</v>
      </c>
      <c r="D1268" s="69" t="s">
        <v>1478</v>
      </c>
      <c r="E1268" s="69" t="s">
        <v>1232</v>
      </c>
      <c r="F1268" s="69">
        <v>7</v>
      </c>
      <c r="G1268" s="69" t="s">
        <v>215</v>
      </c>
      <c r="H1268" s="69">
        <v>7</v>
      </c>
      <c r="I1268" s="69" t="s">
        <v>1704</v>
      </c>
      <c r="J1268" s="69" t="s">
        <v>27</v>
      </c>
      <c r="K1268" s="69" t="s">
        <v>26</v>
      </c>
      <c r="L1268" s="70"/>
      <c r="M1268" s="69" t="s">
        <v>225</v>
      </c>
      <c r="N1268" s="69">
        <v>817000553</v>
      </c>
      <c r="O1268" s="71">
        <v>5789916</v>
      </c>
      <c r="P1268" s="7"/>
      <c r="Q1268" s="16">
        <f>+IF(IFERROR(VLOOKUP(Tabla3[[#This Row],[Cliente factura]],Tabla4[[NIT]:[TOTAL CREDITO]],3,FALSE),0)="",0,IFERROR(VLOOKUP(Tabla3[[#This Row],[Cliente factura]],Tabla4[[NIT]:[TOTAL CREDITO]],3,FALSE),0))</f>
        <v>137260504</v>
      </c>
      <c r="R1268" s="9">
        <f>+IFERROR(VLOOKUP(Tabla3[[#This Row],[Cliente factura]],Tabla4[[NIT]:[TOTAL CREDITO]],6,FALSE),0)</f>
        <v>0</v>
      </c>
      <c r="S1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8" s="10" t="str">
        <f>VLOOKUP(Tabla3[[#This Row],[Razón social cliente factura]]&amp;Tabla3[[#This Row],[Desc. ciudad]],'Estandar de Rutas'!$C$1:$E$553,2,FALSE)</f>
        <v>1.3.B</v>
      </c>
      <c r="U1268" s="130">
        <f>IFERROR(VLOOKUP(Tabla3[[#This Row],[Referencia]]&amp;Tabla3[[#This Row],[Desc detalle ext 1]],Tabla1[[Referencia-Color]:[Disponibilidad]],3,FALSE),0)</f>
        <v>59</v>
      </c>
      <c r="V1268" s="13"/>
      <c r="W1268" s="17">
        <f>+Tabla3[[#This Row],[Cant. Programada]]*Tabla3[[#This Row],[Precio unit]]</f>
        <v>0</v>
      </c>
      <c r="X1268" s="8"/>
      <c r="Y1268" s="8"/>
      <c r="Z1268" s="8" t="str">
        <f>+Tabla3[[#This Row],[Referencia]]&amp;Tabla3[[#This Row],[Desc detalle ext 1]]</f>
        <v>*XR 150L                                          NEGRO BLA</v>
      </c>
      <c r="AA1268" s="128" t="e">
        <f>+VLOOKUP(Tabla3[[#This Row],[CODIGO2]],ESTANDAR!$B$3:$C$9,2,FALSE)</f>
        <v>#N/A</v>
      </c>
      <c r="AB1268" s="128" t="str">
        <f>+MID(Tabla3[[#This Row],['# Viaje]],10,1)</f>
        <v/>
      </c>
    </row>
    <row r="1269" spans="1:28" ht="15" hidden="1" customHeight="1">
      <c r="A1269" s="69" t="s">
        <v>1703</v>
      </c>
      <c r="B1269" s="70">
        <v>42949</v>
      </c>
      <c r="C1269" s="69" t="s">
        <v>1231</v>
      </c>
      <c r="D1269" s="69" t="s">
        <v>1478</v>
      </c>
      <c r="E1269" s="69" t="s">
        <v>1232</v>
      </c>
      <c r="F1269" s="69">
        <v>2</v>
      </c>
      <c r="G1269" s="69" t="s">
        <v>215</v>
      </c>
      <c r="H1269" s="69">
        <v>2</v>
      </c>
      <c r="I1269" s="69" t="s">
        <v>1704</v>
      </c>
      <c r="J1269" s="69" t="s">
        <v>1433</v>
      </c>
      <c r="K1269" s="69" t="s">
        <v>1452</v>
      </c>
      <c r="L1269" s="70"/>
      <c r="M1269" s="69" t="s">
        <v>225</v>
      </c>
      <c r="N1269" s="69">
        <v>817000553</v>
      </c>
      <c r="O1269" s="71">
        <v>3521008</v>
      </c>
      <c r="P1269" s="7"/>
      <c r="Q1269" s="16">
        <f>+IF(IFERROR(VLOOKUP(Tabla3[[#This Row],[Cliente factura]],Tabla4[[NIT]:[TOTAL CREDITO]],3,FALSE),0)="",0,IFERROR(VLOOKUP(Tabla3[[#This Row],[Cliente factura]],Tabla4[[NIT]:[TOTAL CREDITO]],3,FALSE),0))</f>
        <v>137260504</v>
      </c>
      <c r="R1269" s="9">
        <f>+IFERROR(VLOOKUP(Tabla3[[#This Row],[Cliente factura]],Tabla4[[NIT]:[TOTAL CREDITO]],6,FALSE),0)</f>
        <v>0</v>
      </c>
      <c r="S1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9" s="10" t="str">
        <f>VLOOKUP(Tabla3[[#This Row],[Razón social cliente factura]]&amp;Tabla3[[#This Row],[Desc. ciudad]],'Estandar de Rutas'!$C$1:$E$553,2,FALSE)</f>
        <v>1.3.B</v>
      </c>
      <c r="U1269" s="130">
        <f>IFERROR(VLOOKUP(Tabla3[[#This Row],[Referencia]]&amp;Tabla3[[#This Row],[Desc detalle ext 1]],Tabla1[[Referencia-Color]:[Disponibilidad]],3,FALSE),0)</f>
        <v>0</v>
      </c>
      <c r="V1269" s="13"/>
      <c r="W1269" s="17">
        <f>+Tabla3[[#This Row],[Cant. Programada]]*Tabla3[[#This Row],[Precio unit]]</f>
        <v>0</v>
      </c>
      <c r="X1269" s="8"/>
      <c r="Y1269" s="8"/>
      <c r="Z1269" s="8" t="str">
        <f>+Tabla3[[#This Row],[Referencia]]&amp;Tabla3[[#This Row],[Desc detalle ext 1]]</f>
        <v xml:space="preserve">DIO  110                                          AZUL     </v>
      </c>
      <c r="AA1269" s="128" t="e">
        <f>+VLOOKUP(Tabla3[[#This Row],[CODIGO2]],ESTANDAR!$B$3:$C$9,2,FALSE)</f>
        <v>#N/A</v>
      </c>
      <c r="AB1269" s="128" t="str">
        <f>+MID(Tabla3[[#This Row],['# Viaje]],10,1)</f>
        <v/>
      </c>
    </row>
    <row r="1270" spans="1:28" ht="15" hidden="1" customHeight="1">
      <c r="A1270" s="69" t="s">
        <v>1703</v>
      </c>
      <c r="B1270" s="70">
        <v>42949</v>
      </c>
      <c r="C1270" s="69" t="s">
        <v>1231</v>
      </c>
      <c r="D1270" s="69" t="s">
        <v>1478</v>
      </c>
      <c r="E1270" s="69" t="s">
        <v>1232</v>
      </c>
      <c r="F1270" s="69">
        <v>1</v>
      </c>
      <c r="G1270" s="69" t="s">
        <v>215</v>
      </c>
      <c r="H1270" s="69">
        <v>1</v>
      </c>
      <c r="I1270" s="69" t="s">
        <v>1704</v>
      </c>
      <c r="J1270" s="69" t="s">
        <v>1433</v>
      </c>
      <c r="K1270" s="69" t="s">
        <v>1431</v>
      </c>
      <c r="L1270" s="70"/>
      <c r="M1270" s="69" t="s">
        <v>225</v>
      </c>
      <c r="N1270" s="69">
        <v>817000553</v>
      </c>
      <c r="O1270" s="71">
        <v>3521008</v>
      </c>
      <c r="P1270" s="7"/>
      <c r="Q1270" s="16">
        <f>+IF(IFERROR(VLOOKUP(Tabla3[[#This Row],[Cliente factura]],Tabla4[[NIT]:[TOTAL CREDITO]],3,FALSE),0)="",0,IFERROR(VLOOKUP(Tabla3[[#This Row],[Cliente factura]],Tabla4[[NIT]:[TOTAL CREDITO]],3,FALSE),0))</f>
        <v>137260504</v>
      </c>
      <c r="R1270" s="9">
        <f>+IFERROR(VLOOKUP(Tabla3[[#This Row],[Cliente factura]],Tabla4[[NIT]:[TOTAL CREDITO]],6,FALSE),0)</f>
        <v>0</v>
      </c>
      <c r="S1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0" s="10" t="str">
        <f>VLOOKUP(Tabla3[[#This Row],[Razón social cliente factura]]&amp;Tabla3[[#This Row],[Desc. ciudad]],'Estandar de Rutas'!$C$1:$E$553,2,FALSE)</f>
        <v>1.3.B</v>
      </c>
      <c r="U1270" s="130">
        <f>IFERROR(VLOOKUP(Tabla3[[#This Row],[Referencia]]&amp;Tabla3[[#This Row],[Desc detalle ext 1]],Tabla1[[Referencia-Color]:[Disponibilidad]],3,FALSE),0)</f>
        <v>0</v>
      </c>
      <c r="V1270" s="13"/>
      <c r="W1270" s="17">
        <f>+Tabla3[[#This Row],[Cant. Programada]]*Tabla3[[#This Row],[Precio unit]]</f>
        <v>0</v>
      </c>
      <c r="X1270" s="8"/>
      <c r="Y1270" s="8"/>
      <c r="Z1270" s="8" t="str">
        <f>+Tabla3[[#This Row],[Referencia]]&amp;Tabla3[[#This Row],[Desc detalle ext 1]]</f>
        <v xml:space="preserve">DIO  110                                          ROJO     </v>
      </c>
      <c r="AA1270" s="128" t="e">
        <f>+VLOOKUP(Tabla3[[#This Row],[CODIGO2]],ESTANDAR!$B$3:$C$9,2,FALSE)</f>
        <v>#N/A</v>
      </c>
      <c r="AB1270" s="128" t="str">
        <f>+MID(Tabla3[[#This Row],['# Viaje]],10,1)</f>
        <v/>
      </c>
    </row>
    <row r="1271" spans="1:28" ht="15" hidden="1" customHeight="1">
      <c r="A1271" s="69" t="s">
        <v>1703</v>
      </c>
      <c r="B1271" s="70">
        <v>42949</v>
      </c>
      <c r="C1271" s="69" t="s">
        <v>1231</v>
      </c>
      <c r="D1271" s="69" t="s">
        <v>1478</v>
      </c>
      <c r="E1271" s="69" t="s">
        <v>1232</v>
      </c>
      <c r="F1271" s="69">
        <v>5</v>
      </c>
      <c r="G1271" s="69" t="s">
        <v>215</v>
      </c>
      <c r="H1271" s="69">
        <v>5</v>
      </c>
      <c r="I1271" s="69" t="s">
        <v>1704</v>
      </c>
      <c r="J1271" s="69" t="s">
        <v>1428</v>
      </c>
      <c r="K1271" s="69" t="s">
        <v>1461</v>
      </c>
      <c r="L1271" s="70"/>
      <c r="M1271" s="69" t="s">
        <v>225</v>
      </c>
      <c r="N1271" s="69">
        <v>817000553</v>
      </c>
      <c r="O1271" s="71">
        <v>3067227</v>
      </c>
      <c r="P1271" s="7"/>
      <c r="Q1271" s="16">
        <f>+IF(IFERROR(VLOOKUP(Tabla3[[#This Row],[Cliente factura]],Tabla4[[NIT]:[TOTAL CREDITO]],3,FALSE),0)="",0,IFERROR(VLOOKUP(Tabla3[[#This Row],[Cliente factura]],Tabla4[[NIT]:[TOTAL CREDITO]],3,FALSE),0))</f>
        <v>137260504</v>
      </c>
      <c r="R1271" s="9">
        <f>+IFERROR(VLOOKUP(Tabla3[[#This Row],[Cliente factura]],Tabla4[[NIT]:[TOTAL CREDITO]],6,FALSE),0)</f>
        <v>0</v>
      </c>
      <c r="S1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1" s="10" t="str">
        <f>VLOOKUP(Tabla3[[#This Row],[Razón social cliente factura]]&amp;Tabla3[[#This Row],[Desc. ciudad]],'Estandar de Rutas'!$C$1:$E$553,2,FALSE)</f>
        <v>1.3.B</v>
      </c>
      <c r="U1271" s="130">
        <f>IFERROR(VLOOKUP(Tabla3[[#This Row],[Referencia]]&amp;Tabla3[[#This Row],[Desc detalle ext 1]],Tabla1[[Referencia-Color]:[Disponibilidad]],3,FALSE),0)</f>
        <v>0</v>
      </c>
      <c r="V1271" s="13"/>
      <c r="W1271" s="17">
        <f>+Tabla3[[#This Row],[Cant. Programada]]*Tabla3[[#This Row],[Precio unit]]</f>
        <v>0</v>
      </c>
      <c r="X1271" s="8"/>
      <c r="Y1271" s="8"/>
      <c r="Z1271" s="8" t="str">
        <f>+Tabla3[[#This Row],[Referencia]]&amp;Tabla3[[#This Row],[Desc detalle ext 1]]</f>
        <v>DREAM  NEO                                        ROJO ALFA</v>
      </c>
      <c r="AA1271" s="128" t="e">
        <f>+VLOOKUP(Tabla3[[#This Row],[CODIGO2]],ESTANDAR!$B$3:$C$9,2,FALSE)</f>
        <v>#N/A</v>
      </c>
      <c r="AB1271" s="128" t="str">
        <f>+MID(Tabla3[[#This Row],['# Viaje]],10,1)</f>
        <v/>
      </c>
    </row>
    <row r="1272" spans="1:28" ht="15" hidden="1" customHeight="1">
      <c r="A1272" s="69" t="s">
        <v>1703</v>
      </c>
      <c r="B1272" s="70">
        <v>42949</v>
      </c>
      <c r="C1272" s="69" t="s">
        <v>1231</v>
      </c>
      <c r="D1272" s="69" t="s">
        <v>1478</v>
      </c>
      <c r="E1272" s="69" t="s">
        <v>1232</v>
      </c>
      <c r="F1272" s="69">
        <v>5</v>
      </c>
      <c r="G1272" s="69" t="s">
        <v>215</v>
      </c>
      <c r="H1272" s="69">
        <v>5</v>
      </c>
      <c r="I1272" s="69" t="s">
        <v>1704</v>
      </c>
      <c r="J1272" s="69" t="s">
        <v>1428</v>
      </c>
      <c r="K1272" s="69" t="s">
        <v>32</v>
      </c>
      <c r="L1272" s="70"/>
      <c r="M1272" s="69" t="s">
        <v>225</v>
      </c>
      <c r="N1272" s="69">
        <v>817000553</v>
      </c>
      <c r="O1272" s="71">
        <v>3067227</v>
      </c>
      <c r="P1272" s="7"/>
      <c r="Q1272" s="16">
        <f>+IF(IFERROR(VLOOKUP(Tabla3[[#This Row],[Cliente factura]],Tabla4[[NIT]:[TOTAL CREDITO]],3,FALSE),0)="",0,IFERROR(VLOOKUP(Tabla3[[#This Row],[Cliente factura]],Tabla4[[NIT]:[TOTAL CREDITO]],3,FALSE),0))</f>
        <v>137260504</v>
      </c>
      <c r="R1272" s="9">
        <f>+IFERROR(VLOOKUP(Tabla3[[#This Row],[Cliente factura]],Tabla4[[NIT]:[TOTAL CREDITO]],6,FALSE),0)</f>
        <v>0</v>
      </c>
      <c r="S1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2" s="10" t="str">
        <f>VLOOKUP(Tabla3[[#This Row],[Razón social cliente factura]]&amp;Tabla3[[#This Row],[Desc. ciudad]],'Estandar de Rutas'!$C$1:$E$553,2,FALSE)</f>
        <v>1.3.B</v>
      </c>
      <c r="U1272" s="130">
        <f>IFERROR(VLOOKUP(Tabla3[[#This Row],[Referencia]]&amp;Tabla3[[#This Row],[Desc detalle ext 1]],Tabla1[[Referencia-Color]:[Disponibilidad]],3,FALSE),0)</f>
        <v>0</v>
      </c>
      <c r="V1272" s="13"/>
      <c r="W1272" s="17">
        <f>+Tabla3[[#This Row],[Cant. Programada]]*Tabla3[[#This Row],[Precio unit]]</f>
        <v>0</v>
      </c>
      <c r="X1272" s="8"/>
      <c r="Y1272" s="8"/>
      <c r="Z1272" s="8" t="str">
        <f>+Tabla3[[#This Row],[Referencia]]&amp;Tabla3[[#This Row],[Desc detalle ext 1]]</f>
        <v>DREAM  NEO                                        NEGRO ROJ</v>
      </c>
      <c r="AA1272" s="128" t="e">
        <f>+VLOOKUP(Tabla3[[#This Row],[CODIGO2]],ESTANDAR!$B$3:$C$9,2,FALSE)</f>
        <v>#N/A</v>
      </c>
      <c r="AB1272" s="128" t="str">
        <f>+MID(Tabla3[[#This Row],['# Viaje]],10,1)</f>
        <v/>
      </c>
    </row>
    <row r="1273" spans="1:28" ht="15" hidden="1" customHeight="1">
      <c r="A1273" s="69" t="s">
        <v>1703</v>
      </c>
      <c r="B1273" s="70">
        <v>42949</v>
      </c>
      <c r="C1273" s="69" t="s">
        <v>1231</v>
      </c>
      <c r="D1273" s="69" t="s">
        <v>1478</v>
      </c>
      <c r="E1273" s="69" t="s">
        <v>1232</v>
      </c>
      <c r="F1273" s="69">
        <v>10</v>
      </c>
      <c r="G1273" s="69" t="s">
        <v>215</v>
      </c>
      <c r="H1273" s="69">
        <v>10</v>
      </c>
      <c r="I1273" s="69" t="s">
        <v>1704</v>
      </c>
      <c r="J1273" s="69" t="s">
        <v>1428</v>
      </c>
      <c r="K1273" s="69" t="s">
        <v>1429</v>
      </c>
      <c r="L1273" s="70"/>
      <c r="M1273" s="69" t="s">
        <v>225</v>
      </c>
      <c r="N1273" s="69">
        <v>817000553</v>
      </c>
      <c r="O1273" s="71">
        <v>3067227</v>
      </c>
      <c r="P1273" s="7"/>
      <c r="Q1273" s="16">
        <f>+IF(IFERROR(VLOOKUP(Tabla3[[#This Row],[Cliente factura]],Tabla4[[NIT]:[TOTAL CREDITO]],3,FALSE),0)="",0,IFERROR(VLOOKUP(Tabla3[[#This Row],[Cliente factura]],Tabla4[[NIT]:[TOTAL CREDITO]],3,FALSE),0))</f>
        <v>137260504</v>
      </c>
      <c r="R1273" s="9">
        <f>+IFERROR(VLOOKUP(Tabla3[[#This Row],[Cliente factura]],Tabla4[[NIT]:[TOTAL CREDITO]],6,FALSE),0)</f>
        <v>0</v>
      </c>
      <c r="S1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3" s="10" t="str">
        <f>VLOOKUP(Tabla3[[#This Row],[Razón social cliente factura]]&amp;Tabla3[[#This Row],[Desc. ciudad]],'Estandar de Rutas'!$C$1:$E$553,2,FALSE)</f>
        <v>1.3.B</v>
      </c>
      <c r="U1273" s="130">
        <f>IFERROR(VLOOKUP(Tabla3[[#This Row],[Referencia]]&amp;Tabla3[[#This Row],[Desc detalle ext 1]],Tabla1[[Referencia-Color]:[Disponibilidad]],3,FALSE),0)</f>
        <v>0</v>
      </c>
      <c r="V1273" s="13"/>
      <c r="W1273" s="17">
        <f>+Tabla3[[#This Row],[Cant. Programada]]*Tabla3[[#This Row],[Precio unit]]</f>
        <v>0</v>
      </c>
      <c r="X1273" s="8"/>
      <c r="Y1273" s="8"/>
      <c r="Z1273" s="8" t="str">
        <f>+Tabla3[[#This Row],[Referencia]]&amp;Tabla3[[#This Row],[Desc detalle ext 1]]</f>
        <v>DREAM  NEO                                        NEGRO AZU</v>
      </c>
      <c r="AA1273" s="128" t="e">
        <f>+VLOOKUP(Tabla3[[#This Row],[CODIGO2]],ESTANDAR!$B$3:$C$9,2,FALSE)</f>
        <v>#N/A</v>
      </c>
      <c r="AB1273" s="128" t="str">
        <f>+MID(Tabla3[[#This Row],['# Viaje]],10,1)</f>
        <v/>
      </c>
    </row>
    <row r="1274" spans="1:28" ht="15" hidden="1" customHeight="1">
      <c r="A1274" s="69" t="s">
        <v>1703</v>
      </c>
      <c r="B1274" s="70">
        <v>42949</v>
      </c>
      <c r="C1274" s="69" t="s">
        <v>1231</v>
      </c>
      <c r="D1274" s="69" t="s">
        <v>1478</v>
      </c>
      <c r="E1274" s="69" t="s">
        <v>1232</v>
      </c>
      <c r="F1274" s="69">
        <v>4</v>
      </c>
      <c r="G1274" s="69" t="s">
        <v>215</v>
      </c>
      <c r="H1274" s="69">
        <v>4</v>
      </c>
      <c r="I1274" s="69" t="s">
        <v>1704</v>
      </c>
      <c r="J1274" s="69" t="s">
        <v>1430</v>
      </c>
      <c r="K1274" s="69" t="s">
        <v>16</v>
      </c>
      <c r="L1274" s="70"/>
      <c r="M1274" s="69" t="s">
        <v>225</v>
      </c>
      <c r="N1274" s="69">
        <v>817000553</v>
      </c>
      <c r="O1274" s="71">
        <v>3941176</v>
      </c>
      <c r="P1274" s="7"/>
      <c r="Q1274" s="16">
        <f>+IF(IFERROR(VLOOKUP(Tabla3[[#This Row],[Cliente factura]],Tabla4[[NIT]:[TOTAL CREDITO]],3,FALSE),0)="",0,IFERROR(VLOOKUP(Tabla3[[#This Row],[Cliente factura]],Tabla4[[NIT]:[TOTAL CREDITO]],3,FALSE),0))</f>
        <v>137260504</v>
      </c>
      <c r="R1274" s="9">
        <f>+IFERROR(VLOOKUP(Tabla3[[#This Row],[Cliente factura]],Tabla4[[NIT]:[TOTAL CREDITO]],6,FALSE),0)</f>
        <v>0</v>
      </c>
      <c r="S1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4" s="10" t="str">
        <f>VLOOKUP(Tabla3[[#This Row],[Razón social cliente factura]]&amp;Tabla3[[#This Row],[Desc. ciudad]],'Estandar de Rutas'!$C$1:$E$553,2,FALSE)</f>
        <v>1.3.B</v>
      </c>
      <c r="U1274" s="130">
        <f>IFERROR(VLOOKUP(Tabla3[[#This Row],[Referencia]]&amp;Tabla3[[#This Row],[Desc detalle ext 1]],Tabla1[[Referencia-Color]:[Disponibilidad]],3,FALSE),0)</f>
        <v>0</v>
      </c>
      <c r="V1274" s="13"/>
      <c r="W1274" s="17">
        <f>+Tabla3[[#This Row],[Cant. Programada]]*Tabla3[[#This Row],[Precio unit]]</f>
        <v>0</v>
      </c>
      <c r="X1274" s="8"/>
      <c r="Y1274" s="8"/>
      <c r="Z1274" s="8" t="str">
        <f>+Tabla3[[#This Row],[Referencia]]&amp;Tabla3[[#This Row],[Desc detalle ext 1]]</f>
        <v xml:space="preserve">WAVE 110S                                         NEGRO    </v>
      </c>
      <c r="AA1274" s="128" t="e">
        <f>+VLOOKUP(Tabla3[[#This Row],[CODIGO2]],ESTANDAR!$B$3:$C$9,2,FALSE)</f>
        <v>#N/A</v>
      </c>
      <c r="AB1274" s="128" t="str">
        <f>+MID(Tabla3[[#This Row],['# Viaje]],10,1)</f>
        <v/>
      </c>
    </row>
    <row r="1275" spans="1:28" ht="15" hidden="1" customHeight="1">
      <c r="A1275" s="69" t="s">
        <v>1703</v>
      </c>
      <c r="B1275" s="70">
        <v>42949</v>
      </c>
      <c r="C1275" s="69" t="s">
        <v>1231</v>
      </c>
      <c r="D1275" s="69" t="s">
        <v>1478</v>
      </c>
      <c r="E1275" s="69" t="s">
        <v>1232</v>
      </c>
      <c r="F1275" s="69">
        <v>2</v>
      </c>
      <c r="G1275" s="69" t="s">
        <v>215</v>
      </c>
      <c r="H1275" s="69">
        <v>2</v>
      </c>
      <c r="I1275" s="69" t="s">
        <v>1704</v>
      </c>
      <c r="J1275" s="69" t="s">
        <v>1234</v>
      </c>
      <c r="K1275" s="69" t="s">
        <v>17</v>
      </c>
      <c r="L1275" s="70"/>
      <c r="M1275" s="69" t="s">
        <v>225</v>
      </c>
      <c r="N1275" s="69">
        <v>817000553</v>
      </c>
      <c r="O1275" s="71">
        <v>5453782</v>
      </c>
      <c r="P1275" s="7"/>
      <c r="Q1275" s="16">
        <f>+IF(IFERROR(VLOOKUP(Tabla3[[#This Row],[Cliente factura]],Tabla4[[NIT]:[TOTAL CREDITO]],3,FALSE),0)="",0,IFERROR(VLOOKUP(Tabla3[[#This Row],[Cliente factura]],Tabla4[[NIT]:[TOTAL CREDITO]],3,FALSE),0))</f>
        <v>137260504</v>
      </c>
      <c r="R1275" s="9">
        <f>+IFERROR(VLOOKUP(Tabla3[[#This Row],[Cliente factura]],Tabla4[[NIT]:[TOTAL CREDITO]],6,FALSE),0)</f>
        <v>0</v>
      </c>
      <c r="S1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5" s="10" t="str">
        <f>VLOOKUP(Tabla3[[#This Row],[Razón social cliente factura]]&amp;Tabla3[[#This Row],[Desc. ciudad]],'Estandar de Rutas'!$C$1:$E$553,2,FALSE)</f>
        <v>1.3.B</v>
      </c>
      <c r="U1275" s="130">
        <f>IFERROR(VLOOKUP(Tabla3[[#This Row],[Referencia]]&amp;Tabla3[[#This Row],[Desc detalle ext 1]],Tabla1[[Referencia-Color]:[Disponibilidad]],3,FALSE),0)</f>
        <v>0</v>
      </c>
      <c r="V1275" s="13"/>
      <c r="W1275" s="17">
        <f>+Tabla3[[#This Row],[Cant. Programada]]*Tabla3[[#This Row],[Precio unit]]</f>
        <v>0</v>
      </c>
      <c r="X1275" s="8"/>
      <c r="Y1275" s="8"/>
      <c r="Z1275" s="8" t="str">
        <f>+Tabla3[[#This Row],[Referencia]]&amp;Tabla3[[#This Row],[Desc detalle ext 1]]</f>
        <v>CB 160F STD                                       ROJO SPOR</v>
      </c>
      <c r="AA1275" s="128" t="e">
        <f>+VLOOKUP(Tabla3[[#This Row],[CODIGO2]],ESTANDAR!$B$3:$C$9,2,FALSE)</f>
        <v>#N/A</v>
      </c>
      <c r="AB1275" s="128" t="str">
        <f>+MID(Tabla3[[#This Row],['# Viaje]],10,1)</f>
        <v/>
      </c>
    </row>
    <row r="1276" spans="1:28" ht="15" hidden="1" customHeight="1">
      <c r="A1276" s="69" t="s">
        <v>1703</v>
      </c>
      <c r="B1276" s="70">
        <v>42949</v>
      </c>
      <c r="C1276" s="69" t="s">
        <v>1231</v>
      </c>
      <c r="D1276" s="69" t="s">
        <v>1478</v>
      </c>
      <c r="E1276" s="69" t="s">
        <v>1232</v>
      </c>
      <c r="F1276" s="69">
        <v>1</v>
      </c>
      <c r="G1276" s="69" t="s">
        <v>215</v>
      </c>
      <c r="H1276" s="69">
        <v>1</v>
      </c>
      <c r="I1276" s="69" t="s">
        <v>1704</v>
      </c>
      <c r="J1276" s="69" t="s">
        <v>1234</v>
      </c>
      <c r="K1276" s="69" t="s">
        <v>355</v>
      </c>
      <c r="L1276" s="70"/>
      <c r="M1276" s="69" t="s">
        <v>225</v>
      </c>
      <c r="N1276" s="69">
        <v>817000553</v>
      </c>
      <c r="O1276" s="71">
        <v>5453782</v>
      </c>
      <c r="P1276" s="7"/>
      <c r="Q1276" s="16">
        <f>+IF(IFERROR(VLOOKUP(Tabla3[[#This Row],[Cliente factura]],Tabla4[[NIT]:[TOTAL CREDITO]],3,FALSE),0)="",0,IFERROR(VLOOKUP(Tabla3[[#This Row],[Cliente factura]],Tabla4[[NIT]:[TOTAL CREDITO]],3,FALSE),0))</f>
        <v>137260504</v>
      </c>
      <c r="R1276" s="9">
        <f>+IFERROR(VLOOKUP(Tabla3[[#This Row],[Cliente factura]],Tabla4[[NIT]:[TOTAL CREDITO]],6,FALSE),0)</f>
        <v>0</v>
      </c>
      <c r="S1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6" s="10" t="str">
        <f>VLOOKUP(Tabla3[[#This Row],[Razón social cliente factura]]&amp;Tabla3[[#This Row],[Desc. ciudad]],'Estandar de Rutas'!$C$1:$E$553,2,FALSE)</f>
        <v>1.3.B</v>
      </c>
      <c r="U1276" s="130">
        <f>IFERROR(VLOOKUP(Tabla3[[#This Row],[Referencia]]&amp;Tabla3[[#This Row],[Desc detalle ext 1]],Tabla1[[Referencia-Color]:[Disponibilidad]],3,FALSE),0)</f>
        <v>0</v>
      </c>
      <c r="V1276" s="13"/>
      <c r="W1276" s="17">
        <f>+Tabla3[[#This Row],[Cant. Programada]]*Tabla3[[#This Row],[Precio unit]]</f>
        <v>0</v>
      </c>
      <c r="X1276" s="8"/>
      <c r="Y1276" s="8"/>
      <c r="Z1276" s="8" t="str">
        <f>+Tabla3[[#This Row],[Referencia]]&amp;Tabla3[[#This Row],[Desc detalle ext 1]]</f>
        <v>CB 160F STD                                       NEGRO PER</v>
      </c>
      <c r="AA1276" s="128" t="e">
        <f>+VLOOKUP(Tabla3[[#This Row],[CODIGO2]],ESTANDAR!$B$3:$C$9,2,FALSE)</f>
        <v>#N/A</v>
      </c>
      <c r="AB1276" s="128" t="str">
        <f>+MID(Tabla3[[#This Row],['# Viaje]],10,1)</f>
        <v/>
      </c>
    </row>
    <row r="1277" spans="1:28" ht="15" hidden="1" customHeight="1">
      <c r="A1277" s="69" t="s">
        <v>1703</v>
      </c>
      <c r="B1277" s="70">
        <v>42949</v>
      </c>
      <c r="C1277" s="69" t="s">
        <v>1231</v>
      </c>
      <c r="D1277" s="69" t="s">
        <v>1478</v>
      </c>
      <c r="E1277" s="69" t="s">
        <v>1232</v>
      </c>
      <c r="F1277" s="69">
        <v>1</v>
      </c>
      <c r="G1277" s="69" t="s">
        <v>215</v>
      </c>
      <c r="H1277" s="69">
        <v>1</v>
      </c>
      <c r="I1277" s="69" t="s">
        <v>1704</v>
      </c>
      <c r="J1277" s="69" t="s">
        <v>1234</v>
      </c>
      <c r="K1277" s="69" t="s">
        <v>44</v>
      </c>
      <c r="L1277" s="70"/>
      <c r="M1277" s="69" t="s">
        <v>225</v>
      </c>
      <c r="N1277" s="69">
        <v>817000553</v>
      </c>
      <c r="O1277" s="71">
        <v>5453782</v>
      </c>
      <c r="P1277" s="7"/>
      <c r="Q1277" s="16">
        <f>+IF(IFERROR(VLOOKUP(Tabla3[[#This Row],[Cliente factura]],Tabla4[[NIT]:[TOTAL CREDITO]],3,FALSE),0)="",0,IFERROR(VLOOKUP(Tabla3[[#This Row],[Cliente factura]],Tabla4[[NIT]:[TOTAL CREDITO]],3,FALSE),0))</f>
        <v>137260504</v>
      </c>
      <c r="R1277" s="9">
        <f>+IFERROR(VLOOKUP(Tabla3[[#This Row],[Cliente factura]],Tabla4[[NIT]:[TOTAL CREDITO]],6,FALSE),0)</f>
        <v>0</v>
      </c>
      <c r="S1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7" s="10" t="str">
        <f>VLOOKUP(Tabla3[[#This Row],[Razón social cliente factura]]&amp;Tabla3[[#This Row],[Desc. ciudad]],'Estandar de Rutas'!$C$1:$E$553,2,FALSE)</f>
        <v>1.3.B</v>
      </c>
      <c r="U1277" s="130">
        <f>IFERROR(VLOOKUP(Tabla3[[#This Row],[Referencia]]&amp;Tabla3[[#This Row],[Desc detalle ext 1]],Tabla1[[Referencia-Color]:[Disponibilidad]],3,FALSE),0)</f>
        <v>1</v>
      </c>
      <c r="V1277" s="13"/>
      <c r="W1277" s="17">
        <f>+Tabla3[[#This Row],[Cant. Programada]]*Tabla3[[#This Row],[Precio unit]]</f>
        <v>0</v>
      </c>
      <c r="X1277" s="8"/>
      <c r="Y1277" s="8"/>
      <c r="Z1277" s="8" t="str">
        <f>+Tabla3[[#This Row],[Referencia]]&amp;Tabla3[[#This Row],[Desc detalle ext 1]]</f>
        <v>CB 160F STD                                       BLANCO PE</v>
      </c>
      <c r="AA1277" s="128" t="e">
        <f>+VLOOKUP(Tabla3[[#This Row],[CODIGO2]],ESTANDAR!$B$3:$C$9,2,FALSE)</f>
        <v>#N/A</v>
      </c>
      <c r="AB1277" s="128" t="str">
        <f>+MID(Tabla3[[#This Row],['# Viaje]],10,1)</f>
        <v/>
      </c>
    </row>
    <row r="1278" spans="1:28" ht="15" hidden="1" customHeight="1">
      <c r="A1278" s="69" t="s">
        <v>1703</v>
      </c>
      <c r="B1278" s="70">
        <v>42949</v>
      </c>
      <c r="C1278" s="69" t="s">
        <v>1231</v>
      </c>
      <c r="D1278" s="69" t="s">
        <v>1478</v>
      </c>
      <c r="E1278" s="69" t="s">
        <v>1232</v>
      </c>
      <c r="F1278" s="69">
        <v>7</v>
      </c>
      <c r="G1278" s="69" t="s">
        <v>215</v>
      </c>
      <c r="H1278" s="69">
        <v>7</v>
      </c>
      <c r="I1278" s="69" t="s">
        <v>1704</v>
      </c>
      <c r="J1278" s="69" t="s">
        <v>1451</v>
      </c>
      <c r="K1278" s="69" t="s">
        <v>1449</v>
      </c>
      <c r="L1278" s="70"/>
      <c r="M1278" s="69" t="s">
        <v>225</v>
      </c>
      <c r="N1278" s="69">
        <v>817000553</v>
      </c>
      <c r="O1278" s="71">
        <v>3696639</v>
      </c>
      <c r="P1278" s="7"/>
      <c r="Q1278" s="16">
        <f>+IF(IFERROR(VLOOKUP(Tabla3[[#This Row],[Cliente factura]],Tabla4[[NIT]:[TOTAL CREDITO]],3,FALSE),0)="",0,IFERROR(VLOOKUP(Tabla3[[#This Row],[Cliente factura]],Tabla4[[NIT]:[TOTAL CREDITO]],3,FALSE),0))</f>
        <v>137260504</v>
      </c>
      <c r="R1278" s="9">
        <f>+IFERROR(VLOOKUP(Tabla3[[#This Row],[Cliente factura]],Tabla4[[NIT]:[TOTAL CREDITO]],6,FALSE),0)</f>
        <v>0</v>
      </c>
      <c r="S1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8" s="10" t="str">
        <f>VLOOKUP(Tabla3[[#This Row],[Razón social cliente factura]]&amp;Tabla3[[#This Row],[Desc. ciudad]],'Estandar de Rutas'!$C$1:$E$553,2,FALSE)</f>
        <v>1.3.B</v>
      </c>
      <c r="U1278" s="130">
        <f>IFERROR(VLOOKUP(Tabla3[[#This Row],[Referencia]]&amp;Tabla3[[#This Row],[Desc detalle ext 1]],Tabla1[[Referencia-Color]:[Disponibilidad]],3,FALSE),0)</f>
        <v>24</v>
      </c>
      <c r="V1278" s="13"/>
      <c r="W1278" s="17">
        <f>+Tabla3[[#This Row],[Cant. Programada]]*Tabla3[[#This Row],[Precio unit]]</f>
        <v>0</v>
      </c>
      <c r="X1278" s="8"/>
      <c r="Y1278" s="8"/>
      <c r="Z1278" s="8" t="str">
        <f>+Tabla3[[#This Row],[Referencia]]&amp;Tabla3[[#This Row],[Desc detalle ext 1]]</f>
        <v xml:space="preserve">CB 110 DLX                                        GRIS     </v>
      </c>
      <c r="AA1278" s="128" t="e">
        <f>+VLOOKUP(Tabla3[[#This Row],[CODIGO2]],ESTANDAR!$B$3:$C$9,2,FALSE)</f>
        <v>#N/A</v>
      </c>
      <c r="AB1278" s="128" t="str">
        <f>+MID(Tabla3[[#This Row],['# Viaje]],10,1)</f>
        <v/>
      </c>
    </row>
    <row r="1279" spans="1:28" ht="15" hidden="1" customHeight="1">
      <c r="A1279" s="69" t="s">
        <v>1703</v>
      </c>
      <c r="B1279" s="70">
        <v>42949</v>
      </c>
      <c r="C1279" s="69" t="s">
        <v>1231</v>
      </c>
      <c r="D1279" s="69" t="s">
        <v>1478</v>
      </c>
      <c r="E1279" s="69" t="s">
        <v>1232</v>
      </c>
      <c r="F1279" s="69">
        <v>10</v>
      </c>
      <c r="G1279" s="69" t="s">
        <v>215</v>
      </c>
      <c r="H1279" s="69">
        <v>10</v>
      </c>
      <c r="I1279" s="69" t="s">
        <v>1704</v>
      </c>
      <c r="J1279" s="69" t="s">
        <v>1451</v>
      </c>
      <c r="K1279" s="69" t="s">
        <v>1452</v>
      </c>
      <c r="L1279" s="70"/>
      <c r="M1279" s="69" t="s">
        <v>225</v>
      </c>
      <c r="N1279" s="69">
        <v>817000553</v>
      </c>
      <c r="O1279" s="71">
        <v>3696639</v>
      </c>
      <c r="P1279" s="7"/>
      <c r="Q1279" s="16">
        <f>+IF(IFERROR(VLOOKUP(Tabla3[[#This Row],[Cliente factura]],Tabla4[[NIT]:[TOTAL CREDITO]],3,FALSE),0)="",0,IFERROR(VLOOKUP(Tabla3[[#This Row],[Cliente factura]],Tabla4[[NIT]:[TOTAL CREDITO]],3,FALSE),0))</f>
        <v>137260504</v>
      </c>
      <c r="R1279" s="9">
        <f>+IFERROR(VLOOKUP(Tabla3[[#This Row],[Cliente factura]],Tabla4[[NIT]:[TOTAL CREDITO]],6,FALSE),0)</f>
        <v>0</v>
      </c>
      <c r="S1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9" s="10" t="str">
        <f>VLOOKUP(Tabla3[[#This Row],[Razón social cliente factura]]&amp;Tabla3[[#This Row],[Desc. ciudad]],'Estandar de Rutas'!$C$1:$E$553,2,FALSE)</f>
        <v>1.3.B</v>
      </c>
      <c r="U1279" s="130">
        <f>IFERROR(VLOOKUP(Tabla3[[#This Row],[Referencia]]&amp;Tabla3[[#This Row],[Desc detalle ext 1]],Tabla1[[Referencia-Color]:[Disponibilidad]],3,FALSE),0)</f>
        <v>21</v>
      </c>
      <c r="V1279" s="13"/>
      <c r="W1279" s="17">
        <f>+Tabla3[[#This Row],[Cant. Programada]]*Tabla3[[#This Row],[Precio unit]]</f>
        <v>0</v>
      </c>
      <c r="X1279" s="8"/>
      <c r="Y1279" s="8"/>
      <c r="Z1279" s="8" t="str">
        <f>+Tabla3[[#This Row],[Referencia]]&amp;Tabla3[[#This Row],[Desc detalle ext 1]]</f>
        <v xml:space="preserve">CB 110 DLX                                        AZUL     </v>
      </c>
      <c r="AA1279" s="128" t="e">
        <f>+VLOOKUP(Tabla3[[#This Row],[CODIGO2]],ESTANDAR!$B$3:$C$9,2,FALSE)</f>
        <v>#N/A</v>
      </c>
      <c r="AB1279" s="128" t="str">
        <f>+MID(Tabla3[[#This Row],['# Viaje]],10,1)</f>
        <v/>
      </c>
    </row>
    <row r="1280" spans="1:28" ht="15" hidden="1" customHeight="1">
      <c r="A1280" s="69" t="s">
        <v>1703</v>
      </c>
      <c r="B1280" s="70">
        <v>42949</v>
      </c>
      <c r="C1280" s="69" t="s">
        <v>1231</v>
      </c>
      <c r="D1280" s="69" t="s">
        <v>1478</v>
      </c>
      <c r="E1280" s="69" t="s">
        <v>1232</v>
      </c>
      <c r="F1280" s="69">
        <v>15</v>
      </c>
      <c r="G1280" s="69" t="s">
        <v>215</v>
      </c>
      <c r="H1280" s="69">
        <v>15</v>
      </c>
      <c r="I1280" s="69" t="s">
        <v>1704</v>
      </c>
      <c r="J1280" s="69" t="s">
        <v>1451</v>
      </c>
      <c r="K1280" s="69" t="s">
        <v>16</v>
      </c>
      <c r="L1280" s="70"/>
      <c r="M1280" s="69" t="s">
        <v>225</v>
      </c>
      <c r="N1280" s="69">
        <v>817000553</v>
      </c>
      <c r="O1280" s="71">
        <v>3696639</v>
      </c>
      <c r="P1280" s="7"/>
      <c r="Q1280" s="16">
        <f>+IF(IFERROR(VLOOKUP(Tabla3[[#This Row],[Cliente factura]],Tabla4[[NIT]:[TOTAL CREDITO]],3,FALSE),0)="",0,IFERROR(VLOOKUP(Tabla3[[#This Row],[Cliente factura]],Tabla4[[NIT]:[TOTAL CREDITO]],3,FALSE),0))</f>
        <v>137260504</v>
      </c>
      <c r="R1280" s="9">
        <f>+IFERROR(VLOOKUP(Tabla3[[#This Row],[Cliente factura]],Tabla4[[NIT]:[TOTAL CREDITO]],6,FALSE),0)</f>
        <v>0</v>
      </c>
      <c r="S1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80" s="10" t="str">
        <f>VLOOKUP(Tabla3[[#This Row],[Razón social cliente factura]]&amp;Tabla3[[#This Row],[Desc. ciudad]],'Estandar de Rutas'!$C$1:$E$553,2,FALSE)</f>
        <v>1.3.B</v>
      </c>
      <c r="U1280" s="130">
        <f>IFERROR(VLOOKUP(Tabla3[[#This Row],[Referencia]]&amp;Tabla3[[#This Row],[Desc detalle ext 1]],Tabla1[[Referencia-Color]:[Disponibilidad]],3,FALSE),0)</f>
        <v>3</v>
      </c>
      <c r="V1280" s="13"/>
      <c r="W1280" s="17">
        <f>+Tabla3[[#This Row],[Cant. Programada]]*Tabla3[[#This Row],[Precio unit]]</f>
        <v>0</v>
      </c>
      <c r="X1280" s="8"/>
      <c r="Y1280" s="8"/>
      <c r="Z1280" s="8" t="str">
        <f>+Tabla3[[#This Row],[Referencia]]&amp;Tabla3[[#This Row],[Desc detalle ext 1]]</f>
        <v xml:space="preserve">CB 110 DLX                                        NEGRO    </v>
      </c>
      <c r="AA1280" s="128" t="e">
        <f>+VLOOKUP(Tabla3[[#This Row],[CODIGO2]],ESTANDAR!$B$3:$C$9,2,FALSE)</f>
        <v>#N/A</v>
      </c>
      <c r="AB1280" s="128" t="str">
        <f>+MID(Tabla3[[#This Row],['# Viaje]],10,1)</f>
        <v/>
      </c>
    </row>
    <row r="1281" spans="1:28" ht="15" hidden="1" customHeight="1">
      <c r="A1281" s="69" t="s">
        <v>1705</v>
      </c>
      <c r="B1281" s="70">
        <v>42950</v>
      </c>
      <c r="C1281" s="69" t="s">
        <v>1231</v>
      </c>
      <c r="D1281" s="69" t="s">
        <v>1706</v>
      </c>
      <c r="E1281" s="69" t="s">
        <v>1707</v>
      </c>
      <c r="F1281" s="69">
        <v>1</v>
      </c>
      <c r="G1281" s="69" t="s">
        <v>1708</v>
      </c>
      <c r="H1281" s="69">
        <v>1</v>
      </c>
      <c r="I1281" s="69" t="s">
        <v>1708</v>
      </c>
      <c r="J1281" s="69" t="s">
        <v>1425</v>
      </c>
      <c r="K1281" s="69" t="s">
        <v>1426</v>
      </c>
      <c r="L1281" s="70"/>
      <c r="M1281" s="69" t="s">
        <v>42</v>
      </c>
      <c r="N1281" s="69">
        <v>890300346</v>
      </c>
      <c r="O1281" s="71">
        <v>7730252</v>
      </c>
      <c r="P1281" s="7"/>
      <c r="Q1281" s="16">
        <f>+IF(IFERROR(VLOOKUP(Tabla3[[#This Row],[Cliente factura]],Tabla4[[NIT]:[TOTAL CREDITO]],3,FALSE),0)="",0,IFERROR(VLOOKUP(Tabla3[[#This Row],[Cliente factura]],Tabla4[[NIT]:[TOTAL CREDITO]],3,FALSE),0))</f>
        <v>0</v>
      </c>
      <c r="R1281" s="9">
        <f>+IFERROR(VLOOKUP(Tabla3[[#This Row],[Cliente factura]],Tabla4[[NIT]:[TOTAL CREDITO]],6,FALSE),0)</f>
        <v>0</v>
      </c>
      <c r="S1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1" s="10" t="e">
        <f>VLOOKUP(Tabla3[[#This Row],[Razón social cliente factura]]&amp;Tabla3[[#This Row],[Desc. ciudad]],'Estandar de Rutas'!$C$1:$E$553,2,FALSE)</f>
        <v>#N/A</v>
      </c>
      <c r="U1281" s="130">
        <f>IFERROR(VLOOKUP(Tabla3[[#This Row],[Referencia]]&amp;Tabla3[[#This Row],[Desc detalle ext 1]],Tabla1[[Referencia-Color]:[Disponibilidad]],3,FALSE),0)</f>
        <v>104</v>
      </c>
      <c r="V1281" s="13"/>
      <c r="W1281" s="17">
        <f>+Tabla3[[#This Row],[Cant. Programada]]*Tabla3[[#This Row],[Precio unit]]</f>
        <v>0</v>
      </c>
      <c r="X1281" s="8"/>
      <c r="Y1281" s="8"/>
      <c r="Z1281" s="8" t="str">
        <f>+Tabla3[[#This Row],[Referencia]]&amp;Tabla3[[#This Row],[Desc detalle ext 1]]</f>
        <v>CB 190 REPSOL                                     NARANJA B</v>
      </c>
      <c r="AA1281" s="128" t="e">
        <f>+VLOOKUP(Tabla3[[#This Row],[CODIGO2]],ESTANDAR!$B$3:$C$9,2,FALSE)</f>
        <v>#N/A</v>
      </c>
      <c r="AB1281" s="128" t="str">
        <f>+MID(Tabla3[[#This Row],['# Viaje]],10,1)</f>
        <v/>
      </c>
    </row>
    <row r="1282" spans="1:28" ht="15" hidden="1" customHeight="1">
      <c r="A1282" s="69" t="s">
        <v>1705</v>
      </c>
      <c r="B1282" s="70">
        <v>42950</v>
      </c>
      <c r="C1282" s="69" t="s">
        <v>1231</v>
      </c>
      <c r="D1282" s="69" t="s">
        <v>1706</v>
      </c>
      <c r="E1282" s="69" t="s">
        <v>1707</v>
      </c>
      <c r="F1282" s="69">
        <v>1</v>
      </c>
      <c r="G1282" s="69" t="s">
        <v>1708</v>
      </c>
      <c r="H1282" s="69">
        <v>1</v>
      </c>
      <c r="I1282" s="69" t="s">
        <v>1708</v>
      </c>
      <c r="J1282" s="69" t="s">
        <v>1234</v>
      </c>
      <c r="K1282" s="69" t="s">
        <v>355</v>
      </c>
      <c r="L1282" s="70"/>
      <c r="M1282" s="69" t="s">
        <v>42</v>
      </c>
      <c r="N1282" s="69">
        <v>890300346</v>
      </c>
      <c r="O1282" s="71">
        <v>5453782</v>
      </c>
      <c r="P1282" s="7"/>
      <c r="Q1282" s="16">
        <f>+IF(IFERROR(VLOOKUP(Tabla3[[#This Row],[Cliente factura]],Tabla4[[NIT]:[TOTAL CREDITO]],3,FALSE),0)="",0,IFERROR(VLOOKUP(Tabla3[[#This Row],[Cliente factura]],Tabla4[[NIT]:[TOTAL CREDITO]],3,FALSE),0))</f>
        <v>0</v>
      </c>
      <c r="R1282" s="9">
        <f>+IFERROR(VLOOKUP(Tabla3[[#This Row],[Cliente factura]],Tabla4[[NIT]:[TOTAL CREDITO]],6,FALSE),0)</f>
        <v>0</v>
      </c>
      <c r="S1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2" s="10" t="e">
        <f>VLOOKUP(Tabla3[[#This Row],[Razón social cliente factura]]&amp;Tabla3[[#This Row],[Desc. ciudad]],'Estandar de Rutas'!$C$1:$E$553,2,FALSE)</f>
        <v>#N/A</v>
      </c>
      <c r="U1282" s="130">
        <f>IFERROR(VLOOKUP(Tabla3[[#This Row],[Referencia]]&amp;Tabla3[[#This Row],[Desc detalle ext 1]],Tabla1[[Referencia-Color]:[Disponibilidad]],3,FALSE),0)</f>
        <v>0</v>
      </c>
      <c r="V1282" s="13"/>
      <c r="W1282" s="17">
        <f>+Tabla3[[#This Row],[Cant. Programada]]*Tabla3[[#This Row],[Precio unit]]</f>
        <v>0</v>
      </c>
      <c r="X1282" s="8"/>
      <c r="Y1282" s="8"/>
      <c r="Z1282" s="8" t="str">
        <f>+Tabla3[[#This Row],[Referencia]]&amp;Tabla3[[#This Row],[Desc detalle ext 1]]</f>
        <v>CB 160F STD                                       NEGRO PER</v>
      </c>
      <c r="AA1282" s="128" t="e">
        <f>+VLOOKUP(Tabla3[[#This Row],[CODIGO2]],ESTANDAR!$B$3:$C$9,2,FALSE)</f>
        <v>#N/A</v>
      </c>
      <c r="AB1282" s="128" t="str">
        <f>+MID(Tabla3[[#This Row],['# Viaje]],10,1)</f>
        <v/>
      </c>
    </row>
    <row r="1283" spans="1:28" ht="15" hidden="1" customHeight="1">
      <c r="A1283" s="69" t="s">
        <v>1709</v>
      </c>
      <c r="B1283" s="70">
        <v>42950</v>
      </c>
      <c r="C1283" s="69" t="s">
        <v>1231</v>
      </c>
      <c r="D1283" s="69" t="s">
        <v>1237</v>
      </c>
      <c r="E1283" s="69" t="s">
        <v>1479</v>
      </c>
      <c r="F1283" s="69">
        <v>1</v>
      </c>
      <c r="G1283" s="69" t="s">
        <v>101</v>
      </c>
      <c r="H1283" s="69">
        <v>1</v>
      </c>
      <c r="I1283" s="69" t="s">
        <v>101</v>
      </c>
      <c r="J1283" s="69" t="s">
        <v>27</v>
      </c>
      <c r="K1283" s="69" t="s">
        <v>32</v>
      </c>
      <c r="L1283" s="70"/>
      <c r="M1283" s="69" t="s">
        <v>184</v>
      </c>
      <c r="N1283" s="69">
        <v>900426895</v>
      </c>
      <c r="O1283" s="71">
        <v>5789916</v>
      </c>
      <c r="P1283" s="7"/>
      <c r="Q1283" s="16">
        <f>+IF(IFERROR(VLOOKUP(Tabla3[[#This Row],[Cliente factura]],Tabla4[[NIT]:[TOTAL CREDITO]],3,FALSE),0)="",0,IFERROR(VLOOKUP(Tabla3[[#This Row],[Cliente factura]],Tabla4[[NIT]:[TOTAL CREDITO]],3,FALSE),0))</f>
        <v>0</v>
      </c>
      <c r="R1283" s="9">
        <f>+IFERROR(VLOOKUP(Tabla3[[#This Row],[Cliente factura]],Tabla4[[NIT]:[TOTAL CREDITO]],6,FALSE),0)</f>
        <v>0</v>
      </c>
      <c r="S1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3" s="10" t="str">
        <f>VLOOKUP(Tabla3[[#This Row],[Razón social cliente factura]]&amp;Tabla3[[#This Row],[Desc. ciudad]],'Estandar de Rutas'!$C$1:$E$553,2,FALSE)</f>
        <v>7.2</v>
      </c>
      <c r="U1283" s="130">
        <f>IFERROR(VLOOKUP(Tabla3[[#This Row],[Referencia]]&amp;Tabla3[[#This Row],[Desc detalle ext 1]],Tabla1[[Referencia-Color]:[Disponibilidad]],3,FALSE),0)</f>
        <v>7</v>
      </c>
      <c r="V1283" s="13"/>
      <c r="W1283" s="17">
        <f>+Tabla3[[#This Row],[Cant. Programada]]*Tabla3[[#This Row],[Precio unit]]</f>
        <v>0</v>
      </c>
      <c r="X1283" s="8"/>
      <c r="Y1283" s="8"/>
      <c r="Z1283" s="8" t="str">
        <f>+Tabla3[[#This Row],[Referencia]]&amp;Tabla3[[#This Row],[Desc detalle ext 1]]</f>
        <v>*XR 150L                                          NEGRO ROJ</v>
      </c>
      <c r="AA1283" s="128" t="e">
        <f>+VLOOKUP(Tabla3[[#This Row],[CODIGO2]],ESTANDAR!$B$3:$C$9,2,FALSE)</f>
        <v>#N/A</v>
      </c>
      <c r="AB1283" s="128" t="str">
        <f>+MID(Tabla3[[#This Row],['# Viaje]],10,1)</f>
        <v/>
      </c>
    </row>
    <row r="1284" spans="1:28" ht="15" hidden="1" customHeight="1">
      <c r="A1284" s="69" t="s">
        <v>1709</v>
      </c>
      <c r="B1284" s="70">
        <v>42950</v>
      </c>
      <c r="C1284" s="69" t="s">
        <v>1231</v>
      </c>
      <c r="D1284" s="69" t="s">
        <v>1237</v>
      </c>
      <c r="E1284" s="69" t="s">
        <v>1479</v>
      </c>
      <c r="F1284" s="69">
        <v>1</v>
      </c>
      <c r="G1284" s="69" t="s">
        <v>101</v>
      </c>
      <c r="H1284" s="69">
        <v>1</v>
      </c>
      <c r="I1284" s="69" t="s">
        <v>101</v>
      </c>
      <c r="J1284" s="69" t="s">
        <v>10</v>
      </c>
      <c r="K1284" s="69" t="s">
        <v>11</v>
      </c>
      <c r="L1284" s="70"/>
      <c r="M1284" s="69" t="s">
        <v>184</v>
      </c>
      <c r="N1284" s="69">
        <v>900426895</v>
      </c>
      <c r="O1284" s="71">
        <v>7554622</v>
      </c>
      <c r="P1284" s="7"/>
      <c r="Q1284" s="16">
        <f>+IF(IFERROR(VLOOKUP(Tabla3[[#This Row],[Cliente factura]],Tabla4[[NIT]:[TOTAL CREDITO]],3,FALSE),0)="",0,IFERROR(VLOOKUP(Tabla3[[#This Row],[Cliente factura]],Tabla4[[NIT]:[TOTAL CREDITO]],3,FALSE),0))</f>
        <v>0</v>
      </c>
      <c r="R1284" s="9">
        <f>+IFERROR(VLOOKUP(Tabla3[[#This Row],[Cliente factura]],Tabla4[[NIT]:[TOTAL CREDITO]],6,FALSE),0)</f>
        <v>0</v>
      </c>
      <c r="S1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4" s="10" t="str">
        <f>VLOOKUP(Tabla3[[#This Row],[Razón social cliente factura]]&amp;Tabla3[[#This Row],[Desc. ciudad]],'Estandar de Rutas'!$C$1:$E$553,2,FALSE)</f>
        <v>7.2</v>
      </c>
      <c r="U1284" s="130">
        <f>IFERROR(VLOOKUP(Tabla3[[#This Row],[Referencia]]&amp;Tabla3[[#This Row],[Desc detalle ext 1]],Tabla1[[Referencia-Color]:[Disponibilidad]],3,FALSE),0)</f>
        <v>0</v>
      </c>
      <c r="V1284" s="13"/>
      <c r="W1284" s="17">
        <f>+Tabla3[[#This Row],[Cant. Programada]]*Tabla3[[#This Row],[Precio unit]]</f>
        <v>0</v>
      </c>
      <c r="X1284" s="8"/>
      <c r="Y1284" s="8"/>
      <c r="Z1284" s="8" t="str">
        <f>+Tabla3[[#This Row],[Referencia]]&amp;Tabla3[[#This Row],[Desc detalle ext 1]]</f>
        <v>CB 190R                                           NEGRO ONI</v>
      </c>
      <c r="AA1284" s="128" t="e">
        <f>+VLOOKUP(Tabla3[[#This Row],[CODIGO2]],ESTANDAR!$B$3:$C$9,2,FALSE)</f>
        <v>#N/A</v>
      </c>
      <c r="AB1284" s="128" t="str">
        <f>+MID(Tabla3[[#This Row],['# Viaje]],10,1)</f>
        <v/>
      </c>
    </row>
    <row r="1285" spans="1:28" ht="15" hidden="1" customHeight="1">
      <c r="A1285" s="69" t="s">
        <v>1709</v>
      </c>
      <c r="B1285" s="70">
        <v>42950</v>
      </c>
      <c r="C1285" s="69" t="s">
        <v>1231</v>
      </c>
      <c r="D1285" s="69" t="s">
        <v>1237</v>
      </c>
      <c r="E1285" s="69" t="s">
        <v>1479</v>
      </c>
      <c r="F1285" s="69">
        <v>6</v>
      </c>
      <c r="G1285" s="69" t="s">
        <v>101</v>
      </c>
      <c r="H1285" s="69">
        <v>6</v>
      </c>
      <c r="I1285" s="69" t="s">
        <v>101</v>
      </c>
      <c r="J1285" s="69" t="s">
        <v>1425</v>
      </c>
      <c r="K1285" s="69" t="s">
        <v>1426</v>
      </c>
      <c r="L1285" s="70"/>
      <c r="M1285" s="69" t="s">
        <v>184</v>
      </c>
      <c r="N1285" s="69">
        <v>900426895</v>
      </c>
      <c r="O1285" s="71">
        <v>7730252</v>
      </c>
      <c r="P1285" s="7"/>
      <c r="Q1285" s="16">
        <f>+IF(IFERROR(VLOOKUP(Tabla3[[#This Row],[Cliente factura]],Tabla4[[NIT]:[TOTAL CREDITO]],3,FALSE),0)="",0,IFERROR(VLOOKUP(Tabla3[[#This Row],[Cliente factura]],Tabla4[[NIT]:[TOTAL CREDITO]],3,FALSE),0))</f>
        <v>0</v>
      </c>
      <c r="R1285" s="9">
        <f>+IFERROR(VLOOKUP(Tabla3[[#This Row],[Cliente factura]],Tabla4[[NIT]:[TOTAL CREDITO]],6,FALSE),0)</f>
        <v>0</v>
      </c>
      <c r="S1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5" s="10" t="str">
        <f>VLOOKUP(Tabla3[[#This Row],[Razón social cliente factura]]&amp;Tabla3[[#This Row],[Desc. ciudad]],'Estandar de Rutas'!$C$1:$E$553,2,FALSE)</f>
        <v>7.2</v>
      </c>
      <c r="U1285" s="130">
        <f>IFERROR(VLOOKUP(Tabla3[[#This Row],[Referencia]]&amp;Tabla3[[#This Row],[Desc detalle ext 1]],Tabla1[[Referencia-Color]:[Disponibilidad]],3,FALSE),0)</f>
        <v>104</v>
      </c>
      <c r="V1285" s="13"/>
      <c r="W1285" s="17">
        <f>+Tabla3[[#This Row],[Cant. Programada]]*Tabla3[[#This Row],[Precio unit]]</f>
        <v>0</v>
      </c>
      <c r="X1285" s="8"/>
      <c r="Y1285" s="8"/>
      <c r="Z1285" s="8" t="str">
        <f>+Tabla3[[#This Row],[Referencia]]&amp;Tabla3[[#This Row],[Desc detalle ext 1]]</f>
        <v>CB 190 REPSOL                                     NARANJA B</v>
      </c>
      <c r="AA1285" s="128" t="e">
        <f>+VLOOKUP(Tabla3[[#This Row],[CODIGO2]],ESTANDAR!$B$3:$C$9,2,FALSE)</f>
        <v>#N/A</v>
      </c>
      <c r="AB1285" s="128" t="str">
        <f>+MID(Tabla3[[#This Row],['# Viaje]],10,1)</f>
        <v/>
      </c>
    </row>
    <row r="1286" spans="1:28" ht="15" hidden="1" customHeight="1">
      <c r="A1286" s="69" t="s">
        <v>1709</v>
      </c>
      <c r="B1286" s="70">
        <v>42950</v>
      </c>
      <c r="C1286" s="69" t="s">
        <v>1231</v>
      </c>
      <c r="D1286" s="69" t="s">
        <v>1237</v>
      </c>
      <c r="E1286" s="69" t="s">
        <v>1479</v>
      </c>
      <c r="F1286" s="69">
        <v>2</v>
      </c>
      <c r="G1286" s="69" t="s">
        <v>101</v>
      </c>
      <c r="H1286" s="69">
        <v>2</v>
      </c>
      <c r="I1286" s="69" t="s">
        <v>101</v>
      </c>
      <c r="J1286" s="69" t="s">
        <v>354</v>
      </c>
      <c r="K1286" s="69" t="s">
        <v>17</v>
      </c>
      <c r="L1286" s="70"/>
      <c r="M1286" s="69" t="s">
        <v>184</v>
      </c>
      <c r="N1286" s="69">
        <v>900426895</v>
      </c>
      <c r="O1286" s="71">
        <v>6133613</v>
      </c>
      <c r="P1286" s="7"/>
      <c r="Q1286" s="16">
        <f>+IF(IFERROR(VLOOKUP(Tabla3[[#This Row],[Cliente factura]],Tabla4[[NIT]:[TOTAL CREDITO]],3,FALSE),0)="",0,IFERROR(VLOOKUP(Tabla3[[#This Row],[Cliente factura]],Tabla4[[NIT]:[TOTAL CREDITO]],3,FALSE),0))</f>
        <v>0</v>
      </c>
      <c r="R1286" s="9">
        <f>+IFERROR(VLOOKUP(Tabla3[[#This Row],[Cliente factura]],Tabla4[[NIT]:[TOTAL CREDITO]],6,FALSE),0)</f>
        <v>0</v>
      </c>
      <c r="S1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6" s="10" t="str">
        <f>VLOOKUP(Tabla3[[#This Row],[Razón social cliente factura]]&amp;Tabla3[[#This Row],[Desc. ciudad]],'Estandar de Rutas'!$C$1:$E$553,2,FALSE)</f>
        <v>7.2</v>
      </c>
      <c r="U1286" s="130">
        <f>IFERROR(VLOOKUP(Tabla3[[#This Row],[Referencia]]&amp;Tabla3[[#This Row],[Desc detalle ext 1]],Tabla1[[Referencia-Color]:[Disponibilidad]],3,FALSE),0)</f>
        <v>48</v>
      </c>
      <c r="V1286" s="13"/>
      <c r="W1286" s="17">
        <f>+Tabla3[[#This Row],[Cant. Programada]]*Tabla3[[#This Row],[Precio unit]]</f>
        <v>0</v>
      </c>
      <c r="X1286" s="8"/>
      <c r="Y1286" s="8"/>
      <c r="Z1286" s="8" t="str">
        <f>+Tabla3[[#This Row],[Referencia]]&amp;Tabla3[[#This Row],[Desc detalle ext 1]]</f>
        <v>CB 160F DLX                                       ROJO SPOR</v>
      </c>
      <c r="AA1286" s="128" t="e">
        <f>+VLOOKUP(Tabla3[[#This Row],[CODIGO2]],ESTANDAR!$B$3:$C$9,2,FALSE)</f>
        <v>#N/A</v>
      </c>
      <c r="AB1286" s="128" t="str">
        <f>+MID(Tabla3[[#This Row],['# Viaje]],10,1)</f>
        <v/>
      </c>
    </row>
    <row r="1287" spans="1:28" ht="15" hidden="1" customHeight="1">
      <c r="A1287" s="69" t="s">
        <v>1709</v>
      </c>
      <c r="B1287" s="70">
        <v>42950</v>
      </c>
      <c r="C1287" s="69" t="s">
        <v>1231</v>
      </c>
      <c r="D1287" s="69" t="s">
        <v>1237</v>
      </c>
      <c r="E1287" s="69" t="s">
        <v>1479</v>
      </c>
      <c r="F1287" s="69">
        <v>1</v>
      </c>
      <c r="G1287" s="69" t="s">
        <v>101</v>
      </c>
      <c r="H1287" s="69">
        <v>1</v>
      </c>
      <c r="I1287" s="69" t="s">
        <v>101</v>
      </c>
      <c r="J1287" s="69" t="s">
        <v>354</v>
      </c>
      <c r="K1287" s="69" t="s">
        <v>355</v>
      </c>
      <c r="L1287" s="70"/>
      <c r="M1287" s="69" t="s">
        <v>184</v>
      </c>
      <c r="N1287" s="69">
        <v>900426895</v>
      </c>
      <c r="O1287" s="71">
        <v>6133613</v>
      </c>
      <c r="P1287" s="7"/>
      <c r="Q1287" s="16">
        <f>+IF(IFERROR(VLOOKUP(Tabla3[[#This Row],[Cliente factura]],Tabla4[[NIT]:[TOTAL CREDITO]],3,FALSE),0)="",0,IFERROR(VLOOKUP(Tabla3[[#This Row],[Cliente factura]],Tabla4[[NIT]:[TOTAL CREDITO]],3,FALSE),0))</f>
        <v>0</v>
      </c>
      <c r="R1287" s="9">
        <f>+IFERROR(VLOOKUP(Tabla3[[#This Row],[Cliente factura]],Tabla4[[NIT]:[TOTAL CREDITO]],6,FALSE),0)</f>
        <v>0</v>
      </c>
      <c r="S1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7" s="10" t="str">
        <f>VLOOKUP(Tabla3[[#This Row],[Razón social cliente factura]]&amp;Tabla3[[#This Row],[Desc. ciudad]],'Estandar de Rutas'!$C$1:$E$553,2,FALSE)</f>
        <v>7.2</v>
      </c>
      <c r="U1287" s="130">
        <f>IFERROR(VLOOKUP(Tabla3[[#This Row],[Referencia]]&amp;Tabla3[[#This Row],[Desc detalle ext 1]],Tabla1[[Referencia-Color]:[Disponibilidad]],3,FALSE),0)</f>
        <v>0</v>
      </c>
      <c r="V1287" s="13"/>
      <c r="W1287" s="17">
        <f>+Tabla3[[#This Row],[Cant. Programada]]*Tabla3[[#This Row],[Precio unit]]</f>
        <v>0</v>
      </c>
      <c r="X1287" s="8"/>
      <c r="Y1287" s="8"/>
      <c r="Z1287" s="8" t="str">
        <f>+Tabla3[[#This Row],[Referencia]]&amp;Tabla3[[#This Row],[Desc detalle ext 1]]</f>
        <v>CB 160F DLX                                       NEGRO PER</v>
      </c>
      <c r="AA1287" s="128" t="e">
        <f>+VLOOKUP(Tabla3[[#This Row],[CODIGO2]],ESTANDAR!$B$3:$C$9,2,FALSE)</f>
        <v>#N/A</v>
      </c>
      <c r="AB1287" s="128" t="str">
        <f>+MID(Tabla3[[#This Row],['# Viaje]],10,1)</f>
        <v/>
      </c>
    </row>
    <row r="1288" spans="1:28" ht="15" hidden="1" customHeight="1">
      <c r="A1288" s="69" t="s">
        <v>1709</v>
      </c>
      <c r="B1288" s="70">
        <v>42950</v>
      </c>
      <c r="C1288" s="69" t="s">
        <v>1231</v>
      </c>
      <c r="D1288" s="69" t="s">
        <v>1237</v>
      </c>
      <c r="E1288" s="69" t="s">
        <v>1479</v>
      </c>
      <c r="F1288" s="69">
        <v>1</v>
      </c>
      <c r="G1288" s="69" t="s">
        <v>101</v>
      </c>
      <c r="H1288" s="69">
        <v>1</v>
      </c>
      <c r="I1288" s="69" t="s">
        <v>101</v>
      </c>
      <c r="J1288" s="69" t="s">
        <v>1234</v>
      </c>
      <c r="K1288" s="69" t="s">
        <v>17</v>
      </c>
      <c r="L1288" s="70"/>
      <c r="M1288" s="69" t="s">
        <v>184</v>
      </c>
      <c r="N1288" s="69">
        <v>900426895</v>
      </c>
      <c r="O1288" s="71">
        <v>5453782</v>
      </c>
      <c r="P1288" s="7"/>
      <c r="Q1288" s="16">
        <f>+IF(IFERROR(VLOOKUP(Tabla3[[#This Row],[Cliente factura]],Tabla4[[NIT]:[TOTAL CREDITO]],3,FALSE),0)="",0,IFERROR(VLOOKUP(Tabla3[[#This Row],[Cliente factura]],Tabla4[[NIT]:[TOTAL CREDITO]],3,FALSE),0))</f>
        <v>0</v>
      </c>
      <c r="R1288" s="9">
        <f>+IFERROR(VLOOKUP(Tabla3[[#This Row],[Cliente factura]],Tabla4[[NIT]:[TOTAL CREDITO]],6,FALSE),0)</f>
        <v>0</v>
      </c>
      <c r="S1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8" s="10" t="str">
        <f>VLOOKUP(Tabla3[[#This Row],[Razón social cliente factura]]&amp;Tabla3[[#This Row],[Desc. ciudad]],'Estandar de Rutas'!$C$1:$E$553,2,FALSE)</f>
        <v>7.2</v>
      </c>
      <c r="U1288" s="130">
        <f>IFERROR(VLOOKUP(Tabla3[[#This Row],[Referencia]]&amp;Tabla3[[#This Row],[Desc detalle ext 1]],Tabla1[[Referencia-Color]:[Disponibilidad]],3,FALSE),0)</f>
        <v>0</v>
      </c>
      <c r="V1288" s="13"/>
      <c r="W1288" s="17">
        <f>+Tabla3[[#This Row],[Cant. Programada]]*Tabla3[[#This Row],[Precio unit]]</f>
        <v>0</v>
      </c>
      <c r="X1288" s="8"/>
      <c r="Y1288" s="8"/>
      <c r="Z1288" s="8" t="str">
        <f>+Tabla3[[#This Row],[Referencia]]&amp;Tabla3[[#This Row],[Desc detalle ext 1]]</f>
        <v>CB 160F STD                                       ROJO SPOR</v>
      </c>
      <c r="AA1288" s="128" t="e">
        <f>+VLOOKUP(Tabla3[[#This Row],[CODIGO2]],ESTANDAR!$B$3:$C$9,2,FALSE)</f>
        <v>#N/A</v>
      </c>
      <c r="AB1288" s="128" t="str">
        <f>+MID(Tabla3[[#This Row],['# Viaje]],10,1)</f>
        <v/>
      </c>
    </row>
    <row r="1289" spans="1:28" ht="15" hidden="1" customHeight="1">
      <c r="A1289" s="69" t="s">
        <v>1709</v>
      </c>
      <c r="B1289" s="70">
        <v>42950</v>
      </c>
      <c r="C1289" s="69" t="s">
        <v>1231</v>
      </c>
      <c r="D1289" s="69" t="s">
        <v>1237</v>
      </c>
      <c r="E1289" s="69" t="s">
        <v>1479</v>
      </c>
      <c r="F1289" s="69">
        <v>2</v>
      </c>
      <c r="G1289" s="69" t="s">
        <v>101</v>
      </c>
      <c r="H1289" s="69">
        <v>2</v>
      </c>
      <c r="I1289" s="69" t="s">
        <v>101</v>
      </c>
      <c r="J1289" s="69" t="s">
        <v>1234</v>
      </c>
      <c r="K1289" s="69" t="s">
        <v>355</v>
      </c>
      <c r="L1289" s="70"/>
      <c r="M1289" s="69" t="s">
        <v>184</v>
      </c>
      <c r="N1289" s="69">
        <v>900426895</v>
      </c>
      <c r="O1289" s="71">
        <v>5453782</v>
      </c>
      <c r="P1289" s="7"/>
      <c r="Q1289" s="16">
        <f>+IF(IFERROR(VLOOKUP(Tabla3[[#This Row],[Cliente factura]],Tabla4[[NIT]:[TOTAL CREDITO]],3,FALSE),0)="",0,IFERROR(VLOOKUP(Tabla3[[#This Row],[Cliente factura]],Tabla4[[NIT]:[TOTAL CREDITO]],3,FALSE),0))</f>
        <v>0</v>
      </c>
      <c r="R1289" s="9">
        <f>+IFERROR(VLOOKUP(Tabla3[[#This Row],[Cliente factura]],Tabla4[[NIT]:[TOTAL CREDITO]],6,FALSE),0)</f>
        <v>0</v>
      </c>
      <c r="S1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9" s="10" t="str">
        <f>VLOOKUP(Tabla3[[#This Row],[Razón social cliente factura]]&amp;Tabla3[[#This Row],[Desc. ciudad]],'Estandar de Rutas'!$C$1:$E$553,2,FALSE)</f>
        <v>7.2</v>
      </c>
      <c r="U1289" s="130">
        <f>IFERROR(VLOOKUP(Tabla3[[#This Row],[Referencia]]&amp;Tabla3[[#This Row],[Desc detalle ext 1]],Tabla1[[Referencia-Color]:[Disponibilidad]],3,FALSE),0)</f>
        <v>0</v>
      </c>
      <c r="V1289" s="13"/>
      <c r="W1289" s="17">
        <f>+Tabla3[[#This Row],[Cant. Programada]]*Tabla3[[#This Row],[Precio unit]]</f>
        <v>0</v>
      </c>
      <c r="X1289" s="8"/>
      <c r="Y1289" s="8"/>
      <c r="Z1289" s="8" t="str">
        <f>+Tabla3[[#This Row],[Referencia]]&amp;Tabla3[[#This Row],[Desc detalle ext 1]]</f>
        <v>CB 160F STD                                       NEGRO PER</v>
      </c>
      <c r="AA1289" s="128" t="e">
        <f>+VLOOKUP(Tabla3[[#This Row],[CODIGO2]],ESTANDAR!$B$3:$C$9,2,FALSE)</f>
        <v>#N/A</v>
      </c>
      <c r="AB1289" s="128" t="str">
        <f>+MID(Tabla3[[#This Row],['# Viaje]],10,1)</f>
        <v/>
      </c>
    </row>
    <row r="1290" spans="1:28" ht="15" hidden="1" customHeight="1">
      <c r="A1290" s="69" t="s">
        <v>1710</v>
      </c>
      <c r="B1290" s="70">
        <v>42950</v>
      </c>
      <c r="C1290" s="69" t="s">
        <v>1231</v>
      </c>
      <c r="D1290" s="69" t="s">
        <v>1237</v>
      </c>
      <c r="E1290" s="69" t="s">
        <v>1479</v>
      </c>
      <c r="F1290" s="69">
        <v>3</v>
      </c>
      <c r="G1290" s="69" t="s">
        <v>101</v>
      </c>
      <c r="H1290" s="69">
        <v>3</v>
      </c>
      <c r="I1290" s="69" t="s">
        <v>1711</v>
      </c>
      <c r="J1290" s="69" t="s">
        <v>27</v>
      </c>
      <c r="K1290" s="69" t="s">
        <v>32</v>
      </c>
      <c r="L1290" s="70"/>
      <c r="M1290" s="69" t="s">
        <v>100</v>
      </c>
      <c r="N1290" s="69">
        <v>900426895</v>
      </c>
      <c r="O1290" s="71">
        <v>5789916</v>
      </c>
      <c r="P1290" s="7"/>
      <c r="Q1290" s="16">
        <f>+IF(IFERROR(VLOOKUP(Tabla3[[#This Row],[Cliente factura]],Tabla4[[NIT]:[TOTAL CREDITO]],3,FALSE),0)="",0,IFERROR(VLOOKUP(Tabla3[[#This Row],[Cliente factura]],Tabla4[[NIT]:[TOTAL CREDITO]],3,FALSE),0))</f>
        <v>0</v>
      </c>
      <c r="R1290" s="9">
        <f>+IFERROR(VLOOKUP(Tabla3[[#This Row],[Cliente factura]],Tabla4[[NIT]:[TOTAL CREDITO]],6,FALSE),0)</f>
        <v>0</v>
      </c>
      <c r="S1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0" s="10" t="str">
        <f>VLOOKUP(Tabla3[[#This Row],[Razón social cliente factura]]&amp;Tabla3[[#This Row],[Desc. ciudad]],'Estandar de Rutas'!$C$1:$E$553,2,FALSE)</f>
        <v>7.2.B</v>
      </c>
      <c r="U1290" s="130">
        <f>IFERROR(VLOOKUP(Tabla3[[#This Row],[Referencia]]&amp;Tabla3[[#This Row],[Desc detalle ext 1]],Tabla1[[Referencia-Color]:[Disponibilidad]],3,FALSE),0)</f>
        <v>7</v>
      </c>
      <c r="V1290" s="13"/>
      <c r="W1290" s="17">
        <f>+Tabla3[[#This Row],[Cant. Programada]]*Tabla3[[#This Row],[Precio unit]]</f>
        <v>0</v>
      </c>
      <c r="X1290" s="8"/>
      <c r="Y1290" s="8"/>
      <c r="Z1290" s="8" t="str">
        <f>+Tabla3[[#This Row],[Referencia]]&amp;Tabla3[[#This Row],[Desc detalle ext 1]]</f>
        <v>*XR 150L                                          NEGRO ROJ</v>
      </c>
      <c r="AA1290" s="128" t="e">
        <f>+VLOOKUP(Tabla3[[#This Row],[CODIGO2]],ESTANDAR!$B$3:$C$9,2,FALSE)</f>
        <v>#N/A</v>
      </c>
      <c r="AB1290" s="128" t="str">
        <f>+MID(Tabla3[[#This Row],['# Viaje]],10,1)</f>
        <v/>
      </c>
    </row>
    <row r="1291" spans="1:28" ht="15" hidden="1" customHeight="1">
      <c r="A1291" s="69" t="s">
        <v>1710</v>
      </c>
      <c r="B1291" s="70">
        <v>42950</v>
      </c>
      <c r="C1291" s="69" t="s">
        <v>1231</v>
      </c>
      <c r="D1291" s="69" t="s">
        <v>1237</v>
      </c>
      <c r="E1291" s="69" t="s">
        <v>1479</v>
      </c>
      <c r="F1291" s="69">
        <v>2</v>
      </c>
      <c r="G1291" s="69" t="s">
        <v>101</v>
      </c>
      <c r="H1291" s="69">
        <v>2</v>
      </c>
      <c r="I1291" s="69" t="s">
        <v>1711</v>
      </c>
      <c r="J1291" s="69" t="s">
        <v>354</v>
      </c>
      <c r="K1291" s="69" t="s">
        <v>17</v>
      </c>
      <c r="L1291" s="70"/>
      <c r="M1291" s="69" t="s">
        <v>100</v>
      </c>
      <c r="N1291" s="69">
        <v>900426895</v>
      </c>
      <c r="O1291" s="71">
        <v>6133613</v>
      </c>
      <c r="P1291" s="7"/>
      <c r="Q1291" s="16">
        <f>+IF(IFERROR(VLOOKUP(Tabla3[[#This Row],[Cliente factura]],Tabla4[[NIT]:[TOTAL CREDITO]],3,FALSE),0)="",0,IFERROR(VLOOKUP(Tabla3[[#This Row],[Cliente factura]],Tabla4[[NIT]:[TOTAL CREDITO]],3,FALSE),0))</f>
        <v>0</v>
      </c>
      <c r="R1291" s="9">
        <f>+IFERROR(VLOOKUP(Tabla3[[#This Row],[Cliente factura]],Tabla4[[NIT]:[TOTAL CREDITO]],6,FALSE),0)</f>
        <v>0</v>
      </c>
      <c r="S1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1" s="10" t="str">
        <f>VLOOKUP(Tabla3[[#This Row],[Razón social cliente factura]]&amp;Tabla3[[#This Row],[Desc. ciudad]],'Estandar de Rutas'!$C$1:$E$553,2,FALSE)</f>
        <v>7.2.B</v>
      </c>
      <c r="U1291" s="130">
        <f>IFERROR(VLOOKUP(Tabla3[[#This Row],[Referencia]]&amp;Tabla3[[#This Row],[Desc detalle ext 1]],Tabla1[[Referencia-Color]:[Disponibilidad]],3,FALSE),0)</f>
        <v>48</v>
      </c>
      <c r="V1291" s="13"/>
      <c r="W1291" s="17">
        <f>+Tabla3[[#This Row],[Cant. Programada]]*Tabla3[[#This Row],[Precio unit]]</f>
        <v>0</v>
      </c>
      <c r="X1291" s="8"/>
      <c r="Y1291" s="8"/>
      <c r="Z1291" s="8" t="str">
        <f>+Tabla3[[#This Row],[Referencia]]&amp;Tabla3[[#This Row],[Desc detalle ext 1]]</f>
        <v>CB 160F DLX                                       ROJO SPOR</v>
      </c>
      <c r="AA1291" s="128" t="e">
        <f>+VLOOKUP(Tabla3[[#This Row],[CODIGO2]],ESTANDAR!$B$3:$C$9,2,FALSE)</f>
        <v>#N/A</v>
      </c>
      <c r="AB1291" s="128" t="str">
        <f>+MID(Tabla3[[#This Row],['# Viaje]],10,1)</f>
        <v/>
      </c>
    </row>
    <row r="1292" spans="1:28" ht="15" hidden="1" customHeight="1">
      <c r="A1292" s="69" t="s">
        <v>1710</v>
      </c>
      <c r="B1292" s="70">
        <v>42950</v>
      </c>
      <c r="C1292" s="69" t="s">
        <v>1231</v>
      </c>
      <c r="D1292" s="69" t="s">
        <v>1237</v>
      </c>
      <c r="E1292" s="69" t="s">
        <v>1479</v>
      </c>
      <c r="F1292" s="69">
        <v>1</v>
      </c>
      <c r="G1292" s="69" t="s">
        <v>101</v>
      </c>
      <c r="H1292" s="69">
        <v>1</v>
      </c>
      <c r="I1292" s="69" t="s">
        <v>1711</v>
      </c>
      <c r="J1292" s="69" t="s">
        <v>354</v>
      </c>
      <c r="K1292" s="69" t="s">
        <v>355</v>
      </c>
      <c r="L1292" s="70"/>
      <c r="M1292" s="69" t="s">
        <v>100</v>
      </c>
      <c r="N1292" s="69">
        <v>900426895</v>
      </c>
      <c r="O1292" s="71">
        <v>6133613</v>
      </c>
      <c r="P1292" s="7"/>
      <c r="Q1292" s="16">
        <f>+IF(IFERROR(VLOOKUP(Tabla3[[#This Row],[Cliente factura]],Tabla4[[NIT]:[TOTAL CREDITO]],3,FALSE),0)="",0,IFERROR(VLOOKUP(Tabla3[[#This Row],[Cliente factura]],Tabla4[[NIT]:[TOTAL CREDITO]],3,FALSE),0))</f>
        <v>0</v>
      </c>
      <c r="R1292" s="9">
        <f>+IFERROR(VLOOKUP(Tabla3[[#This Row],[Cliente factura]],Tabla4[[NIT]:[TOTAL CREDITO]],6,FALSE),0)</f>
        <v>0</v>
      </c>
      <c r="S1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2" s="10" t="str">
        <f>VLOOKUP(Tabla3[[#This Row],[Razón social cliente factura]]&amp;Tabla3[[#This Row],[Desc. ciudad]],'Estandar de Rutas'!$C$1:$E$553,2,FALSE)</f>
        <v>7.2.B</v>
      </c>
      <c r="U1292" s="130">
        <f>IFERROR(VLOOKUP(Tabla3[[#This Row],[Referencia]]&amp;Tabla3[[#This Row],[Desc detalle ext 1]],Tabla1[[Referencia-Color]:[Disponibilidad]],3,FALSE),0)</f>
        <v>0</v>
      </c>
      <c r="V1292" s="13"/>
      <c r="W1292" s="17">
        <f>+Tabla3[[#This Row],[Cant. Programada]]*Tabla3[[#This Row],[Precio unit]]</f>
        <v>0</v>
      </c>
      <c r="X1292" s="8"/>
      <c r="Y1292" s="8"/>
      <c r="Z1292" s="8" t="str">
        <f>+Tabla3[[#This Row],[Referencia]]&amp;Tabla3[[#This Row],[Desc detalle ext 1]]</f>
        <v>CB 160F DLX                                       NEGRO PER</v>
      </c>
      <c r="AA1292" s="128" t="e">
        <f>+VLOOKUP(Tabla3[[#This Row],[CODIGO2]],ESTANDAR!$B$3:$C$9,2,FALSE)</f>
        <v>#N/A</v>
      </c>
      <c r="AB1292" s="128" t="str">
        <f>+MID(Tabla3[[#This Row],['# Viaje]],10,1)</f>
        <v/>
      </c>
    </row>
    <row r="1293" spans="1:28" ht="15" hidden="1" customHeight="1">
      <c r="A1293" s="69" t="s">
        <v>1710</v>
      </c>
      <c r="B1293" s="70">
        <v>42950</v>
      </c>
      <c r="C1293" s="69" t="s">
        <v>1231</v>
      </c>
      <c r="D1293" s="69" t="s">
        <v>1237</v>
      </c>
      <c r="E1293" s="69" t="s">
        <v>1479</v>
      </c>
      <c r="F1293" s="69">
        <v>1</v>
      </c>
      <c r="G1293" s="69" t="s">
        <v>101</v>
      </c>
      <c r="H1293" s="69">
        <v>1</v>
      </c>
      <c r="I1293" s="69" t="s">
        <v>1711</v>
      </c>
      <c r="J1293" s="69" t="s">
        <v>1234</v>
      </c>
      <c r="K1293" s="69" t="s">
        <v>44</v>
      </c>
      <c r="L1293" s="70"/>
      <c r="M1293" s="69" t="s">
        <v>100</v>
      </c>
      <c r="N1293" s="69">
        <v>900426895</v>
      </c>
      <c r="O1293" s="71">
        <v>5453782</v>
      </c>
      <c r="P1293" s="7"/>
      <c r="Q1293" s="16">
        <f>+IF(IFERROR(VLOOKUP(Tabla3[[#This Row],[Cliente factura]],Tabla4[[NIT]:[TOTAL CREDITO]],3,FALSE),0)="",0,IFERROR(VLOOKUP(Tabla3[[#This Row],[Cliente factura]],Tabla4[[NIT]:[TOTAL CREDITO]],3,FALSE),0))</f>
        <v>0</v>
      </c>
      <c r="R1293" s="9">
        <f>+IFERROR(VLOOKUP(Tabla3[[#This Row],[Cliente factura]],Tabla4[[NIT]:[TOTAL CREDITO]],6,FALSE),0)</f>
        <v>0</v>
      </c>
      <c r="S1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3" s="10" t="str">
        <f>VLOOKUP(Tabla3[[#This Row],[Razón social cliente factura]]&amp;Tabla3[[#This Row],[Desc. ciudad]],'Estandar de Rutas'!$C$1:$E$553,2,FALSE)</f>
        <v>7.2.B</v>
      </c>
      <c r="U1293" s="130">
        <f>IFERROR(VLOOKUP(Tabla3[[#This Row],[Referencia]]&amp;Tabla3[[#This Row],[Desc detalle ext 1]],Tabla1[[Referencia-Color]:[Disponibilidad]],3,FALSE),0)</f>
        <v>1</v>
      </c>
      <c r="V1293" s="13"/>
      <c r="W1293" s="17">
        <f>+Tabla3[[#This Row],[Cant. Programada]]*Tabla3[[#This Row],[Precio unit]]</f>
        <v>0</v>
      </c>
      <c r="X1293" s="8"/>
      <c r="Y1293" s="8"/>
      <c r="Z1293" s="8" t="str">
        <f>+Tabla3[[#This Row],[Referencia]]&amp;Tabla3[[#This Row],[Desc detalle ext 1]]</f>
        <v>CB 160F STD                                       BLANCO PE</v>
      </c>
      <c r="AA1293" s="128" t="e">
        <f>+VLOOKUP(Tabla3[[#This Row],[CODIGO2]],ESTANDAR!$B$3:$C$9,2,FALSE)</f>
        <v>#N/A</v>
      </c>
      <c r="AB1293" s="128" t="str">
        <f>+MID(Tabla3[[#This Row],['# Viaje]],10,1)</f>
        <v/>
      </c>
    </row>
    <row r="1294" spans="1:28" ht="15" hidden="1" customHeight="1">
      <c r="A1294" s="69" t="s">
        <v>1710</v>
      </c>
      <c r="B1294" s="70">
        <v>42950</v>
      </c>
      <c r="C1294" s="69" t="s">
        <v>1231</v>
      </c>
      <c r="D1294" s="69" t="s">
        <v>1237</v>
      </c>
      <c r="E1294" s="69" t="s">
        <v>1479</v>
      </c>
      <c r="F1294" s="69">
        <v>1</v>
      </c>
      <c r="G1294" s="69" t="s">
        <v>101</v>
      </c>
      <c r="H1294" s="69">
        <v>1</v>
      </c>
      <c r="I1294" s="69" t="s">
        <v>1711</v>
      </c>
      <c r="J1294" s="69" t="s">
        <v>1234</v>
      </c>
      <c r="K1294" s="69" t="s">
        <v>17</v>
      </c>
      <c r="L1294" s="70"/>
      <c r="M1294" s="69" t="s">
        <v>100</v>
      </c>
      <c r="N1294" s="69">
        <v>900426895</v>
      </c>
      <c r="O1294" s="71">
        <v>5453782</v>
      </c>
      <c r="P1294" s="7"/>
      <c r="Q1294" s="16">
        <f>+IF(IFERROR(VLOOKUP(Tabla3[[#This Row],[Cliente factura]],Tabla4[[NIT]:[TOTAL CREDITO]],3,FALSE),0)="",0,IFERROR(VLOOKUP(Tabla3[[#This Row],[Cliente factura]],Tabla4[[NIT]:[TOTAL CREDITO]],3,FALSE),0))</f>
        <v>0</v>
      </c>
      <c r="R1294" s="9">
        <f>+IFERROR(VLOOKUP(Tabla3[[#This Row],[Cliente factura]],Tabla4[[NIT]:[TOTAL CREDITO]],6,FALSE),0)</f>
        <v>0</v>
      </c>
      <c r="S1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4" s="10" t="str">
        <f>VLOOKUP(Tabla3[[#This Row],[Razón social cliente factura]]&amp;Tabla3[[#This Row],[Desc. ciudad]],'Estandar de Rutas'!$C$1:$E$553,2,FALSE)</f>
        <v>7.2.B</v>
      </c>
      <c r="U1294" s="130">
        <f>IFERROR(VLOOKUP(Tabla3[[#This Row],[Referencia]]&amp;Tabla3[[#This Row],[Desc detalle ext 1]],Tabla1[[Referencia-Color]:[Disponibilidad]],3,FALSE),0)</f>
        <v>0</v>
      </c>
      <c r="V1294" s="13"/>
      <c r="W1294" s="17">
        <f>+Tabla3[[#This Row],[Cant. Programada]]*Tabla3[[#This Row],[Precio unit]]</f>
        <v>0</v>
      </c>
      <c r="X1294" s="8"/>
      <c r="Y1294" s="8"/>
      <c r="Z1294" s="8" t="str">
        <f>+Tabla3[[#This Row],[Referencia]]&amp;Tabla3[[#This Row],[Desc detalle ext 1]]</f>
        <v>CB 160F STD                                       ROJO SPOR</v>
      </c>
      <c r="AA1294" s="128" t="e">
        <f>+VLOOKUP(Tabla3[[#This Row],[CODIGO2]],ESTANDAR!$B$3:$C$9,2,FALSE)</f>
        <v>#N/A</v>
      </c>
      <c r="AB1294" s="128" t="str">
        <f>+MID(Tabla3[[#This Row],['# Viaje]],10,1)</f>
        <v/>
      </c>
    </row>
    <row r="1295" spans="1:28" ht="15" hidden="1" customHeight="1">
      <c r="A1295" s="69" t="s">
        <v>1712</v>
      </c>
      <c r="B1295" s="70">
        <v>42950</v>
      </c>
      <c r="C1295" s="69" t="s">
        <v>1477</v>
      </c>
      <c r="D1295" s="69" t="s">
        <v>1237</v>
      </c>
      <c r="E1295" s="69" t="s">
        <v>1479</v>
      </c>
      <c r="F1295" s="69">
        <v>1</v>
      </c>
      <c r="G1295" s="69" t="s">
        <v>101</v>
      </c>
      <c r="H1295" s="69">
        <v>1</v>
      </c>
      <c r="I1295" s="69" t="s">
        <v>1713</v>
      </c>
      <c r="J1295" s="69" t="s">
        <v>27</v>
      </c>
      <c r="K1295" s="69" t="s">
        <v>32</v>
      </c>
      <c r="L1295" s="70"/>
      <c r="M1295" s="69" t="s">
        <v>202</v>
      </c>
      <c r="N1295" s="69">
        <v>900426895</v>
      </c>
      <c r="O1295" s="71">
        <v>5789916</v>
      </c>
      <c r="P1295" s="7"/>
      <c r="Q1295" s="16">
        <f>+IF(IFERROR(VLOOKUP(Tabla3[[#This Row],[Cliente factura]],Tabla4[[NIT]:[TOTAL CREDITO]],3,FALSE),0)="",0,IFERROR(VLOOKUP(Tabla3[[#This Row],[Cliente factura]],Tabla4[[NIT]:[TOTAL CREDITO]],3,FALSE),0))</f>
        <v>0</v>
      </c>
      <c r="R1295" s="9">
        <f>+IFERROR(VLOOKUP(Tabla3[[#This Row],[Cliente factura]],Tabla4[[NIT]:[TOTAL CREDITO]],6,FALSE),0)</f>
        <v>0</v>
      </c>
      <c r="S1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5" s="10" t="str">
        <f>VLOOKUP(Tabla3[[#This Row],[Razón social cliente factura]]&amp;Tabla3[[#This Row],[Desc. ciudad]],'Estandar de Rutas'!$C$1:$E$553,2,FALSE)</f>
        <v>7.2.A</v>
      </c>
      <c r="U1295" s="130">
        <f>IFERROR(VLOOKUP(Tabla3[[#This Row],[Referencia]]&amp;Tabla3[[#This Row],[Desc detalle ext 1]],Tabla1[[Referencia-Color]:[Disponibilidad]],3,FALSE),0)</f>
        <v>7</v>
      </c>
      <c r="V1295" s="13"/>
      <c r="W1295" s="17">
        <f>+Tabla3[[#This Row],[Cant. Programada]]*Tabla3[[#This Row],[Precio unit]]</f>
        <v>0</v>
      </c>
      <c r="X1295" s="8"/>
      <c r="Y1295" s="8"/>
      <c r="Z1295" s="8" t="str">
        <f>+Tabla3[[#This Row],[Referencia]]&amp;Tabla3[[#This Row],[Desc detalle ext 1]]</f>
        <v>*XR 150L                                          NEGRO ROJ</v>
      </c>
      <c r="AA1295" s="128" t="e">
        <f>+VLOOKUP(Tabla3[[#This Row],[CODIGO2]],ESTANDAR!$B$3:$C$9,2,FALSE)</f>
        <v>#N/A</v>
      </c>
      <c r="AB1295" s="128" t="str">
        <f>+MID(Tabla3[[#This Row],['# Viaje]],10,1)</f>
        <v/>
      </c>
    </row>
    <row r="1296" spans="1:28" ht="15" hidden="1" customHeight="1">
      <c r="A1296" s="69" t="s">
        <v>1712</v>
      </c>
      <c r="B1296" s="70">
        <v>42950</v>
      </c>
      <c r="C1296" s="69" t="s">
        <v>1477</v>
      </c>
      <c r="D1296" s="69" t="s">
        <v>1237</v>
      </c>
      <c r="E1296" s="69" t="s">
        <v>1479</v>
      </c>
      <c r="F1296" s="69">
        <v>1</v>
      </c>
      <c r="G1296" s="69" t="s">
        <v>101</v>
      </c>
      <c r="H1296" s="69">
        <v>1</v>
      </c>
      <c r="I1296" s="69" t="s">
        <v>1713</v>
      </c>
      <c r="J1296" s="69" t="s">
        <v>354</v>
      </c>
      <c r="K1296" s="69" t="s">
        <v>17</v>
      </c>
      <c r="L1296" s="70"/>
      <c r="M1296" s="69" t="s">
        <v>202</v>
      </c>
      <c r="N1296" s="69">
        <v>900426895</v>
      </c>
      <c r="O1296" s="71">
        <v>6133613</v>
      </c>
      <c r="P1296" s="7"/>
      <c r="Q1296" s="16">
        <f>+IF(IFERROR(VLOOKUP(Tabla3[[#This Row],[Cliente factura]],Tabla4[[NIT]:[TOTAL CREDITO]],3,FALSE),0)="",0,IFERROR(VLOOKUP(Tabla3[[#This Row],[Cliente factura]],Tabla4[[NIT]:[TOTAL CREDITO]],3,FALSE),0))</f>
        <v>0</v>
      </c>
      <c r="R1296" s="9">
        <f>+IFERROR(VLOOKUP(Tabla3[[#This Row],[Cliente factura]],Tabla4[[NIT]:[TOTAL CREDITO]],6,FALSE),0)</f>
        <v>0</v>
      </c>
      <c r="S1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6" s="10" t="str">
        <f>VLOOKUP(Tabla3[[#This Row],[Razón social cliente factura]]&amp;Tabla3[[#This Row],[Desc. ciudad]],'Estandar de Rutas'!$C$1:$E$553,2,FALSE)</f>
        <v>7.2.A</v>
      </c>
      <c r="U1296" s="130">
        <f>IFERROR(VLOOKUP(Tabla3[[#This Row],[Referencia]]&amp;Tabla3[[#This Row],[Desc detalle ext 1]],Tabla1[[Referencia-Color]:[Disponibilidad]],3,FALSE),0)</f>
        <v>48</v>
      </c>
      <c r="V1296" s="13"/>
      <c r="W1296" s="17">
        <f>+Tabla3[[#This Row],[Cant. Programada]]*Tabla3[[#This Row],[Precio unit]]</f>
        <v>0</v>
      </c>
      <c r="X1296" s="8"/>
      <c r="Y1296" s="8"/>
      <c r="Z1296" s="8" t="str">
        <f>+Tabla3[[#This Row],[Referencia]]&amp;Tabla3[[#This Row],[Desc detalle ext 1]]</f>
        <v>CB 160F DLX                                       ROJO SPOR</v>
      </c>
      <c r="AA1296" s="128" t="e">
        <f>+VLOOKUP(Tabla3[[#This Row],[CODIGO2]],ESTANDAR!$B$3:$C$9,2,FALSE)</f>
        <v>#N/A</v>
      </c>
      <c r="AB1296" s="128" t="str">
        <f>+MID(Tabla3[[#This Row],['# Viaje]],10,1)</f>
        <v/>
      </c>
    </row>
    <row r="1297" spans="1:28" ht="15" hidden="1" customHeight="1">
      <c r="A1297" s="69" t="s">
        <v>1712</v>
      </c>
      <c r="B1297" s="70">
        <v>42950</v>
      </c>
      <c r="C1297" s="69" t="s">
        <v>1477</v>
      </c>
      <c r="D1297" s="69" t="s">
        <v>1237</v>
      </c>
      <c r="E1297" s="69" t="s">
        <v>1479</v>
      </c>
      <c r="F1297" s="69">
        <v>1</v>
      </c>
      <c r="G1297" s="69" t="s">
        <v>101</v>
      </c>
      <c r="H1297" s="69">
        <v>1</v>
      </c>
      <c r="I1297" s="69" t="s">
        <v>1713</v>
      </c>
      <c r="J1297" s="69" t="s">
        <v>354</v>
      </c>
      <c r="K1297" s="69" t="s">
        <v>355</v>
      </c>
      <c r="L1297" s="70"/>
      <c r="M1297" s="69" t="s">
        <v>202</v>
      </c>
      <c r="N1297" s="69">
        <v>900426895</v>
      </c>
      <c r="O1297" s="71">
        <v>6133613</v>
      </c>
      <c r="P1297" s="7"/>
      <c r="Q1297" s="16">
        <f>+IF(IFERROR(VLOOKUP(Tabla3[[#This Row],[Cliente factura]],Tabla4[[NIT]:[TOTAL CREDITO]],3,FALSE),0)="",0,IFERROR(VLOOKUP(Tabla3[[#This Row],[Cliente factura]],Tabla4[[NIT]:[TOTAL CREDITO]],3,FALSE),0))</f>
        <v>0</v>
      </c>
      <c r="R1297" s="9">
        <f>+IFERROR(VLOOKUP(Tabla3[[#This Row],[Cliente factura]],Tabla4[[NIT]:[TOTAL CREDITO]],6,FALSE),0)</f>
        <v>0</v>
      </c>
      <c r="S1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7" s="10" t="str">
        <f>VLOOKUP(Tabla3[[#This Row],[Razón social cliente factura]]&amp;Tabla3[[#This Row],[Desc. ciudad]],'Estandar de Rutas'!$C$1:$E$553,2,FALSE)</f>
        <v>7.2.A</v>
      </c>
      <c r="U1297" s="130">
        <f>IFERROR(VLOOKUP(Tabla3[[#This Row],[Referencia]]&amp;Tabla3[[#This Row],[Desc detalle ext 1]],Tabla1[[Referencia-Color]:[Disponibilidad]],3,FALSE),0)</f>
        <v>0</v>
      </c>
      <c r="V1297" s="13"/>
      <c r="W1297" s="17">
        <f>+Tabla3[[#This Row],[Cant. Programada]]*Tabla3[[#This Row],[Precio unit]]</f>
        <v>0</v>
      </c>
      <c r="X1297" s="8"/>
      <c r="Y1297" s="8"/>
      <c r="Z1297" s="8" t="str">
        <f>+Tabla3[[#This Row],[Referencia]]&amp;Tabla3[[#This Row],[Desc detalle ext 1]]</f>
        <v>CB 160F DLX                                       NEGRO PER</v>
      </c>
      <c r="AA1297" s="128" t="e">
        <f>+VLOOKUP(Tabla3[[#This Row],[CODIGO2]],ESTANDAR!$B$3:$C$9,2,FALSE)</f>
        <v>#N/A</v>
      </c>
      <c r="AB1297" s="128" t="str">
        <f>+MID(Tabla3[[#This Row],['# Viaje]],10,1)</f>
        <v/>
      </c>
    </row>
    <row r="1298" spans="1:28" ht="15" hidden="1" customHeight="1">
      <c r="A1298" s="69" t="s">
        <v>1714</v>
      </c>
      <c r="B1298" s="70">
        <v>42950</v>
      </c>
      <c r="C1298" s="69" t="s">
        <v>1231</v>
      </c>
      <c r="D1298" s="69" t="s">
        <v>1237</v>
      </c>
      <c r="E1298" s="69" t="s">
        <v>1479</v>
      </c>
      <c r="F1298" s="69">
        <v>1</v>
      </c>
      <c r="G1298" s="69" t="s">
        <v>187</v>
      </c>
      <c r="H1298" s="69">
        <v>1</v>
      </c>
      <c r="I1298" s="69" t="s">
        <v>187</v>
      </c>
      <c r="J1298" s="69" t="s">
        <v>14</v>
      </c>
      <c r="K1298" s="69" t="s">
        <v>16</v>
      </c>
      <c r="L1298" s="70"/>
      <c r="M1298" s="69" t="s">
        <v>184</v>
      </c>
      <c r="N1298" s="69">
        <v>900695615</v>
      </c>
      <c r="O1298" s="71">
        <v>3360504</v>
      </c>
      <c r="P1298" s="7"/>
      <c r="Q1298" s="16">
        <f>+IF(IFERROR(VLOOKUP(Tabla3[[#This Row],[Cliente factura]],Tabla4[[NIT]:[TOTAL CREDITO]],3,FALSE),0)="",0,IFERROR(VLOOKUP(Tabla3[[#This Row],[Cliente factura]],Tabla4[[NIT]:[TOTAL CREDITO]],3,FALSE),0))</f>
        <v>33535</v>
      </c>
      <c r="R1298" s="9">
        <f>+IFERROR(VLOOKUP(Tabla3[[#This Row],[Cliente factura]],Tabla4[[NIT]:[TOTAL CREDITO]],6,FALSE),0)</f>
        <v>0</v>
      </c>
      <c r="S1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8" s="10" t="str">
        <f>VLOOKUP(Tabla3[[#This Row],[Razón social cliente factura]]&amp;Tabla3[[#This Row],[Desc. ciudad]],'Estandar de Rutas'!$C$1:$E$553,2,FALSE)</f>
        <v>7.2</v>
      </c>
      <c r="U1298" s="130">
        <f>IFERROR(VLOOKUP(Tabla3[[#This Row],[Referencia]]&amp;Tabla3[[#This Row],[Desc detalle ext 1]],Tabla1[[Referencia-Color]:[Disponibilidad]],3,FALSE),0)</f>
        <v>83</v>
      </c>
      <c r="V1298" s="13"/>
      <c r="W1298" s="17">
        <f>+Tabla3[[#This Row],[Cant. Programada]]*Tabla3[[#This Row],[Precio unit]]</f>
        <v>0</v>
      </c>
      <c r="X1298" s="8"/>
      <c r="Y1298" s="8"/>
      <c r="Z1298" s="8" t="str">
        <f>+Tabla3[[#This Row],[Referencia]]&amp;Tabla3[[#This Row],[Desc detalle ext 1]]</f>
        <v xml:space="preserve">*CB-110                                           NEGRO    </v>
      </c>
      <c r="AA1298" s="128" t="e">
        <f>+VLOOKUP(Tabla3[[#This Row],[CODIGO2]],ESTANDAR!$B$3:$C$9,2,FALSE)</f>
        <v>#N/A</v>
      </c>
      <c r="AB1298" s="128" t="str">
        <f>+MID(Tabla3[[#This Row],['# Viaje]],10,1)</f>
        <v/>
      </c>
    </row>
    <row r="1299" spans="1:28" ht="15" hidden="1" customHeight="1">
      <c r="A1299" s="69" t="s">
        <v>1714</v>
      </c>
      <c r="B1299" s="70">
        <v>42950</v>
      </c>
      <c r="C1299" s="69" t="s">
        <v>1231</v>
      </c>
      <c r="D1299" s="69" t="s">
        <v>1237</v>
      </c>
      <c r="E1299" s="69" t="s">
        <v>1479</v>
      </c>
      <c r="F1299" s="69">
        <v>4</v>
      </c>
      <c r="G1299" s="69" t="s">
        <v>187</v>
      </c>
      <c r="H1299" s="69">
        <v>4</v>
      </c>
      <c r="I1299" s="69" t="s">
        <v>187</v>
      </c>
      <c r="J1299" s="69" t="s">
        <v>10</v>
      </c>
      <c r="K1299" s="69" t="s">
        <v>11</v>
      </c>
      <c r="L1299" s="70"/>
      <c r="M1299" s="69" t="s">
        <v>184</v>
      </c>
      <c r="N1299" s="69">
        <v>900695615</v>
      </c>
      <c r="O1299" s="71">
        <v>7554622</v>
      </c>
      <c r="P1299" s="7"/>
      <c r="Q1299" s="16">
        <f>+IF(IFERROR(VLOOKUP(Tabla3[[#This Row],[Cliente factura]],Tabla4[[NIT]:[TOTAL CREDITO]],3,FALSE),0)="",0,IFERROR(VLOOKUP(Tabla3[[#This Row],[Cliente factura]],Tabla4[[NIT]:[TOTAL CREDITO]],3,FALSE),0))</f>
        <v>33535</v>
      </c>
      <c r="R1299" s="9">
        <f>+IFERROR(VLOOKUP(Tabla3[[#This Row],[Cliente factura]],Tabla4[[NIT]:[TOTAL CREDITO]],6,FALSE),0)</f>
        <v>0</v>
      </c>
      <c r="S1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9" s="10" t="str">
        <f>VLOOKUP(Tabla3[[#This Row],[Razón social cliente factura]]&amp;Tabla3[[#This Row],[Desc. ciudad]],'Estandar de Rutas'!$C$1:$E$553,2,FALSE)</f>
        <v>7.2</v>
      </c>
      <c r="U1299" s="130">
        <f>IFERROR(VLOOKUP(Tabla3[[#This Row],[Referencia]]&amp;Tabla3[[#This Row],[Desc detalle ext 1]],Tabla1[[Referencia-Color]:[Disponibilidad]],3,FALSE),0)</f>
        <v>0</v>
      </c>
      <c r="V1299" s="13"/>
      <c r="W1299" s="17">
        <f>+Tabla3[[#This Row],[Cant. Programada]]*Tabla3[[#This Row],[Precio unit]]</f>
        <v>0</v>
      </c>
      <c r="X1299" s="8"/>
      <c r="Y1299" s="8"/>
      <c r="Z1299" s="8" t="str">
        <f>+Tabla3[[#This Row],[Referencia]]&amp;Tabla3[[#This Row],[Desc detalle ext 1]]</f>
        <v>CB 190R                                           NEGRO ONI</v>
      </c>
      <c r="AA1299" s="128" t="e">
        <f>+VLOOKUP(Tabla3[[#This Row],[CODIGO2]],ESTANDAR!$B$3:$C$9,2,FALSE)</f>
        <v>#N/A</v>
      </c>
      <c r="AB1299" s="128" t="str">
        <f>+MID(Tabla3[[#This Row],['# Viaje]],10,1)</f>
        <v/>
      </c>
    </row>
    <row r="1300" spans="1:28" ht="15" hidden="1" customHeight="1">
      <c r="A1300" s="69" t="s">
        <v>1714</v>
      </c>
      <c r="B1300" s="70">
        <v>42950</v>
      </c>
      <c r="C1300" s="69" t="s">
        <v>1231</v>
      </c>
      <c r="D1300" s="69" t="s">
        <v>1237</v>
      </c>
      <c r="E1300" s="69" t="s">
        <v>1479</v>
      </c>
      <c r="F1300" s="69">
        <v>2</v>
      </c>
      <c r="G1300" s="69" t="s">
        <v>187</v>
      </c>
      <c r="H1300" s="69">
        <v>2</v>
      </c>
      <c r="I1300" s="69" t="s">
        <v>187</v>
      </c>
      <c r="J1300" s="69" t="s">
        <v>1425</v>
      </c>
      <c r="K1300" s="69" t="s">
        <v>1426</v>
      </c>
      <c r="L1300" s="70"/>
      <c r="M1300" s="69" t="s">
        <v>184</v>
      </c>
      <c r="N1300" s="69">
        <v>900695615</v>
      </c>
      <c r="O1300" s="71">
        <v>7730252</v>
      </c>
      <c r="P1300" s="7"/>
      <c r="Q1300" s="16">
        <f>+IF(IFERROR(VLOOKUP(Tabla3[[#This Row],[Cliente factura]],Tabla4[[NIT]:[TOTAL CREDITO]],3,FALSE),0)="",0,IFERROR(VLOOKUP(Tabla3[[#This Row],[Cliente factura]],Tabla4[[NIT]:[TOTAL CREDITO]],3,FALSE),0))</f>
        <v>33535</v>
      </c>
      <c r="R1300" s="9">
        <f>+IFERROR(VLOOKUP(Tabla3[[#This Row],[Cliente factura]],Tabla4[[NIT]:[TOTAL CREDITO]],6,FALSE),0)</f>
        <v>0</v>
      </c>
      <c r="S1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0" s="10" t="str">
        <f>VLOOKUP(Tabla3[[#This Row],[Razón social cliente factura]]&amp;Tabla3[[#This Row],[Desc. ciudad]],'Estandar de Rutas'!$C$1:$E$553,2,FALSE)</f>
        <v>7.2</v>
      </c>
      <c r="U1300" s="130">
        <f>IFERROR(VLOOKUP(Tabla3[[#This Row],[Referencia]]&amp;Tabla3[[#This Row],[Desc detalle ext 1]],Tabla1[[Referencia-Color]:[Disponibilidad]],3,FALSE),0)</f>
        <v>104</v>
      </c>
      <c r="V1300" s="13"/>
      <c r="W1300" s="17">
        <f>+Tabla3[[#This Row],[Cant. Programada]]*Tabla3[[#This Row],[Precio unit]]</f>
        <v>0</v>
      </c>
      <c r="X1300" s="8"/>
      <c r="Y1300" s="8"/>
      <c r="Z1300" s="8" t="str">
        <f>+Tabla3[[#This Row],[Referencia]]&amp;Tabla3[[#This Row],[Desc detalle ext 1]]</f>
        <v>CB 190 REPSOL                                     NARANJA B</v>
      </c>
      <c r="AA1300" s="128" t="e">
        <f>+VLOOKUP(Tabla3[[#This Row],[CODIGO2]],ESTANDAR!$B$3:$C$9,2,FALSE)</f>
        <v>#N/A</v>
      </c>
      <c r="AB1300" s="128" t="str">
        <f>+MID(Tabla3[[#This Row],['# Viaje]],10,1)</f>
        <v/>
      </c>
    </row>
    <row r="1301" spans="1:28" ht="15" hidden="1" customHeight="1">
      <c r="A1301" s="69" t="s">
        <v>1714</v>
      </c>
      <c r="B1301" s="70">
        <v>42950</v>
      </c>
      <c r="C1301" s="69" t="s">
        <v>1231</v>
      </c>
      <c r="D1301" s="69" t="s">
        <v>1237</v>
      </c>
      <c r="E1301" s="69" t="s">
        <v>1479</v>
      </c>
      <c r="F1301" s="69">
        <v>1</v>
      </c>
      <c r="G1301" s="69" t="s">
        <v>187</v>
      </c>
      <c r="H1301" s="69">
        <v>1</v>
      </c>
      <c r="I1301" s="69" t="s">
        <v>187</v>
      </c>
      <c r="J1301" s="69" t="s">
        <v>1433</v>
      </c>
      <c r="K1301" s="69" t="s">
        <v>1431</v>
      </c>
      <c r="L1301" s="70"/>
      <c r="M1301" s="69" t="s">
        <v>184</v>
      </c>
      <c r="N1301" s="69">
        <v>900695615</v>
      </c>
      <c r="O1301" s="71">
        <v>3521008</v>
      </c>
      <c r="P1301" s="7"/>
      <c r="Q1301" s="16">
        <f>+IF(IFERROR(VLOOKUP(Tabla3[[#This Row],[Cliente factura]],Tabla4[[NIT]:[TOTAL CREDITO]],3,FALSE),0)="",0,IFERROR(VLOOKUP(Tabla3[[#This Row],[Cliente factura]],Tabla4[[NIT]:[TOTAL CREDITO]],3,FALSE),0))</f>
        <v>33535</v>
      </c>
      <c r="R1301" s="9">
        <f>+IFERROR(VLOOKUP(Tabla3[[#This Row],[Cliente factura]],Tabla4[[NIT]:[TOTAL CREDITO]],6,FALSE),0)</f>
        <v>0</v>
      </c>
      <c r="S1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1" s="10" t="str">
        <f>VLOOKUP(Tabla3[[#This Row],[Razón social cliente factura]]&amp;Tabla3[[#This Row],[Desc. ciudad]],'Estandar de Rutas'!$C$1:$E$553,2,FALSE)</f>
        <v>7.2</v>
      </c>
      <c r="U1301" s="130">
        <f>IFERROR(VLOOKUP(Tabla3[[#This Row],[Referencia]]&amp;Tabla3[[#This Row],[Desc detalle ext 1]],Tabla1[[Referencia-Color]:[Disponibilidad]],3,FALSE),0)</f>
        <v>0</v>
      </c>
      <c r="V1301" s="13"/>
      <c r="W1301" s="17">
        <f>+Tabla3[[#This Row],[Cant. Programada]]*Tabla3[[#This Row],[Precio unit]]</f>
        <v>0</v>
      </c>
      <c r="X1301" s="8"/>
      <c r="Y1301" s="8"/>
      <c r="Z1301" s="8" t="str">
        <f>+Tabla3[[#This Row],[Referencia]]&amp;Tabla3[[#This Row],[Desc detalle ext 1]]</f>
        <v xml:space="preserve">DIO  110                                          ROJO     </v>
      </c>
      <c r="AA1301" s="128" t="e">
        <f>+VLOOKUP(Tabla3[[#This Row],[CODIGO2]],ESTANDAR!$B$3:$C$9,2,FALSE)</f>
        <v>#N/A</v>
      </c>
      <c r="AB1301" s="128" t="str">
        <f>+MID(Tabla3[[#This Row],['# Viaje]],10,1)</f>
        <v/>
      </c>
    </row>
    <row r="1302" spans="1:28" ht="15" hidden="1" customHeight="1">
      <c r="A1302" s="69" t="s">
        <v>1714</v>
      </c>
      <c r="B1302" s="70">
        <v>42950</v>
      </c>
      <c r="C1302" s="69" t="s">
        <v>1231</v>
      </c>
      <c r="D1302" s="69" t="s">
        <v>1237</v>
      </c>
      <c r="E1302" s="69" t="s">
        <v>1479</v>
      </c>
      <c r="F1302" s="69">
        <v>2</v>
      </c>
      <c r="G1302" s="69" t="s">
        <v>187</v>
      </c>
      <c r="H1302" s="69">
        <v>2</v>
      </c>
      <c r="I1302" s="69" t="s">
        <v>187</v>
      </c>
      <c r="J1302" s="69" t="s">
        <v>1234</v>
      </c>
      <c r="K1302" s="69" t="s">
        <v>355</v>
      </c>
      <c r="L1302" s="70"/>
      <c r="M1302" s="69" t="s">
        <v>184</v>
      </c>
      <c r="N1302" s="69">
        <v>900695615</v>
      </c>
      <c r="O1302" s="71">
        <v>5453782</v>
      </c>
      <c r="P1302" s="7"/>
      <c r="Q1302" s="16">
        <f>+IF(IFERROR(VLOOKUP(Tabla3[[#This Row],[Cliente factura]],Tabla4[[NIT]:[TOTAL CREDITO]],3,FALSE),0)="",0,IFERROR(VLOOKUP(Tabla3[[#This Row],[Cliente factura]],Tabla4[[NIT]:[TOTAL CREDITO]],3,FALSE),0))</f>
        <v>33535</v>
      </c>
      <c r="R1302" s="9">
        <f>+IFERROR(VLOOKUP(Tabla3[[#This Row],[Cliente factura]],Tabla4[[NIT]:[TOTAL CREDITO]],6,FALSE),0)</f>
        <v>0</v>
      </c>
      <c r="S1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2" s="10" t="str">
        <f>VLOOKUP(Tabla3[[#This Row],[Razón social cliente factura]]&amp;Tabla3[[#This Row],[Desc. ciudad]],'Estandar de Rutas'!$C$1:$E$553,2,FALSE)</f>
        <v>7.2</v>
      </c>
      <c r="U1302" s="130">
        <f>IFERROR(VLOOKUP(Tabla3[[#This Row],[Referencia]]&amp;Tabla3[[#This Row],[Desc detalle ext 1]],Tabla1[[Referencia-Color]:[Disponibilidad]],3,FALSE),0)</f>
        <v>0</v>
      </c>
      <c r="V1302" s="13"/>
      <c r="W1302" s="17">
        <f>+Tabla3[[#This Row],[Cant. Programada]]*Tabla3[[#This Row],[Precio unit]]</f>
        <v>0</v>
      </c>
      <c r="X1302" s="8"/>
      <c r="Y1302" s="8"/>
      <c r="Z1302" s="8" t="str">
        <f>+Tabla3[[#This Row],[Referencia]]&amp;Tabla3[[#This Row],[Desc detalle ext 1]]</f>
        <v>CB 160F STD                                       NEGRO PER</v>
      </c>
      <c r="AA1302" s="128" t="e">
        <f>+VLOOKUP(Tabla3[[#This Row],[CODIGO2]],ESTANDAR!$B$3:$C$9,2,FALSE)</f>
        <v>#N/A</v>
      </c>
      <c r="AB1302" s="128" t="str">
        <f>+MID(Tabla3[[#This Row],['# Viaje]],10,1)</f>
        <v/>
      </c>
    </row>
    <row r="1303" spans="1:28" ht="15" hidden="1" customHeight="1">
      <c r="A1303" s="69" t="s">
        <v>1714</v>
      </c>
      <c r="B1303" s="70">
        <v>42950</v>
      </c>
      <c r="C1303" s="69" t="s">
        <v>1231</v>
      </c>
      <c r="D1303" s="69" t="s">
        <v>1237</v>
      </c>
      <c r="E1303" s="69" t="s">
        <v>1479</v>
      </c>
      <c r="F1303" s="69">
        <v>1</v>
      </c>
      <c r="G1303" s="69" t="s">
        <v>187</v>
      </c>
      <c r="H1303" s="69">
        <v>1</v>
      </c>
      <c r="I1303" s="69" t="s">
        <v>187</v>
      </c>
      <c r="J1303" s="69" t="s">
        <v>1451</v>
      </c>
      <c r="K1303" s="69" t="s">
        <v>16</v>
      </c>
      <c r="L1303" s="70"/>
      <c r="M1303" s="69" t="s">
        <v>184</v>
      </c>
      <c r="N1303" s="69">
        <v>900695615</v>
      </c>
      <c r="O1303" s="71">
        <v>3696639</v>
      </c>
      <c r="P1303" s="7"/>
      <c r="Q1303" s="16">
        <f>+IF(IFERROR(VLOOKUP(Tabla3[[#This Row],[Cliente factura]],Tabla4[[NIT]:[TOTAL CREDITO]],3,FALSE),0)="",0,IFERROR(VLOOKUP(Tabla3[[#This Row],[Cliente factura]],Tabla4[[NIT]:[TOTAL CREDITO]],3,FALSE),0))</f>
        <v>33535</v>
      </c>
      <c r="R1303" s="9">
        <f>+IFERROR(VLOOKUP(Tabla3[[#This Row],[Cliente factura]],Tabla4[[NIT]:[TOTAL CREDITO]],6,FALSE),0)</f>
        <v>0</v>
      </c>
      <c r="S1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3" s="10" t="str">
        <f>VLOOKUP(Tabla3[[#This Row],[Razón social cliente factura]]&amp;Tabla3[[#This Row],[Desc. ciudad]],'Estandar de Rutas'!$C$1:$E$553,2,FALSE)</f>
        <v>7.2</v>
      </c>
      <c r="U1303" s="130">
        <f>IFERROR(VLOOKUP(Tabla3[[#This Row],[Referencia]]&amp;Tabla3[[#This Row],[Desc detalle ext 1]],Tabla1[[Referencia-Color]:[Disponibilidad]],3,FALSE),0)</f>
        <v>3</v>
      </c>
      <c r="V1303" s="13"/>
      <c r="W1303" s="17">
        <f>+Tabla3[[#This Row],[Cant. Programada]]*Tabla3[[#This Row],[Precio unit]]</f>
        <v>0</v>
      </c>
      <c r="X1303" s="8"/>
      <c r="Y1303" s="8"/>
      <c r="Z1303" s="8" t="str">
        <f>+Tabla3[[#This Row],[Referencia]]&amp;Tabla3[[#This Row],[Desc detalle ext 1]]</f>
        <v xml:space="preserve">CB 110 DLX                                        NEGRO    </v>
      </c>
      <c r="AA1303" s="128" t="e">
        <f>+VLOOKUP(Tabla3[[#This Row],[CODIGO2]],ESTANDAR!$B$3:$C$9,2,FALSE)</f>
        <v>#N/A</v>
      </c>
      <c r="AB1303" s="128" t="str">
        <f>+MID(Tabla3[[#This Row],['# Viaje]],10,1)</f>
        <v/>
      </c>
    </row>
    <row r="1304" spans="1:28" ht="15" hidden="1" customHeight="1">
      <c r="A1304" s="69" t="s">
        <v>1715</v>
      </c>
      <c r="B1304" s="70">
        <v>42950</v>
      </c>
      <c r="C1304" s="69" t="s">
        <v>1477</v>
      </c>
      <c r="D1304" s="69" t="s">
        <v>1237</v>
      </c>
      <c r="E1304" s="69" t="s">
        <v>1479</v>
      </c>
      <c r="F1304" s="69">
        <v>2</v>
      </c>
      <c r="G1304" s="69" t="s">
        <v>103</v>
      </c>
      <c r="H1304" s="69">
        <v>2</v>
      </c>
      <c r="I1304" s="69" t="s">
        <v>103</v>
      </c>
      <c r="J1304" s="69" t="s">
        <v>27</v>
      </c>
      <c r="K1304" s="69" t="s">
        <v>32</v>
      </c>
      <c r="L1304" s="70"/>
      <c r="M1304" s="69" t="s">
        <v>100</v>
      </c>
      <c r="N1304" s="69">
        <v>900425597</v>
      </c>
      <c r="O1304" s="71">
        <v>5789916</v>
      </c>
      <c r="P1304" s="7"/>
      <c r="Q1304" s="16">
        <f>+IF(IFERROR(VLOOKUP(Tabla3[[#This Row],[Cliente factura]],Tabla4[[NIT]:[TOTAL CREDITO]],3,FALSE),0)="",0,IFERROR(VLOOKUP(Tabla3[[#This Row],[Cliente factura]],Tabla4[[NIT]:[TOTAL CREDITO]],3,FALSE),0))</f>
        <v>0</v>
      </c>
      <c r="R1304" s="9">
        <f>+IFERROR(VLOOKUP(Tabla3[[#This Row],[Cliente factura]],Tabla4[[NIT]:[TOTAL CREDITO]],6,FALSE),0)</f>
        <v>14569016</v>
      </c>
      <c r="S1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4" s="10" t="str">
        <f>VLOOKUP(Tabla3[[#This Row],[Razón social cliente factura]]&amp;Tabla3[[#This Row],[Desc. ciudad]],'Estandar de Rutas'!$C$1:$E$553,2,FALSE)</f>
        <v>7.2.B</v>
      </c>
      <c r="U1304" s="130">
        <f>IFERROR(VLOOKUP(Tabla3[[#This Row],[Referencia]]&amp;Tabla3[[#This Row],[Desc detalle ext 1]],Tabla1[[Referencia-Color]:[Disponibilidad]],3,FALSE),0)</f>
        <v>7</v>
      </c>
      <c r="V1304" s="13"/>
      <c r="W1304" s="17">
        <f>+Tabla3[[#This Row],[Cant. Programada]]*Tabla3[[#This Row],[Precio unit]]</f>
        <v>0</v>
      </c>
      <c r="X1304" s="8"/>
      <c r="Y1304" s="8"/>
      <c r="Z1304" s="8" t="str">
        <f>+Tabla3[[#This Row],[Referencia]]&amp;Tabla3[[#This Row],[Desc detalle ext 1]]</f>
        <v>*XR 150L                                          NEGRO ROJ</v>
      </c>
      <c r="AA1304" s="128" t="e">
        <f>+VLOOKUP(Tabla3[[#This Row],[CODIGO2]],ESTANDAR!$B$3:$C$9,2,FALSE)</f>
        <v>#N/A</v>
      </c>
      <c r="AB1304" s="128" t="str">
        <f>+MID(Tabla3[[#This Row],['# Viaje]],10,1)</f>
        <v/>
      </c>
    </row>
    <row r="1305" spans="1:28" ht="15" hidden="1" customHeight="1">
      <c r="A1305" s="69" t="s">
        <v>1715</v>
      </c>
      <c r="B1305" s="70">
        <v>42950</v>
      </c>
      <c r="C1305" s="69" t="s">
        <v>1477</v>
      </c>
      <c r="D1305" s="69" t="s">
        <v>1237</v>
      </c>
      <c r="E1305" s="69" t="s">
        <v>1479</v>
      </c>
      <c r="F1305" s="69">
        <v>2</v>
      </c>
      <c r="G1305" s="69" t="s">
        <v>103</v>
      </c>
      <c r="H1305" s="69">
        <v>2</v>
      </c>
      <c r="I1305" s="69" t="s">
        <v>103</v>
      </c>
      <c r="J1305" s="69" t="s">
        <v>27</v>
      </c>
      <c r="K1305" s="69" t="s">
        <v>16</v>
      </c>
      <c r="L1305" s="70"/>
      <c r="M1305" s="69" t="s">
        <v>100</v>
      </c>
      <c r="N1305" s="69">
        <v>900425597</v>
      </c>
      <c r="O1305" s="71">
        <v>5789916</v>
      </c>
      <c r="P1305" s="7"/>
      <c r="Q1305" s="16">
        <f>+IF(IFERROR(VLOOKUP(Tabla3[[#This Row],[Cliente factura]],Tabla4[[NIT]:[TOTAL CREDITO]],3,FALSE),0)="",0,IFERROR(VLOOKUP(Tabla3[[#This Row],[Cliente factura]],Tabla4[[NIT]:[TOTAL CREDITO]],3,FALSE),0))</f>
        <v>0</v>
      </c>
      <c r="R1305" s="9">
        <f>+IFERROR(VLOOKUP(Tabla3[[#This Row],[Cliente factura]],Tabla4[[NIT]:[TOTAL CREDITO]],6,FALSE),0)</f>
        <v>14569016</v>
      </c>
      <c r="S1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5" s="10" t="str">
        <f>VLOOKUP(Tabla3[[#This Row],[Razón social cliente factura]]&amp;Tabla3[[#This Row],[Desc. ciudad]],'Estandar de Rutas'!$C$1:$E$553,2,FALSE)</f>
        <v>7.2.B</v>
      </c>
      <c r="U1305" s="130">
        <f>IFERROR(VLOOKUP(Tabla3[[#This Row],[Referencia]]&amp;Tabla3[[#This Row],[Desc detalle ext 1]],Tabla1[[Referencia-Color]:[Disponibilidad]],3,FALSE),0)</f>
        <v>3</v>
      </c>
      <c r="V1305" s="13"/>
      <c r="W1305" s="17">
        <f>+Tabla3[[#This Row],[Cant. Programada]]*Tabla3[[#This Row],[Precio unit]]</f>
        <v>0</v>
      </c>
      <c r="X1305" s="8"/>
      <c r="Y1305" s="8"/>
      <c r="Z1305" s="8" t="str">
        <f>+Tabla3[[#This Row],[Referencia]]&amp;Tabla3[[#This Row],[Desc detalle ext 1]]</f>
        <v xml:space="preserve">*XR 150L                                          NEGRO    </v>
      </c>
      <c r="AA1305" s="128" t="e">
        <f>+VLOOKUP(Tabla3[[#This Row],[CODIGO2]],ESTANDAR!$B$3:$C$9,2,FALSE)</f>
        <v>#N/A</v>
      </c>
      <c r="AB1305" s="128" t="str">
        <f>+MID(Tabla3[[#This Row],['# Viaje]],10,1)</f>
        <v/>
      </c>
    </row>
    <row r="1306" spans="1:28" ht="15" hidden="1" customHeight="1">
      <c r="A1306" s="69" t="s">
        <v>1715</v>
      </c>
      <c r="B1306" s="70">
        <v>42950</v>
      </c>
      <c r="C1306" s="69" t="s">
        <v>1477</v>
      </c>
      <c r="D1306" s="69" t="s">
        <v>1237</v>
      </c>
      <c r="E1306" s="69" t="s">
        <v>1479</v>
      </c>
      <c r="F1306" s="69">
        <v>1</v>
      </c>
      <c r="G1306" s="69" t="s">
        <v>103</v>
      </c>
      <c r="H1306" s="69">
        <v>1</v>
      </c>
      <c r="I1306" s="69" t="s">
        <v>103</v>
      </c>
      <c r="J1306" s="69" t="s">
        <v>1425</v>
      </c>
      <c r="K1306" s="69" t="s">
        <v>1426</v>
      </c>
      <c r="L1306" s="70"/>
      <c r="M1306" s="69" t="s">
        <v>100</v>
      </c>
      <c r="N1306" s="69">
        <v>900425597</v>
      </c>
      <c r="O1306" s="71">
        <v>7730252</v>
      </c>
      <c r="P1306" s="7"/>
      <c r="Q1306" s="16">
        <f>+IF(IFERROR(VLOOKUP(Tabla3[[#This Row],[Cliente factura]],Tabla4[[NIT]:[TOTAL CREDITO]],3,FALSE),0)="",0,IFERROR(VLOOKUP(Tabla3[[#This Row],[Cliente factura]],Tabla4[[NIT]:[TOTAL CREDITO]],3,FALSE),0))</f>
        <v>0</v>
      </c>
      <c r="R1306" s="9">
        <f>+IFERROR(VLOOKUP(Tabla3[[#This Row],[Cliente factura]],Tabla4[[NIT]:[TOTAL CREDITO]],6,FALSE),0)</f>
        <v>14569016</v>
      </c>
      <c r="S1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6" s="10" t="str">
        <f>VLOOKUP(Tabla3[[#This Row],[Razón social cliente factura]]&amp;Tabla3[[#This Row],[Desc. ciudad]],'Estandar de Rutas'!$C$1:$E$553,2,FALSE)</f>
        <v>7.2.B</v>
      </c>
      <c r="U1306" s="130">
        <f>IFERROR(VLOOKUP(Tabla3[[#This Row],[Referencia]]&amp;Tabla3[[#This Row],[Desc detalle ext 1]],Tabla1[[Referencia-Color]:[Disponibilidad]],3,FALSE),0)</f>
        <v>104</v>
      </c>
      <c r="V1306" s="13"/>
      <c r="W1306" s="17">
        <f>+Tabla3[[#This Row],[Cant. Programada]]*Tabla3[[#This Row],[Precio unit]]</f>
        <v>0</v>
      </c>
      <c r="X1306" s="8"/>
      <c r="Y1306" s="8"/>
      <c r="Z1306" s="8" t="str">
        <f>+Tabla3[[#This Row],[Referencia]]&amp;Tabla3[[#This Row],[Desc detalle ext 1]]</f>
        <v>CB 190 REPSOL                                     NARANJA B</v>
      </c>
      <c r="AA1306" s="128" t="e">
        <f>+VLOOKUP(Tabla3[[#This Row],[CODIGO2]],ESTANDAR!$B$3:$C$9,2,FALSE)</f>
        <v>#N/A</v>
      </c>
      <c r="AB1306" s="128" t="str">
        <f>+MID(Tabla3[[#This Row],['# Viaje]],10,1)</f>
        <v/>
      </c>
    </row>
    <row r="1307" spans="1:28" ht="15" hidden="1" customHeight="1">
      <c r="A1307" s="69" t="s">
        <v>1715</v>
      </c>
      <c r="B1307" s="70">
        <v>42950</v>
      </c>
      <c r="C1307" s="69" t="s">
        <v>1477</v>
      </c>
      <c r="D1307" s="69" t="s">
        <v>1237</v>
      </c>
      <c r="E1307" s="69" t="s">
        <v>1479</v>
      </c>
      <c r="F1307" s="69">
        <v>1</v>
      </c>
      <c r="G1307" s="69" t="s">
        <v>103</v>
      </c>
      <c r="H1307" s="69">
        <v>1</v>
      </c>
      <c r="I1307" s="69" t="s">
        <v>103</v>
      </c>
      <c r="J1307" s="69" t="s">
        <v>354</v>
      </c>
      <c r="K1307" s="69" t="s">
        <v>355</v>
      </c>
      <c r="L1307" s="70"/>
      <c r="M1307" s="69" t="s">
        <v>100</v>
      </c>
      <c r="N1307" s="69">
        <v>900425597</v>
      </c>
      <c r="O1307" s="71">
        <v>6133613</v>
      </c>
      <c r="P1307" s="7"/>
      <c r="Q1307" s="16">
        <f>+IF(IFERROR(VLOOKUP(Tabla3[[#This Row],[Cliente factura]],Tabla4[[NIT]:[TOTAL CREDITO]],3,FALSE),0)="",0,IFERROR(VLOOKUP(Tabla3[[#This Row],[Cliente factura]],Tabla4[[NIT]:[TOTAL CREDITO]],3,FALSE),0))</f>
        <v>0</v>
      </c>
      <c r="R1307" s="9">
        <f>+IFERROR(VLOOKUP(Tabla3[[#This Row],[Cliente factura]],Tabla4[[NIT]:[TOTAL CREDITO]],6,FALSE),0)</f>
        <v>14569016</v>
      </c>
      <c r="S1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7" s="10" t="str">
        <f>VLOOKUP(Tabla3[[#This Row],[Razón social cliente factura]]&amp;Tabla3[[#This Row],[Desc. ciudad]],'Estandar de Rutas'!$C$1:$E$553,2,FALSE)</f>
        <v>7.2.B</v>
      </c>
      <c r="U1307" s="130">
        <f>IFERROR(VLOOKUP(Tabla3[[#This Row],[Referencia]]&amp;Tabla3[[#This Row],[Desc detalle ext 1]],Tabla1[[Referencia-Color]:[Disponibilidad]],3,FALSE),0)</f>
        <v>0</v>
      </c>
      <c r="V1307" s="13"/>
      <c r="W1307" s="17">
        <f>+Tabla3[[#This Row],[Cant. Programada]]*Tabla3[[#This Row],[Precio unit]]</f>
        <v>0</v>
      </c>
      <c r="X1307" s="8"/>
      <c r="Y1307" s="8"/>
      <c r="Z1307" s="8" t="str">
        <f>+Tabla3[[#This Row],[Referencia]]&amp;Tabla3[[#This Row],[Desc detalle ext 1]]</f>
        <v>CB 160F DLX                                       NEGRO PER</v>
      </c>
      <c r="AA1307" s="128" t="e">
        <f>+VLOOKUP(Tabla3[[#This Row],[CODIGO2]],ESTANDAR!$B$3:$C$9,2,FALSE)</f>
        <v>#N/A</v>
      </c>
      <c r="AB1307" s="128" t="str">
        <f>+MID(Tabla3[[#This Row],['# Viaje]],10,1)</f>
        <v/>
      </c>
    </row>
    <row r="1308" spans="1:28" ht="15" hidden="1" customHeight="1">
      <c r="A1308" s="69" t="s">
        <v>1715</v>
      </c>
      <c r="B1308" s="70">
        <v>42950</v>
      </c>
      <c r="C1308" s="69" t="s">
        <v>1477</v>
      </c>
      <c r="D1308" s="69" t="s">
        <v>1237</v>
      </c>
      <c r="E1308" s="69" t="s">
        <v>1479</v>
      </c>
      <c r="F1308" s="69">
        <v>1</v>
      </c>
      <c r="G1308" s="69" t="s">
        <v>103</v>
      </c>
      <c r="H1308" s="69">
        <v>1</v>
      </c>
      <c r="I1308" s="69" t="s">
        <v>103</v>
      </c>
      <c r="J1308" s="69" t="s">
        <v>1451</v>
      </c>
      <c r="K1308" s="69" t="s">
        <v>16</v>
      </c>
      <c r="L1308" s="70"/>
      <c r="M1308" s="69" t="s">
        <v>100</v>
      </c>
      <c r="N1308" s="69">
        <v>900425597</v>
      </c>
      <c r="O1308" s="71">
        <v>3696639</v>
      </c>
      <c r="P1308" s="7"/>
      <c r="Q1308" s="16">
        <f>+IF(IFERROR(VLOOKUP(Tabla3[[#This Row],[Cliente factura]],Tabla4[[NIT]:[TOTAL CREDITO]],3,FALSE),0)="",0,IFERROR(VLOOKUP(Tabla3[[#This Row],[Cliente factura]],Tabla4[[NIT]:[TOTAL CREDITO]],3,FALSE),0))</f>
        <v>0</v>
      </c>
      <c r="R1308" s="9">
        <f>+IFERROR(VLOOKUP(Tabla3[[#This Row],[Cliente factura]],Tabla4[[NIT]:[TOTAL CREDITO]],6,FALSE),0)</f>
        <v>14569016</v>
      </c>
      <c r="S1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8" s="10" t="str">
        <f>VLOOKUP(Tabla3[[#This Row],[Razón social cliente factura]]&amp;Tabla3[[#This Row],[Desc. ciudad]],'Estandar de Rutas'!$C$1:$E$553,2,FALSE)</f>
        <v>7.2.B</v>
      </c>
      <c r="U1308" s="130">
        <f>IFERROR(VLOOKUP(Tabla3[[#This Row],[Referencia]]&amp;Tabla3[[#This Row],[Desc detalle ext 1]],Tabla1[[Referencia-Color]:[Disponibilidad]],3,FALSE),0)</f>
        <v>3</v>
      </c>
      <c r="V1308" s="13"/>
      <c r="W1308" s="17">
        <f>+Tabla3[[#This Row],[Cant. Programada]]*Tabla3[[#This Row],[Precio unit]]</f>
        <v>0</v>
      </c>
      <c r="X1308" s="8"/>
      <c r="Y1308" s="8"/>
      <c r="Z1308" s="8" t="str">
        <f>+Tabla3[[#This Row],[Referencia]]&amp;Tabla3[[#This Row],[Desc detalle ext 1]]</f>
        <v xml:space="preserve">CB 110 DLX                                        NEGRO    </v>
      </c>
      <c r="AA1308" s="128" t="e">
        <f>+VLOOKUP(Tabla3[[#This Row],[CODIGO2]],ESTANDAR!$B$3:$C$9,2,FALSE)</f>
        <v>#N/A</v>
      </c>
      <c r="AB1308" s="128" t="str">
        <f>+MID(Tabla3[[#This Row],['# Viaje]],10,1)</f>
        <v/>
      </c>
    </row>
    <row r="1309" spans="1:28" ht="15" hidden="1" customHeight="1">
      <c r="A1309" s="69" t="s">
        <v>1716</v>
      </c>
      <c r="B1309" s="70">
        <v>42950</v>
      </c>
      <c r="C1309" s="69" t="s">
        <v>1477</v>
      </c>
      <c r="D1309" s="69" t="s">
        <v>1237</v>
      </c>
      <c r="E1309" s="69" t="s">
        <v>1479</v>
      </c>
      <c r="F1309" s="69">
        <v>1</v>
      </c>
      <c r="G1309" s="69" t="s">
        <v>103</v>
      </c>
      <c r="H1309" s="69">
        <v>1</v>
      </c>
      <c r="I1309" s="69" t="s">
        <v>1717</v>
      </c>
      <c r="J1309" s="69" t="s">
        <v>14</v>
      </c>
      <c r="K1309" s="69" t="s">
        <v>16</v>
      </c>
      <c r="L1309" s="70"/>
      <c r="M1309" s="69" t="s">
        <v>104</v>
      </c>
      <c r="N1309" s="69">
        <v>900425597</v>
      </c>
      <c r="O1309" s="71">
        <v>3360504</v>
      </c>
      <c r="P1309" s="7"/>
      <c r="Q1309" s="16">
        <f>+IF(IFERROR(VLOOKUP(Tabla3[[#This Row],[Cliente factura]],Tabla4[[NIT]:[TOTAL CREDITO]],3,FALSE),0)="",0,IFERROR(VLOOKUP(Tabla3[[#This Row],[Cliente factura]],Tabla4[[NIT]:[TOTAL CREDITO]],3,FALSE),0))</f>
        <v>0</v>
      </c>
      <c r="R1309" s="9">
        <f>+IFERROR(VLOOKUP(Tabla3[[#This Row],[Cliente factura]],Tabla4[[NIT]:[TOTAL CREDITO]],6,FALSE),0)</f>
        <v>14569016</v>
      </c>
      <c r="S1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9" s="10" t="str">
        <f>VLOOKUP(Tabla3[[#This Row],[Razón social cliente factura]]&amp;Tabla3[[#This Row],[Desc. ciudad]],'Estandar de Rutas'!$C$1:$E$553,2,FALSE)</f>
        <v>7.2.B</v>
      </c>
      <c r="U1309" s="130">
        <f>IFERROR(VLOOKUP(Tabla3[[#This Row],[Referencia]]&amp;Tabla3[[#This Row],[Desc detalle ext 1]],Tabla1[[Referencia-Color]:[Disponibilidad]],3,FALSE),0)</f>
        <v>83</v>
      </c>
      <c r="V1309" s="13"/>
      <c r="W1309" s="17">
        <f>+Tabla3[[#This Row],[Cant. Programada]]*Tabla3[[#This Row],[Precio unit]]</f>
        <v>0</v>
      </c>
      <c r="X1309" s="8"/>
      <c r="Y1309" s="8"/>
      <c r="Z1309" s="8" t="str">
        <f>+Tabla3[[#This Row],[Referencia]]&amp;Tabla3[[#This Row],[Desc detalle ext 1]]</f>
        <v xml:space="preserve">*CB-110                                           NEGRO    </v>
      </c>
      <c r="AA1309" s="128" t="e">
        <f>+VLOOKUP(Tabla3[[#This Row],[CODIGO2]],ESTANDAR!$B$3:$C$9,2,FALSE)</f>
        <v>#N/A</v>
      </c>
      <c r="AB1309" s="128" t="str">
        <f>+MID(Tabla3[[#This Row],['# Viaje]],10,1)</f>
        <v/>
      </c>
    </row>
    <row r="1310" spans="1:28" ht="15" hidden="1" customHeight="1">
      <c r="A1310" s="69" t="s">
        <v>1716</v>
      </c>
      <c r="B1310" s="70">
        <v>42950</v>
      </c>
      <c r="C1310" s="69" t="s">
        <v>1477</v>
      </c>
      <c r="D1310" s="69" t="s">
        <v>1237</v>
      </c>
      <c r="E1310" s="69" t="s">
        <v>1479</v>
      </c>
      <c r="F1310" s="69">
        <v>1</v>
      </c>
      <c r="G1310" s="69" t="s">
        <v>103</v>
      </c>
      <c r="H1310" s="69">
        <v>1</v>
      </c>
      <c r="I1310" s="69" t="s">
        <v>1717</v>
      </c>
      <c r="J1310" s="69" t="s">
        <v>27</v>
      </c>
      <c r="K1310" s="69" t="s">
        <v>16</v>
      </c>
      <c r="L1310" s="70"/>
      <c r="M1310" s="69" t="s">
        <v>104</v>
      </c>
      <c r="N1310" s="69">
        <v>900425597</v>
      </c>
      <c r="O1310" s="71">
        <v>5789916</v>
      </c>
      <c r="P1310" s="7"/>
      <c r="Q1310" s="16">
        <f>+IF(IFERROR(VLOOKUP(Tabla3[[#This Row],[Cliente factura]],Tabla4[[NIT]:[TOTAL CREDITO]],3,FALSE),0)="",0,IFERROR(VLOOKUP(Tabla3[[#This Row],[Cliente factura]],Tabla4[[NIT]:[TOTAL CREDITO]],3,FALSE),0))</f>
        <v>0</v>
      </c>
      <c r="R1310" s="9">
        <f>+IFERROR(VLOOKUP(Tabla3[[#This Row],[Cliente factura]],Tabla4[[NIT]:[TOTAL CREDITO]],6,FALSE),0)</f>
        <v>14569016</v>
      </c>
      <c r="S1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0" s="10" t="str">
        <f>VLOOKUP(Tabla3[[#This Row],[Razón social cliente factura]]&amp;Tabla3[[#This Row],[Desc. ciudad]],'Estandar de Rutas'!$C$1:$E$553,2,FALSE)</f>
        <v>7.2.B</v>
      </c>
      <c r="U1310" s="130">
        <f>IFERROR(VLOOKUP(Tabla3[[#This Row],[Referencia]]&amp;Tabla3[[#This Row],[Desc detalle ext 1]],Tabla1[[Referencia-Color]:[Disponibilidad]],3,FALSE),0)</f>
        <v>3</v>
      </c>
      <c r="V1310" s="13"/>
      <c r="W1310" s="17">
        <f>+Tabla3[[#This Row],[Cant. Programada]]*Tabla3[[#This Row],[Precio unit]]</f>
        <v>0</v>
      </c>
      <c r="X1310" s="8"/>
      <c r="Y1310" s="8"/>
      <c r="Z1310" s="8" t="str">
        <f>+Tabla3[[#This Row],[Referencia]]&amp;Tabla3[[#This Row],[Desc detalle ext 1]]</f>
        <v xml:space="preserve">*XR 150L                                          NEGRO    </v>
      </c>
      <c r="AA1310" s="128" t="e">
        <f>+VLOOKUP(Tabla3[[#This Row],[CODIGO2]],ESTANDAR!$B$3:$C$9,2,FALSE)</f>
        <v>#N/A</v>
      </c>
      <c r="AB1310" s="128" t="str">
        <f>+MID(Tabla3[[#This Row],['# Viaje]],10,1)</f>
        <v/>
      </c>
    </row>
    <row r="1311" spans="1:28" ht="15" hidden="1" customHeight="1">
      <c r="A1311" s="69" t="s">
        <v>1716</v>
      </c>
      <c r="B1311" s="70">
        <v>42950</v>
      </c>
      <c r="C1311" s="69" t="s">
        <v>1477</v>
      </c>
      <c r="D1311" s="69" t="s">
        <v>1237</v>
      </c>
      <c r="E1311" s="69" t="s">
        <v>1479</v>
      </c>
      <c r="F1311" s="69">
        <v>1</v>
      </c>
      <c r="G1311" s="69" t="s">
        <v>103</v>
      </c>
      <c r="H1311" s="69">
        <v>1</v>
      </c>
      <c r="I1311" s="69" t="s">
        <v>1717</v>
      </c>
      <c r="J1311" s="69" t="s">
        <v>1425</v>
      </c>
      <c r="K1311" s="69" t="s">
        <v>1426</v>
      </c>
      <c r="L1311" s="70"/>
      <c r="M1311" s="69" t="s">
        <v>104</v>
      </c>
      <c r="N1311" s="69">
        <v>900425597</v>
      </c>
      <c r="O1311" s="71">
        <v>7730252</v>
      </c>
      <c r="P1311" s="7"/>
      <c r="Q1311" s="16">
        <f>+IF(IFERROR(VLOOKUP(Tabla3[[#This Row],[Cliente factura]],Tabla4[[NIT]:[TOTAL CREDITO]],3,FALSE),0)="",0,IFERROR(VLOOKUP(Tabla3[[#This Row],[Cliente factura]],Tabla4[[NIT]:[TOTAL CREDITO]],3,FALSE),0))</f>
        <v>0</v>
      </c>
      <c r="R1311" s="9">
        <f>+IFERROR(VLOOKUP(Tabla3[[#This Row],[Cliente factura]],Tabla4[[NIT]:[TOTAL CREDITO]],6,FALSE),0)</f>
        <v>14569016</v>
      </c>
      <c r="S1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1" s="10" t="str">
        <f>VLOOKUP(Tabla3[[#This Row],[Razón social cliente factura]]&amp;Tabla3[[#This Row],[Desc. ciudad]],'Estandar de Rutas'!$C$1:$E$553,2,FALSE)</f>
        <v>7.2.B</v>
      </c>
      <c r="U1311" s="130">
        <f>IFERROR(VLOOKUP(Tabla3[[#This Row],[Referencia]]&amp;Tabla3[[#This Row],[Desc detalle ext 1]],Tabla1[[Referencia-Color]:[Disponibilidad]],3,FALSE),0)</f>
        <v>104</v>
      </c>
      <c r="V1311" s="13"/>
      <c r="W1311" s="17">
        <f>+Tabla3[[#This Row],[Cant. Programada]]*Tabla3[[#This Row],[Precio unit]]</f>
        <v>0</v>
      </c>
      <c r="X1311" s="8"/>
      <c r="Y1311" s="8"/>
      <c r="Z1311" s="8" t="str">
        <f>+Tabla3[[#This Row],[Referencia]]&amp;Tabla3[[#This Row],[Desc detalle ext 1]]</f>
        <v>CB 190 REPSOL                                     NARANJA B</v>
      </c>
      <c r="AA1311" s="128" t="e">
        <f>+VLOOKUP(Tabla3[[#This Row],[CODIGO2]],ESTANDAR!$B$3:$C$9,2,FALSE)</f>
        <v>#N/A</v>
      </c>
      <c r="AB1311" s="128" t="str">
        <f>+MID(Tabla3[[#This Row],['# Viaje]],10,1)</f>
        <v/>
      </c>
    </row>
    <row r="1312" spans="1:28" ht="15" hidden="1" customHeight="1">
      <c r="A1312" s="69" t="s">
        <v>1716</v>
      </c>
      <c r="B1312" s="70">
        <v>42950</v>
      </c>
      <c r="C1312" s="69" t="s">
        <v>1477</v>
      </c>
      <c r="D1312" s="69" t="s">
        <v>1237</v>
      </c>
      <c r="E1312" s="69" t="s">
        <v>1479</v>
      </c>
      <c r="F1312" s="69">
        <v>1</v>
      </c>
      <c r="G1312" s="69" t="s">
        <v>103</v>
      </c>
      <c r="H1312" s="69">
        <v>1</v>
      </c>
      <c r="I1312" s="69" t="s">
        <v>1717</v>
      </c>
      <c r="J1312" s="69" t="s">
        <v>354</v>
      </c>
      <c r="K1312" s="69" t="s">
        <v>355</v>
      </c>
      <c r="L1312" s="70"/>
      <c r="M1312" s="69" t="s">
        <v>104</v>
      </c>
      <c r="N1312" s="69">
        <v>900425597</v>
      </c>
      <c r="O1312" s="71">
        <v>6133613</v>
      </c>
      <c r="P1312" s="7"/>
      <c r="Q1312" s="16">
        <f>+IF(IFERROR(VLOOKUP(Tabla3[[#This Row],[Cliente factura]],Tabla4[[NIT]:[TOTAL CREDITO]],3,FALSE),0)="",0,IFERROR(VLOOKUP(Tabla3[[#This Row],[Cliente factura]],Tabla4[[NIT]:[TOTAL CREDITO]],3,FALSE),0))</f>
        <v>0</v>
      </c>
      <c r="R1312" s="9">
        <f>+IFERROR(VLOOKUP(Tabla3[[#This Row],[Cliente factura]],Tabla4[[NIT]:[TOTAL CREDITO]],6,FALSE),0)</f>
        <v>14569016</v>
      </c>
      <c r="S1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2" s="10" t="str">
        <f>VLOOKUP(Tabla3[[#This Row],[Razón social cliente factura]]&amp;Tabla3[[#This Row],[Desc. ciudad]],'Estandar de Rutas'!$C$1:$E$553,2,FALSE)</f>
        <v>7.2.B</v>
      </c>
      <c r="U1312" s="130">
        <f>IFERROR(VLOOKUP(Tabla3[[#This Row],[Referencia]]&amp;Tabla3[[#This Row],[Desc detalle ext 1]],Tabla1[[Referencia-Color]:[Disponibilidad]],3,FALSE),0)</f>
        <v>0</v>
      </c>
      <c r="V1312" s="13"/>
      <c r="W1312" s="17">
        <f>+Tabla3[[#This Row],[Cant. Programada]]*Tabla3[[#This Row],[Precio unit]]</f>
        <v>0</v>
      </c>
      <c r="X1312" s="8"/>
      <c r="Y1312" s="8"/>
      <c r="Z1312" s="8" t="str">
        <f>+Tabla3[[#This Row],[Referencia]]&amp;Tabla3[[#This Row],[Desc detalle ext 1]]</f>
        <v>CB 160F DLX                                       NEGRO PER</v>
      </c>
      <c r="AA1312" s="128" t="e">
        <f>+VLOOKUP(Tabla3[[#This Row],[CODIGO2]],ESTANDAR!$B$3:$C$9,2,FALSE)</f>
        <v>#N/A</v>
      </c>
      <c r="AB1312" s="128" t="str">
        <f>+MID(Tabla3[[#This Row],['# Viaje]],10,1)</f>
        <v/>
      </c>
    </row>
    <row r="1313" spans="1:28" ht="15" hidden="1" customHeight="1">
      <c r="A1313" s="69" t="s">
        <v>1716</v>
      </c>
      <c r="B1313" s="70">
        <v>42950</v>
      </c>
      <c r="C1313" s="69" t="s">
        <v>1477</v>
      </c>
      <c r="D1313" s="69" t="s">
        <v>1237</v>
      </c>
      <c r="E1313" s="69" t="s">
        <v>1479</v>
      </c>
      <c r="F1313" s="69">
        <v>1</v>
      </c>
      <c r="G1313" s="69" t="s">
        <v>103</v>
      </c>
      <c r="H1313" s="69">
        <v>1</v>
      </c>
      <c r="I1313" s="69" t="s">
        <v>1717</v>
      </c>
      <c r="J1313" s="69" t="s">
        <v>1433</v>
      </c>
      <c r="K1313" s="69" t="s">
        <v>1431</v>
      </c>
      <c r="L1313" s="70"/>
      <c r="M1313" s="69" t="s">
        <v>104</v>
      </c>
      <c r="N1313" s="69">
        <v>900425597</v>
      </c>
      <c r="O1313" s="71">
        <v>3521008</v>
      </c>
      <c r="P1313" s="7"/>
      <c r="Q1313" s="16">
        <f>+IF(IFERROR(VLOOKUP(Tabla3[[#This Row],[Cliente factura]],Tabla4[[NIT]:[TOTAL CREDITO]],3,FALSE),0)="",0,IFERROR(VLOOKUP(Tabla3[[#This Row],[Cliente factura]],Tabla4[[NIT]:[TOTAL CREDITO]],3,FALSE),0))</f>
        <v>0</v>
      </c>
      <c r="R1313" s="9">
        <f>+IFERROR(VLOOKUP(Tabla3[[#This Row],[Cliente factura]],Tabla4[[NIT]:[TOTAL CREDITO]],6,FALSE),0)</f>
        <v>14569016</v>
      </c>
      <c r="S1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3" s="10" t="str">
        <f>VLOOKUP(Tabla3[[#This Row],[Razón social cliente factura]]&amp;Tabla3[[#This Row],[Desc. ciudad]],'Estandar de Rutas'!$C$1:$E$553,2,FALSE)</f>
        <v>7.2.B</v>
      </c>
      <c r="U1313" s="130">
        <f>IFERROR(VLOOKUP(Tabla3[[#This Row],[Referencia]]&amp;Tabla3[[#This Row],[Desc detalle ext 1]],Tabla1[[Referencia-Color]:[Disponibilidad]],3,FALSE),0)</f>
        <v>0</v>
      </c>
      <c r="V1313" s="13"/>
      <c r="W1313" s="17">
        <f>+Tabla3[[#This Row],[Cant. Programada]]*Tabla3[[#This Row],[Precio unit]]</f>
        <v>0</v>
      </c>
      <c r="X1313" s="8"/>
      <c r="Y1313" s="8"/>
      <c r="Z1313" s="8" t="str">
        <f>+Tabla3[[#This Row],[Referencia]]&amp;Tabla3[[#This Row],[Desc detalle ext 1]]</f>
        <v xml:space="preserve">DIO  110                                          ROJO     </v>
      </c>
      <c r="AA1313" s="128" t="e">
        <f>+VLOOKUP(Tabla3[[#This Row],[CODIGO2]],ESTANDAR!$B$3:$C$9,2,FALSE)</f>
        <v>#N/A</v>
      </c>
      <c r="AB1313" s="128" t="str">
        <f>+MID(Tabla3[[#This Row],['# Viaje]],10,1)</f>
        <v/>
      </c>
    </row>
    <row r="1314" spans="1:28" ht="15" hidden="1" customHeight="1">
      <c r="A1314" s="69" t="s">
        <v>1716</v>
      </c>
      <c r="B1314" s="70">
        <v>42950</v>
      </c>
      <c r="C1314" s="69" t="s">
        <v>1477</v>
      </c>
      <c r="D1314" s="69" t="s">
        <v>1237</v>
      </c>
      <c r="E1314" s="69" t="s">
        <v>1479</v>
      </c>
      <c r="F1314" s="69">
        <v>1</v>
      </c>
      <c r="G1314" s="69" t="s">
        <v>103</v>
      </c>
      <c r="H1314" s="69">
        <v>1</v>
      </c>
      <c r="I1314" s="69" t="s">
        <v>1717</v>
      </c>
      <c r="J1314" s="69" t="s">
        <v>1451</v>
      </c>
      <c r="K1314" s="69" t="s">
        <v>16</v>
      </c>
      <c r="L1314" s="70"/>
      <c r="M1314" s="69" t="s">
        <v>104</v>
      </c>
      <c r="N1314" s="69">
        <v>900425597</v>
      </c>
      <c r="O1314" s="71">
        <v>3696639</v>
      </c>
      <c r="P1314" s="7"/>
      <c r="Q1314" s="16">
        <f>+IF(IFERROR(VLOOKUP(Tabla3[[#This Row],[Cliente factura]],Tabla4[[NIT]:[TOTAL CREDITO]],3,FALSE),0)="",0,IFERROR(VLOOKUP(Tabla3[[#This Row],[Cliente factura]],Tabla4[[NIT]:[TOTAL CREDITO]],3,FALSE),0))</f>
        <v>0</v>
      </c>
      <c r="R1314" s="9">
        <f>+IFERROR(VLOOKUP(Tabla3[[#This Row],[Cliente factura]],Tabla4[[NIT]:[TOTAL CREDITO]],6,FALSE),0)</f>
        <v>14569016</v>
      </c>
      <c r="S1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4" s="10" t="str">
        <f>VLOOKUP(Tabla3[[#This Row],[Razón social cliente factura]]&amp;Tabla3[[#This Row],[Desc. ciudad]],'Estandar de Rutas'!$C$1:$E$553,2,FALSE)</f>
        <v>7.2.B</v>
      </c>
      <c r="U1314" s="130">
        <f>IFERROR(VLOOKUP(Tabla3[[#This Row],[Referencia]]&amp;Tabla3[[#This Row],[Desc detalle ext 1]],Tabla1[[Referencia-Color]:[Disponibilidad]],3,FALSE),0)</f>
        <v>3</v>
      </c>
      <c r="V1314" s="13"/>
      <c r="W1314" s="17">
        <f>+Tabla3[[#This Row],[Cant. Programada]]*Tabla3[[#This Row],[Precio unit]]</f>
        <v>0</v>
      </c>
      <c r="X1314" s="8"/>
      <c r="Y1314" s="8"/>
      <c r="Z1314" s="8" t="str">
        <f>+Tabla3[[#This Row],[Referencia]]&amp;Tabla3[[#This Row],[Desc detalle ext 1]]</f>
        <v xml:space="preserve">CB 110 DLX                                        NEGRO    </v>
      </c>
      <c r="AA1314" s="128" t="e">
        <f>+VLOOKUP(Tabla3[[#This Row],[CODIGO2]],ESTANDAR!$B$3:$C$9,2,FALSE)</f>
        <v>#N/A</v>
      </c>
      <c r="AB1314" s="128" t="str">
        <f>+MID(Tabla3[[#This Row],['# Viaje]],10,1)</f>
        <v/>
      </c>
    </row>
    <row r="1315" spans="1:28" ht="15" hidden="1" customHeight="1">
      <c r="A1315" s="69" t="s">
        <v>1718</v>
      </c>
      <c r="B1315" s="70">
        <v>42950</v>
      </c>
      <c r="C1315" s="69" t="s">
        <v>1477</v>
      </c>
      <c r="D1315" s="69" t="s">
        <v>1237</v>
      </c>
      <c r="E1315" s="69" t="s">
        <v>1479</v>
      </c>
      <c r="F1315" s="69">
        <v>3</v>
      </c>
      <c r="G1315" s="69" t="s">
        <v>102</v>
      </c>
      <c r="H1315" s="69">
        <v>3</v>
      </c>
      <c r="I1315" s="69" t="s">
        <v>1719</v>
      </c>
      <c r="J1315" s="69" t="s">
        <v>27</v>
      </c>
      <c r="K1315" s="69" t="s">
        <v>32</v>
      </c>
      <c r="L1315" s="70"/>
      <c r="M1315" s="69" t="s">
        <v>100</v>
      </c>
      <c r="N1315" s="69">
        <v>2907207</v>
      </c>
      <c r="O1315" s="71">
        <v>5789916</v>
      </c>
      <c r="P1315" s="7"/>
      <c r="Q131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5" s="9">
        <f>+IFERROR(VLOOKUP(Tabla3[[#This Row],[Cliente factura]],Tabla4[[NIT]:[TOTAL CREDITO]],6,FALSE),0)</f>
        <v>0</v>
      </c>
      <c r="S1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5" s="10" t="str">
        <f>VLOOKUP(Tabla3[[#This Row],[Razón social cliente factura]]&amp;Tabla3[[#This Row],[Desc. ciudad]],'Estandar de Rutas'!$C$1:$E$553,2,FALSE)</f>
        <v>7.2.B</v>
      </c>
      <c r="U1315" s="130">
        <f>IFERROR(VLOOKUP(Tabla3[[#This Row],[Referencia]]&amp;Tabla3[[#This Row],[Desc detalle ext 1]],Tabla1[[Referencia-Color]:[Disponibilidad]],3,FALSE),0)</f>
        <v>7</v>
      </c>
      <c r="V1315" s="13"/>
      <c r="W1315" s="17">
        <f>+Tabla3[[#This Row],[Cant. Programada]]*Tabla3[[#This Row],[Precio unit]]</f>
        <v>0</v>
      </c>
      <c r="X1315" s="8"/>
      <c r="Y1315" s="8"/>
      <c r="Z1315" s="8" t="str">
        <f>+Tabla3[[#This Row],[Referencia]]&amp;Tabla3[[#This Row],[Desc detalle ext 1]]</f>
        <v>*XR 150L                                          NEGRO ROJ</v>
      </c>
      <c r="AA1315" s="128" t="e">
        <f>+VLOOKUP(Tabla3[[#This Row],[CODIGO2]],ESTANDAR!$B$3:$C$9,2,FALSE)</f>
        <v>#N/A</v>
      </c>
      <c r="AB1315" s="128" t="str">
        <f>+MID(Tabla3[[#This Row],['# Viaje]],10,1)</f>
        <v/>
      </c>
    </row>
    <row r="1316" spans="1:28" ht="15" hidden="1" customHeight="1">
      <c r="A1316" s="69" t="s">
        <v>1718</v>
      </c>
      <c r="B1316" s="70">
        <v>42950</v>
      </c>
      <c r="C1316" s="69" t="s">
        <v>1477</v>
      </c>
      <c r="D1316" s="69" t="s">
        <v>1237</v>
      </c>
      <c r="E1316" s="69" t="s">
        <v>1479</v>
      </c>
      <c r="F1316" s="69">
        <v>3</v>
      </c>
      <c r="G1316" s="69" t="s">
        <v>102</v>
      </c>
      <c r="H1316" s="69">
        <v>3</v>
      </c>
      <c r="I1316" s="69" t="s">
        <v>1719</v>
      </c>
      <c r="J1316" s="69" t="s">
        <v>27</v>
      </c>
      <c r="K1316" s="69" t="s">
        <v>26</v>
      </c>
      <c r="L1316" s="70"/>
      <c r="M1316" s="69" t="s">
        <v>100</v>
      </c>
      <c r="N1316" s="69">
        <v>2907207</v>
      </c>
      <c r="O1316" s="71">
        <v>5789916</v>
      </c>
      <c r="P1316" s="7"/>
      <c r="Q131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6" s="9">
        <f>+IFERROR(VLOOKUP(Tabla3[[#This Row],[Cliente factura]],Tabla4[[NIT]:[TOTAL CREDITO]],6,FALSE),0)</f>
        <v>0</v>
      </c>
      <c r="S1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6" s="10" t="str">
        <f>VLOOKUP(Tabla3[[#This Row],[Razón social cliente factura]]&amp;Tabla3[[#This Row],[Desc. ciudad]],'Estandar de Rutas'!$C$1:$E$553,2,FALSE)</f>
        <v>7.2.B</v>
      </c>
      <c r="U1316" s="130">
        <f>IFERROR(VLOOKUP(Tabla3[[#This Row],[Referencia]]&amp;Tabla3[[#This Row],[Desc detalle ext 1]],Tabla1[[Referencia-Color]:[Disponibilidad]],3,FALSE),0)</f>
        <v>59</v>
      </c>
      <c r="V1316" s="13"/>
      <c r="W1316" s="17">
        <f>+Tabla3[[#This Row],[Cant. Programada]]*Tabla3[[#This Row],[Precio unit]]</f>
        <v>0</v>
      </c>
      <c r="X1316" s="8"/>
      <c r="Y1316" s="8"/>
      <c r="Z1316" s="8" t="str">
        <f>+Tabla3[[#This Row],[Referencia]]&amp;Tabla3[[#This Row],[Desc detalle ext 1]]</f>
        <v>*XR 150L                                          NEGRO BLA</v>
      </c>
      <c r="AA1316" s="128" t="e">
        <f>+VLOOKUP(Tabla3[[#This Row],[CODIGO2]],ESTANDAR!$B$3:$C$9,2,FALSE)</f>
        <v>#N/A</v>
      </c>
      <c r="AB1316" s="128" t="str">
        <f>+MID(Tabla3[[#This Row],['# Viaje]],10,1)</f>
        <v/>
      </c>
    </row>
    <row r="1317" spans="1:28" ht="15" hidden="1" customHeight="1">
      <c r="A1317" s="69" t="s">
        <v>1718</v>
      </c>
      <c r="B1317" s="70">
        <v>42950</v>
      </c>
      <c r="C1317" s="69" t="s">
        <v>1477</v>
      </c>
      <c r="D1317" s="69" t="s">
        <v>1237</v>
      </c>
      <c r="E1317" s="69" t="s">
        <v>1479</v>
      </c>
      <c r="F1317" s="69">
        <v>3</v>
      </c>
      <c r="G1317" s="69" t="s">
        <v>102</v>
      </c>
      <c r="H1317" s="69">
        <v>3</v>
      </c>
      <c r="I1317" s="69" t="s">
        <v>1719</v>
      </c>
      <c r="J1317" s="69" t="s">
        <v>27</v>
      </c>
      <c r="K1317" s="69" t="s">
        <v>16</v>
      </c>
      <c r="L1317" s="70"/>
      <c r="M1317" s="69" t="s">
        <v>100</v>
      </c>
      <c r="N1317" s="69">
        <v>2907207</v>
      </c>
      <c r="O1317" s="71">
        <v>5789916</v>
      </c>
      <c r="P1317" s="7"/>
      <c r="Q131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7" s="9">
        <f>+IFERROR(VLOOKUP(Tabla3[[#This Row],[Cliente factura]],Tabla4[[NIT]:[TOTAL CREDITO]],6,FALSE),0)</f>
        <v>0</v>
      </c>
      <c r="S1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7" s="10" t="str">
        <f>VLOOKUP(Tabla3[[#This Row],[Razón social cliente factura]]&amp;Tabla3[[#This Row],[Desc. ciudad]],'Estandar de Rutas'!$C$1:$E$553,2,FALSE)</f>
        <v>7.2.B</v>
      </c>
      <c r="U1317" s="130">
        <f>IFERROR(VLOOKUP(Tabla3[[#This Row],[Referencia]]&amp;Tabla3[[#This Row],[Desc detalle ext 1]],Tabla1[[Referencia-Color]:[Disponibilidad]],3,FALSE),0)</f>
        <v>3</v>
      </c>
      <c r="V1317" s="13"/>
      <c r="W1317" s="17">
        <f>+Tabla3[[#This Row],[Cant. Programada]]*Tabla3[[#This Row],[Precio unit]]</f>
        <v>0</v>
      </c>
      <c r="X1317" s="8"/>
      <c r="Y1317" s="8"/>
      <c r="Z1317" s="8" t="str">
        <f>+Tabla3[[#This Row],[Referencia]]&amp;Tabla3[[#This Row],[Desc detalle ext 1]]</f>
        <v xml:space="preserve">*XR 150L                                          NEGRO    </v>
      </c>
      <c r="AA1317" s="128" t="e">
        <f>+VLOOKUP(Tabla3[[#This Row],[CODIGO2]],ESTANDAR!$B$3:$C$9,2,FALSE)</f>
        <v>#N/A</v>
      </c>
      <c r="AB1317" s="128" t="str">
        <f>+MID(Tabla3[[#This Row],['# Viaje]],10,1)</f>
        <v/>
      </c>
    </row>
    <row r="1318" spans="1:28" ht="15" hidden="1" customHeight="1">
      <c r="A1318" s="69" t="s">
        <v>1718</v>
      </c>
      <c r="B1318" s="70">
        <v>42950</v>
      </c>
      <c r="C1318" s="69" t="s">
        <v>1477</v>
      </c>
      <c r="D1318" s="69" t="s">
        <v>1237</v>
      </c>
      <c r="E1318" s="69" t="s">
        <v>1479</v>
      </c>
      <c r="F1318" s="69">
        <v>1</v>
      </c>
      <c r="G1318" s="69" t="s">
        <v>102</v>
      </c>
      <c r="H1318" s="69">
        <v>1</v>
      </c>
      <c r="I1318" s="69" t="s">
        <v>1719</v>
      </c>
      <c r="J1318" s="69" t="s">
        <v>10</v>
      </c>
      <c r="K1318" s="69" t="s">
        <v>11</v>
      </c>
      <c r="L1318" s="70"/>
      <c r="M1318" s="69" t="s">
        <v>100</v>
      </c>
      <c r="N1318" s="69">
        <v>2907207</v>
      </c>
      <c r="O1318" s="71">
        <v>7554622</v>
      </c>
      <c r="P1318" s="7"/>
      <c r="Q131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8" s="9">
        <f>+IFERROR(VLOOKUP(Tabla3[[#This Row],[Cliente factura]],Tabla4[[NIT]:[TOTAL CREDITO]],6,FALSE),0)</f>
        <v>0</v>
      </c>
      <c r="S1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8" s="10" t="str">
        <f>VLOOKUP(Tabla3[[#This Row],[Razón social cliente factura]]&amp;Tabla3[[#This Row],[Desc. ciudad]],'Estandar de Rutas'!$C$1:$E$553,2,FALSE)</f>
        <v>7.2.B</v>
      </c>
      <c r="U1318" s="130">
        <f>IFERROR(VLOOKUP(Tabla3[[#This Row],[Referencia]]&amp;Tabla3[[#This Row],[Desc detalle ext 1]],Tabla1[[Referencia-Color]:[Disponibilidad]],3,FALSE),0)</f>
        <v>0</v>
      </c>
      <c r="V1318" s="13"/>
      <c r="W1318" s="17">
        <f>+Tabla3[[#This Row],[Cant. Programada]]*Tabla3[[#This Row],[Precio unit]]</f>
        <v>0</v>
      </c>
      <c r="X1318" s="8"/>
      <c r="Y1318" s="8"/>
      <c r="Z1318" s="8" t="str">
        <f>+Tabla3[[#This Row],[Referencia]]&amp;Tabla3[[#This Row],[Desc detalle ext 1]]</f>
        <v>CB 190R                                           NEGRO ONI</v>
      </c>
      <c r="AA1318" s="128" t="e">
        <f>+VLOOKUP(Tabla3[[#This Row],[CODIGO2]],ESTANDAR!$B$3:$C$9,2,FALSE)</f>
        <v>#N/A</v>
      </c>
      <c r="AB1318" s="128" t="str">
        <f>+MID(Tabla3[[#This Row],['# Viaje]],10,1)</f>
        <v/>
      </c>
    </row>
    <row r="1319" spans="1:28" ht="15" hidden="1" customHeight="1">
      <c r="A1319" s="69" t="s">
        <v>1718</v>
      </c>
      <c r="B1319" s="70">
        <v>42950</v>
      </c>
      <c r="C1319" s="69" t="s">
        <v>1477</v>
      </c>
      <c r="D1319" s="69" t="s">
        <v>1237</v>
      </c>
      <c r="E1319" s="69" t="s">
        <v>1479</v>
      </c>
      <c r="F1319" s="69">
        <v>2</v>
      </c>
      <c r="G1319" s="69" t="s">
        <v>102</v>
      </c>
      <c r="H1319" s="69">
        <v>2</v>
      </c>
      <c r="I1319" s="69" t="s">
        <v>1719</v>
      </c>
      <c r="J1319" s="69" t="s">
        <v>1425</v>
      </c>
      <c r="K1319" s="69" t="s">
        <v>1426</v>
      </c>
      <c r="L1319" s="70"/>
      <c r="M1319" s="69" t="s">
        <v>100</v>
      </c>
      <c r="N1319" s="69">
        <v>2907207</v>
      </c>
      <c r="O1319" s="71">
        <v>7730252</v>
      </c>
      <c r="P1319" s="7"/>
      <c r="Q131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9" s="9">
        <f>+IFERROR(VLOOKUP(Tabla3[[#This Row],[Cliente factura]],Tabla4[[NIT]:[TOTAL CREDITO]],6,FALSE),0)</f>
        <v>0</v>
      </c>
      <c r="S1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9" s="10" t="str">
        <f>VLOOKUP(Tabla3[[#This Row],[Razón social cliente factura]]&amp;Tabla3[[#This Row],[Desc. ciudad]],'Estandar de Rutas'!$C$1:$E$553,2,FALSE)</f>
        <v>7.2.B</v>
      </c>
      <c r="U1319" s="130">
        <f>IFERROR(VLOOKUP(Tabla3[[#This Row],[Referencia]]&amp;Tabla3[[#This Row],[Desc detalle ext 1]],Tabla1[[Referencia-Color]:[Disponibilidad]],3,FALSE),0)</f>
        <v>104</v>
      </c>
      <c r="V1319" s="13"/>
      <c r="W1319" s="17">
        <f>+Tabla3[[#This Row],[Cant. Programada]]*Tabla3[[#This Row],[Precio unit]]</f>
        <v>0</v>
      </c>
      <c r="X1319" s="8"/>
      <c r="Y1319" s="8"/>
      <c r="Z1319" s="8" t="str">
        <f>+Tabla3[[#This Row],[Referencia]]&amp;Tabla3[[#This Row],[Desc detalle ext 1]]</f>
        <v>CB 190 REPSOL                                     NARANJA B</v>
      </c>
      <c r="AA1319" s="128" t="e">
        <f>+VLOOKUP(Tabla3[[#This Row],[CODIGO2]],ESTANDAR!$B$3:$C$9,2,FALSE)</f>
        <v>#N/A</v>
      </c>
      <c r="AB1319" s="128" t="str">
        <f>+MID(Tabla3[[#This Row],['# Viaje]],10,1)</f>
        <v/>
      </c>
    </row>
    <row r="1320" spans="1:28" ht="15" hidden="1" customHeight="1">
      <c r="A1320" s="69" t="s">
        <v>1718</v>
      </c>
      <c r="B1320" s="70">
        <v>42950</v>
      </c>
      <c r="C1320" s="69" t="s">
        <v>1477</v>
      </c>
      <c r="D1320" s="69" t="s">
        <v>1237</v>
      </c>
      <c r="E1320" s="69" t="s">
        <v>1479</v>
      </c>
      <c r="F1320" s="69">
        <v>1</v>
      </c>
      <c r="G1320" s="69" t="s">
        <v>102</v>
      </c>
      <c r="H1320" s="69">
        <v>1</v>
      </c>
      <c r="I1320" s="69" t="s">
        <v>1719</v>
      </c>
      <c r="J1320" s="69" t="s">
        <v>354</v>
      </c>
      <c r="K1320" s="69" t="s">
        <v>44</v>
      </c>
      <c r="L1320" s="70"/>
      <c r="M1320" s="69" t="s">
        <v>100</v>
      </c>
      <c r="N1320" s="69">
        <v>2907207</v>
      </c>
      <c r="O1320" s="71">
        <v>6133613</v>
      </c>
      <c r="P1320" s="7"/>
      <c r="Q132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0" s="9">
        <f>+IFERROR(VLOOKUP(Tabla3[[#This Row],[Cliente factura]],Tabla4[[NIT]:[TOTAL CREDITO]],6,FALSE),0)</f>
        <v>0</v>
      </c>
      <c r="S1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0" s="10" t="str">
        <f>VLOOKUP(Tabla3[[#This Row],[Razón social cliente factura]]&amp;Tabla3[[#This Row],[Desc. ciudad]],'Estandar de Rutas'!$C$1:$E$553,2,FALSE)</f>
        <v>7.2.B</v>
      </c>
      <c r="U1320" s="130">
        <f>IFERROR(VLOOKUP(Tabla3[[#This Row],[Referencia]]&amp;Tabla3[[#This Row],[Desc detalle ext 1]],Tabla1[[Referencia-Color]:[Disponibilidad]],3,FALSE),0)</f>
        <v>6</v>
      </c>
      <c r="V1320" s="13"/>
      <c r="W1320" s="17">
        <f>+Tabla3[[#This Row],[Cant. Programada]]*Tabla3[[#This Row],[Precio unit]]</f>
        <v>0</v>
      </c>
      <c r="X1320" s="8"/>
      <c r="Y1320" s="8"/>
      <c r="Z1320" s="8" t="str">
        <f>+Tabla3[[#This Row],[Referencia]]&amp;Tabla3[[#This Row],[Desc detalle ext 1]]</f>
        <v>CB 160F DLX                                       BLANCO PE</v>
      </c>
      <c r="AA1320" s="128" t="e">
        <f>+VLOOKUP(Tabla3[[#This Row],[CODIGO2]],ESTANDAR!$B$3:$C$9,2,FALSE)</f>
        <v>#N/A</v>
      </c>
      <c r="AB1320" s="128" t="str">
        <f>+MID(Tabla3[[#This Row],['# Viaje]],10,1)</f>
        <v/>
      </c>
    </row>
    <row r="1321" spans="1:28" ht="15" hidden="1" customHeight="1">
      <c r="A1321" s="69" t="s">
        <v>1718</v>
      </c>
      <c r="B1321" s="70">
        <v>42950</v>
      </c>
      <c r="C1321" s="69" t="s">
        <v>1477</v>
      </c>
      <c r="D1321" s="69" t="s">
        <v>1237</v>
      </c>
      <c r="E1321" s="69" t="s">
        <v>1479</v>
      </c>
      <c r="F1321" s="69">
        <v>1</v>
      </c>
      <c r="G1321" s="69" t="s">
        <v>102</v>
      </c>
      <c r="H1321" s="69">
        <v>1</v>
      </c>
      <c r="I1321" s="69" t="s">
        <v>1719</v>
      </c>
      <c r="J1321" s="69" t="s">
        <v>354</v>
      </c>
      <c r="K1321" s="69" t="s">
        <v>355</v>
      </c>
      <c r="L1321" s="70"/>
      <c r="M1321" s="69" t="s">
        <v>100</v>
      </c>
      <c r="N1321" s="69">
        <v>2907207</v>
      </c>
      <c r="O1321" s="71">
        <v>6133613</v>
      </c>
      <c r="P1321" s="7"/>
      <c r="Q132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1" s="9">
        <f>+IFERROR(VLOOKUP(Tabla3[[#This Row],[Cliente factura]],Tabla4[[NIT]:[TOTAL CREDITO]],6,FALSE),0)</f>
        <v>0</v>
      </c>
      <c r="S1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1" s="10" t="str">
        <f>VLOOKUP(Tabla3[[#This Row],[Razón social cliente factura]]&amp;Tabla3[[#This Row],[Desc. ciudad]],'Estandar de Rutas'!$C$1:$E$553,2,FALSE)</f>
        <v>7.2.B</v>
      </c>
      <c r="U1321" s="130">
        <f>IFERROR(VLOOKUP(Tabla3[[#This Row],[Referencia]]&amp;Tabla3[[#This Row],[Desc detalle ext 1]],Tabla1[[Referencia-Color]:[Disponibilidad]],3,FALSE),0)</f>
        <v>0</v>
      </c>
      <c r="V1321" s="13"/>
      <c r="W1321" s="17">
        <f>+Tabla3[[#This Row],[Cant. Programada]]*Tabla3[[#This Row],[Precio unit]]</f>
        <v>0</v>
      </c>
      <c r="X1321" s="8"/>
      <c r="Y1321" s="8"/>
      <c r="Z1321" s="8" t="str">
        <f>+Tabla3[[#This Row],[Referencia]]&amp;Tabla3[[#This Row],[Desc detalle ext 1]]</f>
        <v>CB 160F DLX                                       NEGRO PER</v>
      </c>
      <c r="AA1321" s="128" t="e">
        <f>+VLOOKUP(Tabla3[[#This Row],[CODIGO2]],ESTANDAR!$B$3:$C$9,2,FALSE)</f>
        <v>#N/A</v>
      </c>
      <c r="AB1321" s="128" t="str">
        <f>+MID(Tabla3[[#This Row],['# Viaje]],10,1)</f>
        <v/>
      </c>
    </row>
    <row r="1322" spans="1:28" ht="15" hidden="1" customHeight="1">
      <c r="A1322" s="69" t="s">
        <v>1718</v>
      </c>
      <c r="B1322" s="70">
        <v>42950</v>
      </c>
      <c r="C1322" s="69" t="s">
        <v>1477</v>
      </c>
      <c r="D1322" s="69" t="s">
        <v>1237</v>
      </c>
      <c r="E1322" s="69" t="s">
        <v>1479</v>
      </c>
      <c r="F1322" s="69">
        <v>1</v>
      </c>
      <c r="G1322" s="69" t="s">
        <v>102</v>
      </c>
      <c r="H1322" s="69">
        <v>1</v>
      </c>
      <c r="I1322" s="69" t="s">
        <v>1719</v>
      </c>
      <c r="J1322" s="69" t="s">
        <v>1428</v>
      </c>
      <c r="K1322" s="69" t="s">
        <v>1461</v>
      </c>
      <c r="L1322" s="70"/>
      <c r="M1322" s="69" t="s">
        <v>100</v>
      </c>
      <c r="N1322" s="69">
        <v>2907207</v>
      </c>
      <c r="O1322" s="71">
        <v>3067227</v>
      </c>
      <c r="P1322" s="7"/>
      <c r="Q132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2" s="9">
        <f>+IFERROR(VLOOKUP(Tabla3[[#This Row],[Cliente factura]],Tabla4[[NIT]:[TOTAL CREDITO]],6,FALSE),0)</f>
        <v>0</v>
      </c>
      <c r="S1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2" s="10" t="str">
        <f>VLOOKUP(Tabla3[[#This Row],[Razón social cliente factura]]&amp;Tabla3[[#This Row],[Desc. ciudad]],'Estandar de Rutas'!$C$1:$E$553,2,FALSE)</f>
        <v>7.2.B</v>
      </c>
      <c r="U1322" s="130">
        <f>IFERROR(VLOOKUP(Tabla3[[#This Row],[Referencia]]&amp;Tabla3[[#This Row],[Desc detalle ext 1]],Tabla1[[Referencia-Color]:[Disponibilidad]],3,FALSE),0)</f>
        <v>0</v>
      </c>
      <c r="V1322" s="13"/>
      <c r="W1322" s="17">
        <f>+Tabla3[[#This Row],[Cant. Programada]]*Tabla3[[#This Row],[Precio unit]]</f>
        <v>0</v>
      </c>
      <c r="X1322" s="8"/>
      <c r="Y1322" s="8"/>
      <c r="Z1322" s="8" t="str">
        <f>+Tabla3[[#This Row],[Referencia]]&amp;Tabla3[[#This Row],[Desc detalle ext 1]]</f>
        <v>DREAM  NEO                                        ROJO ALFA</v>
      </c>
      <c r="AA1322" s="128" t="e">
        <f>+VLOOKUP(Tabla3[[#This Row],[CODIGO2]],ESTANDAR!$B$3:$C$9,2,FALSE)</f>
        <v>#N/A</v>
      </c>
      <c r="AB1322" s="128" t="str">
        <f>+MID(Tabla3[[#This Row],['# Viaje]],10,1)</f>
        <v/>
      </c>
    </row>
    <row r="1323" spans="1:28" ht="15" hidden="1" customHeight="1">
      <c r="A1323" s="69" t="s">
        <v>1718</v>
      </c>
      <c r="B1323" s="70">
        <v>42950</v>
      </c>
      <c r="C1323" s="69" t="s">
        <v>1477</v>
      </c>
      <c r="D1323" s="69" t="s">
        <v>1237</v>
      </c>
      <c r="E1323" s="69" t="s">
        <v>1479</v>
      </c>
      <c r="F1323" s="69">
        <v>1</v>
      </c>
      <c r="G1323" s="69" t="s">
        <v>102</v>
      </c>
      <c r="H1323" s="69">
        <v>1</v>
      </c>
      <c r="I1323" s="69" t="s">
        <v>1719</v>
      </c>
      <c r="J1323" s="69" t="s">
        <v>1451</v>
      </c>
      <c r="K1323" s="69" t="s">
        <v>1452</v>
      </c>
      <c r="L1323" s="70"/>
      <c r="M1323" s="69" t="s">
        <v>100</v>
      </c>
      <c r="N1323" s="69">
        <v>2907207</v>
      </c>
      <c r="O1323" s="71">
        <v>3696639</v>
      </c>
      <c r="P1323" s="7"/>
      <c r="Q132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3" s="9">
        <f>+IFERROR(VLOOKUP(Tabla3[[#This Row],[Cliente factura]],Tabla4[[NIT]:[TOTAL CREDITO]],6,FALSE),0)</f>
        <v>0</v>
      </c>
      <c r="S1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3" s="10" t="str">
        <f>VLOOKUP(Tabla3[[#This Row],[Razón social cliente factura]]&amp;Tabla3[[#This Row],[Desc. ciudad]],'Estandar de Rutas'!$C$1:$E$553,2,FALSE)</f>
        <v>7.2.B</v>
      </c>
      <c r="U1323" s="130">
        <f>IFERROR(VLOOKUP(Tabla3[[#This Row],[Referencia]]&amp;Tabla3[[#This Row],[Desc detalle ext 1]],Tabla1[[Referencia-Color]:[Disponibilidad]],3,FALSE),0)</f>
        <v>21</v>
      </c>
      <c r="V1323" s="13"/>
      <c r="W1323" s="17">
        <f>+Tabla3[[#This Row],[Cant. Programada]]*Tabla3[[#This Row],[Precio unit]]</f>
        <v>0</v>
      </c>
      <c r="X1323" s="8"/>
      <c r="Y1323" s="8"/>
      <c r="Z1323" s="8" t="str">
        <f>+Tabla3[[#This Row],[Referencia]]&amp;Tabla3[[#This Row],[Desc detalle ext 1]]</f>
        <v xml:space="preserve">CB 110 DLX                                        AZUL     </v>
      </c>
      <c r="AA1323" s="128" t="e">
        <f>+VLOOKUP(Tabla3[[#This Row],[CODIGO2]],ESTANDAR!$B$3:$C$9,2,FALSE)</f>
        <v>#N/A</v>
      </c>
      <c r="AB1323" s="128" t="str">
        <f>+MID(Tabla3[[#This Row],['# Viaje]],10,1)</f>
        <v/>
      </c>
    </row>
    <row r="1324" spans="1:28" ht="15" hidden="1" customHeight="1">
      <c r="A1324" s="69" t="s">
        <v>1720</v>
      </c>
      <c r="B1324" s="70">
        <v>42950</v>
      </c>
      <c r="C1324" s="69" t="s">
        <v>1477</v>
      </c>
      <c r="D1324" s="69" t="s">
        <v>1237</v>
      </c>
      <c r="E1324" s="69" t="s">
        <v>1479</v>
      </c>
      <c r="F1324" s="69">
        <v>1</v>
      </c>
      <c r="G1324" s="69" t="s">
        <v>185</v>
      </c>
      <c r="H1324" s="69">
        <v>1</v>
      </c>
      <c r="I1324" s="69" t="s">
        <v>185</v>
      </c>
      <c r="J1324" s="69" t="s">
        <v>1421</v>
      </c>
      <c r="K1324" s="69" t="s">
        <v>1422</v>
      </c>
      <c r="L1324" s="70"/>
      <c r="M1324" s="69" t="s">
        <v>184</v>
      </c>
      <c r="N1324" s="69">
        <v>900599349</v>
      </c>
      <c r="O1324" s="71">
        <v>11496063</v>
      </c>
      <c r="P1324" s="7"/>
      <c r="Q1324" s="16">
        <f>+IF(IFERROR(VLOOKUP(Tabla3[[#This Row],[Cliente factura]],Tabla4[[NIT]:[TOTAL CREDITO]],3,FALSE),0)="",0,IFERROR(VLOOKUP(Tabla3[[#This Row],[Cliente factura]],Tabla4[[NIT]:[TOTAL CREDITO]],3,FALSE),0))</f>
        <v>0</v>
      </c>
      <c r="R1324" s="9">
        <f>+IFERROR(VLOOKUP(Tabla3[[#This Row],[Cliente factura]],Tabla4[[NIT]:[TOTAL CREDITO]],6,FALSE),0)</f>
        <v>0</v>
      </c>
      <c r="S1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4" s="10" t="str">
        <f>VLOOKUP(Tabla3[[#This Row],[Razón social cliente factura]]&amp;Tabla3[[#This Row],[Desc. ciudad]],'Estandar de Rutas'!$C$1:$E$553,2,FALSE)</f>
        <v>7.2</v>
      </c>
      <c r="U1324" s="130">
        <f>IFERROR(VLOOKUP(Tabla3[[#This Row],[Referencia]]&amp;Tabla3[[#This Row],[Desc detalle ext 1]],Tabla1[[Referencia-Color]:[Disponibilidad]],3,FALSE),0)</f>
        <v>13</v>
      </c>
      <c r="V1324" s="13"/>
      <c r="W1324" s="17">
        <f>+Tabla3[[#This Row],[Cant. Programada]]*Tabla3[[#This Row],[Precio unit]]</f>
        <v>0</v>
      </c>
      <c r="X1324" s="8"/>
      <c r="Y1324" s="8"/>
      <c r="Z1324" s="8" t="str">
        <f>+Tabla3[[#This Row],[Referencia]]&amp;Tabla3[[#This Row],[Desc detalle ext 1]]</f>
        <v>*XR-250 TORNADO pt MD34                           ROJO BLAN</v>
      </c>
      <c r="AA1324" s="128" t="e">
        <f>+VLOOKUP(Tabla3[[#This Row],[CODIGO2]],ESTANDAR!$B$3:$C$9,2,FALSE)</f>
        <v>#N/A</v>
      </c>
      <c r="AB1324" s="128" t="str">
        <f>+MID(Tabla3[[#This Row],['# Viaje]],10,1)</f>
        <v/>
      </c>
    </row>
    <row r="1325" spans="1:28" ht="15" hidden="1" customHeight="1">
      <c r="A1325" s="69" t="s">
        <v>1720</v>
      </c>
      <c r="B1325" s="70">
        <v>42950</v>
      </c>
      <c r="C1325" s="69" t="s">
        <v>1477</v>
      </c>
      <c r="D1325" s="69" t="s">
        <v>1237</v>
      </c>
      <c r="E1325" s="69" t="s">
        <v>1479</v>
      </c>
      <c r="F1325" s="69">
        <v>2</v>
      </c>
      <c r="G1325" s="69" t="s">
        <v>185</v>
      </c>
      <c r="H1325" s="69">
        <v>2</v>
      </c>
      <c r="I1325" s="69" t="s">
        <v>185</v>
      </c>
      <c r="J1325" s="69" t="s">
        <v>14</v>
      </c>
      <c r="K1325" s="69" t="s">
        <v>17</v>
      </c>
      <c r="L1325" s="70"/>
      <c r="M1325" s="69" t="s">
        <v>184</v>
      </c>
      <c r="N1325" s="69">
        <v>900599349</v>
      </c>
      <c r="O1325" s="71">
        <v>3360504</v>
      </c>
      <c r="P1325" s="7"/>
      <c r="Q1325" s="16">
        <f>+IF(IFERROR(VLOOKUP(Tabla3[[#This Row],[Cliente factura]],Tabla4[[NIT]:[TOTAL CREDITO]],3,FALSE),0)="",0,IFERROR(VLOOKUP(Tabla3[[#This Row],[Cliente factura]],Tabla4[[NIT]:[TOTAL CREDITO]],3,FALSE),0))</f>
        <v>0</v>
      </c>
      <c r="R1325" s="9">
        <f>+IFERROR(VLOOKUP(Tabla3[[#This Row],[Cliente factura]],Tabla4[[NIT]:[TOTAL CREDITO]],6,FALSE),0)</f>
        <v>0</v>
      </c>
      <c r="S1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5" s="10" t="str">
        <f>VLOOKUP(Tabla3[[#This Row],[Razón social cliente factura]]&amp;Tabla3[[#This Row],[Desc. ciudad]],'Estandar de Rutas'!$C$1:$E$553,2,FALSE)</f>
        <v>7.2</v>
      </c>
      <c r="U1325" s="130">
        <f>IFERROR(VLOOKUP(Tabla3[[#This Row],[Referencia]]&amp;Tabla3[[#This Row],[Desc detalle ext 1]],Tabla1[[Referencia-Color]:[Disponibilidad]],3,FALSE),0)</f>
        <v>38</v>
      </c>
      <c r="V1325" s="13"/>
      <c r="W1325" s="17">
        <f>+Tabla3[[#This Row],[Cant. Programada]]*Tabla3[[#This Row],[Precio unit]]</f>
        <v>0</v>
      </c>
      <c r="X1325" s="8"/>
      <c r="Y1325" s="8"/>
      <c r="Z1325" s="8" t="str">
        <f>+Tabla3[[#This Row],[Referencia]]&amp;Tabla3[[#This Row],[Desc detalle ext 1]]</f>
        <v>*CB-110                                           ROJO SPOR</v>
      </c>
      <c r="AA1325" s="128" t="e">
        <f>+VLOOKUP(Tabla3[[#This Row],[CODIGO2]],ESTANDAR!$B$3:$C$9,2,FALSE)</f>
        <v>#N/A</v>
      </c>
      <c r="AB1325" s="128" t="str">
        <f>+MID(Tabla3[[#This Row],['# Viaje]],10,1)</f>
        <v/>
      </c>
    </row>
    <row r="1326" spans="1:28" ht="15" hidden="1" customHeight="1">
      <c r="A1326" s="69" t="s">
        <v>1720</v>
      </c>
      <c r="B1326" s="70">
        <v>42950</v>
      </c>
      <c r="C1326" s="69" t="s">
        <v>1477</v>
      </c>
      <c r="D1326" s="69" t="s">
        <v>1237</v>
      </c>
      <c r="E1326" s="69" t="s">
        <v>1479</v>
      </c>
      <c r="F1326" s="69">
        <v>2</v>
      </c>
      <c r="G1326" s="69" t="s">
        <v>185</v>
      </c>
      <c r="H1326" s="69">
        <v>2</v>
      </c>
      <c r="I1326" s="69" t="s">
        <v>185</v>
      </c>
      <c r="J1326" s="69" t="s">
        <v>14</v>
      </c>
      <c r="K1326" s="69" t="s">
        <v>1418</v>
      </c>
      <c r="L1326" s="70"/>
      <c r="M1326" s="69" t="s">
        <v>184</v>
      </c>
      <c r="N1326" s="69">
        <v>900599349</v>
      </c>
      <c r="O1326" s="71">
        <v>3360504</v>
      </c>
      <c r="P1326" s="7"/>
      <c r="Q1326" s="16">
        <f>+IF(IFERROR(VLOOKUP(Tabla3[[#This Row],[Cliente factura]],Tabla4[[NIT]:[TOTAL CREDITO]],3,FALSE),0)="",0,IFERROR(VLOOKUP(Tabla3[[#This Row],[Cliente factura]],Tabla4[[NIT]:[TOTAL CREDITO]],3,FALSE),0))</f>
        <v>0</v>
      </c>
      <c r="R1326" s="9">
        <f>+IFERROR(VLOOKUP(Tabla3[[#This Row],[Cliente factura]],Tabla4[[NIT]:[TOTAL CREDITO]],6,FALSE),0)</f>
        <v>0</v>
      </c>
      <c r="S1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6" s="10" t="str">
        <f>VLOOKUP(Tabla3[[#This Row],[Razón social cliente factura]]&amp;Tabla3[[#This Row],[Desc. ciudad]],'Estandar de Rutas'!$C$1:$E$553,2,FALSE)</f>
        <v>7.2</v>
      </c>
      <c r="U1326" s="130">
        <f>IFERROR(VLOOKUP(Tabla3[[#This Row],[Referencia]]&amp;Tabla3[[#This Row],[Desc detalle ext 1]],Tabla1[[Referencia-Color]:[Disponibilidad]],3,FALSE),0)</f>
        <v>0</v>
      </c>
      <c r="V1326" s="13"/>
      <c r="W1326" s="17">
        <f>+Tabla3[[#This Row],[Cant. Programada]]*Tabla3[[#This Row],[Precio unit]]</f>
        <v>0</v>
      </c>
      <c r="X1326" s="8"/>
      <c r="Y1326" s="8"/>
      <c r="Z1326" s="8" t="str">
        <f>+Tabla3[[#This Row],[Referencia]]&amp;Tabla3[[#This Row],[Desc detalle ext 1]]</f>
        <v>*CB-110                                           VERDE CAN</v>
      </c>
      <c r="AA1326" s="128" t="e">
        <f>+VLOOKUP(Tabla3[[#This Row],[CODIGO2]],ESTANDAR!$B$3:$C$9,2,FALSE)</f>
        <v>#N/A</v>
      </c>
      <c r="AB1326" s="128" t="str">
        <f>+MID(Tabla3[[#This Row],['# Viaje]],10,1)</f>
        <v/>
      </c>
    </row>
    <row r="1327" spans="1:28" ht="15" hidden="1" customHeight="1">
      <c r="A1327" s="69" t="s">
        <v>1720</v>
      </c>
      <c r="B1327" s="70">
        <v>42950</v>
      </c>
      <c r="C1327" s="69" t="s">
        <v>1477</v>
      </c>
      <c r="D1327" s="69" t="s">
        <v>1237</v>
      </c>
      <c r="E1327" s="69" t="s">
        <v>1479</v>
      </c>
      <c r="F1327" s="69">
        <v>2</v>
      </c>
      <c r="G1327" s="69" t="s">
        <v>185</v>
      </c>
      <c r="H1327" s="69">
        <v>2</v>
      </c>
      <c r="I1327" s="69" t="s">
        <v>185</v>
      </c>
      <c r="J1327" s="69" t="s">
        <v>14</v>
      </c>
      <c r="K1327" s="69" t="s">
        <v>15</v>
      </c>
      <c r="L1327" s="70"/>
      <c r="M1327" s="69" t="s">
        <v>184</v>
      </c>
      <c r="N1327" s="69">
        <v>900599349</v>
      </c>
      <c r="O1327" s="71">
        <v>3360504</v>
      </c>
      <c r="P1327" s="7"/>
      <c r="Q1327" s="16">
        <f>+IF(IFERROR(VLOOKUP(Tabla3[[#This Row],[Cliente factura]],Tabla4[[NIT]:[TOTAL CREDITO]],3,FALSE),0)="",0,IFERROR(VLOOKUP(Tabla3[[#This Row],[Cliente factura]],Tabla4[[NIT]:[TOTAL CREDITO]],3,FALSE),0))</f>
        <v>0</v>
      </c>
      <c r="R1327" s="9">
        <f>+IFERROR(VLOOKUP(Tabla3[[#This Row],[Cliente factura]],Tabla4[[NIT]:[TOTAL CREDITO]],6,FALSE),0)</f>
        <v>0</v>
      </c>
      <c r="S1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7" s="10" t="str">
        <f>VLOOKUP(Tabla3[[#This Row],[Razón social cliente factura]]&amp;Tabla3[[#This Row],[Desc. ciudad]],'Estandar de Rutas'!$C$1:$E$553,2,FALSE)</f>
        <v>7.2</v>
      </c>
      <c r="U1327" s="130">
        <f>IFERROR(VLOOKUP(Tabla3[[#This Row],[Referencia]]&amp;Tabla3[[#This Row],[Desc detalle ext 1]],Tabla1[[Referencia-Color]:[Disponibilidad]],3,FALSE),0)</f>
        <v>99</v>
      </c>
      <c r="V1327" s="13"/>
      <c r="W1327" s="17">
        <f>+Tabla3[[#This Row],[Cant. Programada]]*Tabla3[[#This Row],[Precio unit]]</f>
        <v>0</v>
      </c>
      <c r="X1327" s="8"/>
      <c r="Y1327" s="8"/>
      <c r="Z1327" s="8" t="str">
        <f>+Tabla3[[#This Row],[Referencia]]&amp;Tabla3[[#This Row],[Desc detalle ext 1]]</f>
        <v>*CB-110                                           AZUL FIJI</v>
      </c>
      <c r="AA1327" s="128" t="e">
        <f>+VLOOKUP(Tabla3[[#This Row],[CODIGO2]],ESTANDAR!$B$3:$C$9,2,FALSE)</f>
        <v>#N/A</v>
      </c>
      <c r="AB1327" s="128" t="str">
        <f>+MID(Tabla3[[#This Row],['# Viaje]],10,1)</f>
        <v/>
      </c>
    </row>
    <row r="1328" spans="1:28" ht="15" hidden="1" customHeight="1">
      <c r="A1328" s="69" t="s">
        <v>1720</v>
      </c>
      <c r="B1328" s="70">
        <v>42950</v>
      </c>
      <c r="C1328" s="69" t="s">
        <v>1477</v>
      </c>
      <c r="D1328" s="69" t="s">
        <v>1237</v>
      </c>
      <c r="E1328" s="69" t="s">
        <v>1479</v>
      </c>
      <c r="F1328" s="69">
        <v>1</v>
      </c>
      <c r="G1328" s="69" t="s">
        <v>185</v>
      </c>
      <c r="H1328" s="69">
        <v>1</v>
      </c>
      <c r="I1328" s="69" t="s">
        <v>185</v>
      </c>
      <c r="J1328" s="69" t="s">
        <v>18</v>
      </c>
      <c r="K1328" s="69" t="s">
        <v>1419</v>
      </c>
      <c r="L1328" s="70"/>
      <c r="M1328" s="69" t="s">
        <v>184</v>
      </c>
      <c r="N1328" s="69">
        <v>900599349</v>
      </c>
      <c r="O1328" s="71">
        <v>5168067</v>
      </c>
      <c r="P1328" s="7"/>
      <c r="Q1328" s="16">
        <f>+IF(IFERROR(VLOOKUP(Tabla3[[#This Row],[Cliente factura]],Tabla4[[NIT]:[TOTAL CREDITO]],3,FALSE),0)="",0,IFERROR(VLOOKUP(Tabla3[[#This Row],[Cliente factura]],Tabla4[[NIT]:[TOTAL CREDITO]],3,FALSE),0))</f>
        <v>0</v>
      </c>
      <c r="R1328" s="9">
        <f>+IFERROR(VLOOKUP(Tabla3[[#This Row],[Cliente factura]],Tabla4[[NIT]:[TOTAL CREDITO]],6,FALSE),0)</f>
        <v>0</v>
      </c>
      <c r="S1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8" s="10" t="str">
        <f>VLOOKUP(Tabla3[[#This Row],[Razón social cliente factura]]&amp;Tabla3[[#This Row],[Desc. ciudad]],'Estandar de Rutas'!$C$1:$E$553,2,FALSE)</f>
        <v>7.2</v>
      </c>
      <c r="U1328" s="130">
        <f>IFERROR(VLOOKUP(Tabla3[[#This Row],[Referencia]]&amp;Tabla3[[#This Row],[Desc detalle ext 1]],Tabla1[[Referencia-Color]:[Disponibilidad]],3,FALSE),0)</f>
        <v>18</v>
      </c>
      <c r="V1328" s="13"/>
      <c r="W1328" s="17">
        <f>+Tabla3[[#This Row],[Cant. Programada]]*Tabla3[[#This Row],[Precio unit]]</f>
        <v>0</v>
      </c>
      <c r="X1328" s="8"/>
      <c r="Y1328" s="8"/>
      <c r="Z1328" s="8" t="str">
        <f>+Tabla3[[#This Row],[Referencia]]&amp;Tabla3[[#This Row],[Desc detalle ext 1]]</f>
        <v>*INVICTA                                          AZUL NEON</v>
      </c>
      <c r="AA1328" s="128" t="e">
        <f>+VLOOKUP(Tabla3[[#This Row],[CODIGO2]],ESTANDAR!$B$3:$C$9,2,FALSE)</f>
        <v>#N/A</v>
      </c>
      <c r="AB1328" s="128" t="str">
        <f>+MID(Tabla3[[#This Row],['# Viaje]],10,1)</f>
        <v/>
      </c>
    </row>
    <row r="1329" spans="1:28" ht="15" hidden="1" customHeight="1">
      <c r="A1329" s="69" t="s">
        <v>1720</v>
      </c>
      <c r="B1329" s="70">
        <v>42950</v>
      </c>
      <c r="C1329" s="69" t="s">
        <v>1477</v>
      </c>
      <c r="D1329" s="69" t="s">
        <v>1237</v>
      </c>
      <c r="E1329" s="69" t="s">
        <v>1479</v>
      </c>
      <c r="F1329" s="69">
        <v>2</v>
      </c>
      <c r="G1329" s="69" t="s">
        <v>185</v>
      </c>
      <c r="H1329" s="69">
        <v>2</v>
      </c>
      <c r="I1329" s="69" t="s">
        <v>185</v>
      </c>
      <c r="J1329" s="69" t="s">
        <v>27</v>
      </c>
      <c r="K1329" s="69" t="s">
        <v>32</v>
      </c>
      <c r="L1329" s="70"/>
      <c r="M1329" s="69" t="s">
        <v>184</v>
      </c>
      <c r="N1329" s="69">
        <v>900599349</v>
      </c>
      <c r="O1329" s="71">
        <v>5789916</v>
      </c>
      <c r="P1329" s="7"/>
      <c r="Q1329" s="16">
        <f>+IF(IFERROR(VLOOKUP(Tabla3[[#This Row],[Cliente factura]],Tabla4[[NIT]:[TOTAL CREDITO]],3,FALSE),0)="",0,IFERROR(VLOOKUP(Tabla3[[#This Row],[Cliente factura]],Tabla4[[NIT]:[TOTAL CREDITO]],3,FALSE),0))</f>
        <v>0</v>
      </c>
      <c r="R1329" s="9">
        <f>+IFERROR(VLOOKUP(Tabla3[[#This Row],[Cliente factura]],Tabla4[[NIT]:[TOTAL CREDITO]],6,FALSE),0)</f>
        <v>0</v>
      </c>
      <c r="S1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9" s="10" t="str">
        <f>VLOOKUP(Tabla3[[#This Row],[Razón social cliente factura]]&amp;Tabla3[[#This Row],[Desc. ciudad]],'Estandar de Rutas'!$C$1:$E$553,2,FALSE)</f>
        <v>7.2</v>
      </c>
      <c r="U1329" s="130">
        <f>IFERROR(VLOOKUP(Tabla3[[#This Row],[Referencia]]&amp;Tabla3[[#This Row],[Desc detalle ext 1]],Tabla1[[Referencia-Color]:[Disponibilidad]],3,FALSE),0)</f>
        <v>7</v>
      </c>
      <c r="V1329" s="13"/>
      <c r="W1329" s="17">
        <f>+Tabla3[[#This Row],[Cant. Programada]]*Tabla3[[#This Row],[Precio unit]]</f>
        <v>0</v>
      </c>
      <c r="X1329" s="8"/>
      <c r="Y1329" s="8"/>
      <c r="Z1329" s="8" t="str">
        <f>+Tabla3[[#This Row],[Referencia]]&amp;Tabla3[[#This Row],[Desc detalle ext 1]]</f>
        <v>*XR 150L                                          NEGRO ROJ</v>
      </c>
      <c r="AA1329" s="128" t="e">
        <f>+VLOOKUP(Tabla3[[#This Row],[CODIGO2]],ESTANDAR!$B$3:$C$9,2,FALSE)</f>
        <v>#N/A</v>
      </c>
      <c r="AB1329" s="128" t="str">
        <f>+MID(Tabla3[[#This Row],['# Viaje]],10,1)</f>
        <v/>
      </c>
    </row>
    <row r="1330" spans="1:28" ht="15" hidden="1" customHeight="1">
      <c r="A1330" s="69" t="s">
        <v>1720</v>
      </c>
      <c r="B1330" s="70">
        <v>42950</v>
      </c>
      <c r="C1330" s="69" t="s">
        <v>1477</v>
      </c>
      <c r="D1330" s="69" t="s">
        <v>1237</v>
      </c>
      <c r="E1330" s="69" t="s">
        <v>1479</v>
      </c>
      <c r="F1330" s="69">
        <v>1</v>
      </c>
      <c r="G1330" s="69" t="s">
        <v>185</v>
      </c>
      <c r="H1330" s="69">
        <v>1</v>
      </c>
      <c r="I1330" s="69" t="s">
        <v>185</v>
      </c>
      <c r="J1330" s="69" t="s">
        <v>27</v>
      </c>
      <c r="K1330" s="69" t="s">
        <v>26</v>
      </c>
      <c r="L1330" s="70"/>
      <c r="M1330" s="69" t="s">
        <v>184</v>
      </c>
      <c r="N1330" s="69">
        <v>900599349</v>
      </c>
      <c r="O1330" s="71">
        <v>5789916</v>
      </c>
      <c r="P1330" s="7"/>
      <c r="Q1330" s="16">
        <f>+IF(IFERROR(VLOOKUP(Tabla3[[#This Row],[Cliente factura]],Tabla4[[NIT]:[TOTAL CREDITO]],3,FALSE),0)="",0,IFERROR(VLOOKUP(Tabla3[[#This Row],[Cliente factura]],Tabla4[[NIT]:[TOTAL CREDITO]],3,FALSE),0))</f>
        <v>0</v>
      </c>
      <c r="R1330" s="9">
        <f>+IFERROR(VLOOKUP(Tabla3[[#This Row],[Cliente factura]],Tabla4[[NIT]:[TOTAL CREDITO]],6,FALSE),0)</f>
        <v>0</v>
      </c>
      <c r="S1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0" s="10" t="str">
        <f>VLOOKUP(Tabla3[[#This Row],[Razón social cliente factura]]&amp;Tabla3[[#This Row],[Desc. ciudad]],'Estandar de Rutas'!$C$1:$E$553,2,FALSE)</f>
        <v>7.2</v>
      </c>
      <c r="U1330" s="130">
        <f>IFERROR(VLOOKUP(Tabla3[[#This Row],[Referencia]]&amp;Tabla3[[#This Row],[Desc detalle ext 1]],Tabla1[[Referencia-Color]:[Disponibilidad]],3,FALSE),0)</f>
        <v>59</v>
      </c>
      <c r="V1330" s="13"/>
      <c r="W1330" s="17">
        <f>+Tabla3[[#This Row],[Cant. Programada]]*Tabla3[[#This Row],[Precio unit]]</f>
        <v>0</v>
      </c>
      <c r="X1330" s="8"/>
      <c r="Y1330" s="8"/>
      <c r="Z1330" s="8" t="str">
        <f>+Tabla3[[#This Row],[Referencia]]&amp;Tabla3[[#This Row],[Desc detalle ext 1]]</f>
        <v>*XR 150L                                          NEGRO BLA</v>
      </c>
      <c r="AA1330" s="128" t="e">
        <f>+VLOOKUP(Tabla3[[#This Row],[CODIGO2]],ESTANDAR!$B$3:$C$9,2,FALSE)</f>
        <v>#N/A</v>
      </c>
      <c r="AB1330" s="128" t="str">
        <f>+MID(Tabla3[[#This Row],['# Viaje]],10,1)</f>
        <v/>
      </c>
    </row>
    <row r="1331" spans="1:28" ht="15" hidden="1" customHeight="1">
      <c r="A1331" s="69" t="s">
        <v>1720</v>
      </c>
      <c r="B1331" s="70">
        <v>42950</v>
      </c>
      <c r="C1331" s="69" t="s">
        <v>1477</v>
      </c>
      <c r="D1331" s="69" t="s">
        <v>1237</v>
      </c>
      <c r="E1331" s="69" t="s">
        <v>1479</v>
      </c>
      <c r="F1331" s="69">
        <v>1</v>
      </c>
      <c r="G1331" s="69" t="s">
        <v>185</v>
      </c>
      <c r="H1331" s="69">
        <v>1</v>
      </c>
      <c r="I1331" s="69" t="s">
        <v>185</v>
      </c>
      <c r="J1331" s="69" t="s">
        <v>27</v>
      </c>
      <c r="K1331" s="69" t="s">
        <v>16</v>
      </c>
      <c r="L1331" s="70"/>
      <c r="M1331" s="69" t="s">
        <v>184</v>
      </c>
      <c r="N1331" s="69">
        <v>900599349</v>
      </c>
      <c r="O1331" s="71">
        <v>5789916</v>
      </c>
      <c r="P1331" s="7"/>
      <c r="Q1331" s="16">
        <f>+IF(IFERROR(VLOOKUP(Tabla3[[#This Row],[Cliente factura]],Tabla4[[NIT]:[TOTAL CREDITO]],3,FALSE),0)="",0,IFERROR(VLOOKUP(Tabla3[[#This Row],[Cliente factura]],Tabla4[[NIT]:[TOTAL CREDITO]],3,FALSE),0))</f>
        <v>0</v>
      </c>
      <c r="R1331" s="9">
        <f>+IFERROR(VLOOKUP(Tabla3[[#This Row],[Cliente factura]],Tabla4[[NIT]:[TOTAL CREDITO]],6,FALSE),0)</f>
        <v>0</v>
      </c>
      <c r="S1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1" s="10" t="str">
        <f>VLOOKUP(Tabla3[[#This Row],[Razón social cliente factura]]&amp;Tabla3[[#This Row],[Desc. ciudad]],'Estandar de Rutas'!$C$1:$E$553,2,FALSE)</f>
        <v>7.2</v>
      </c>
      <c r="U1331" s="130">
        <f>IFERROR(VLOOKUP(Tabla3[[#This Row],[Referencia]]&amp;Tabla3[[#This Row],[Desc detalle ext 1]],Tabla1[[Referencia-Color]:[Disponibilidad]],3,FALSE),0)</f>
        <v>3</v>
      </c>
      <c r="V1331" s="13"/>
      <c r="W1331" s="17">
        <f>+Tabla3[[#This Row],[Cant. Programada]]*Tabla3[[#This Row],[Precio unit]]</f>
        <v>0</v>
      </c>
      <c r="X1331" s="8"/>
      <c r="Y1331" s="8"/>
      <c r="Z1331" s="8" t="str">
        <f>+Tabla3[[#This Row],[Referencia]]&amp;Tabla3[[#This Row],[Desc detalle ext 1]]</f>
        <v xml:space="preserve">*XR 150L                                          NEGRO    </v>
      </c>
      <c r="AA1331" s="128" t="e">
        <f>+VLOOKUP(Tabla3[[#This Row],[CODIGO2]],ESTANDAR!$B$3:$C$9,2,FALSE)</f>
        <v>#N/A</v>
      </c>
      <c r="AB1331" s="128" t="str">
        <f>+MID(Tabla3[[#This Row],['# Viaje]],10,1)</f>
        <v/>
      </c>
    </row>
    <row r="1332" spans="1:28" ht="15" hidden="1" customHeight="1">
      <c r="A1332" s="69" t="s">
        <v>1720</v>
      </c>
      <c r="B1332" s="70">
        <v>42950</v>
      </c>
      <c r="C1332" s="69" t="s">
        <v>1477</v>
      </c>
      <c r="D1332" s="69" t="s">
        <v>1237</v>
      </c>
      <c r="E1332" s="69" t="s">
        <v>1479</v>
      </c>
      <c r="F1332" s="69">
        <v>5</v>
      </c>
      <c r="G1332" s="69" t="s">
        <v>185</v>
      </c>
      <c r="H1332" s="69">
        <v>5</v>
      </c>
      <c r="I1332" s="69" t="s">
        <v>185</v>
      </c>
      <c r="J1332" s="69" t="s">
        <v>10</v>
      </c>
      <c r="K1332" s="69" t="s">
        <v>13</v>
      </c>
      <c r="L1332" s="70"/>
      <c r="M1332" s="69" t="s">
        <v>184</v>
      </c>
      <c r="N1332" s="69">
        <v>900599349</v>
      </c>
      <c r="O1332" s="71">
        <v>7554622</v>
      </c>
      <c r="P1332" s="7"/>
      <c r="Q1332" s="16">
        <f>+IF(IFERROR(VLOOKUP(Tabla3[[#This Row],[Cliente factura]],Tabla4[[NIT]:[TOTAL CREDITO]],3,FALSE),0)="",0,IFERROR(VLOOKUP(Tabla3[[#This Row],[Cliente factura]],Tabla4[[NIT]:[TOTAL CREDITO]],3,FALSE),0))</f>
        <v>0</v>
      </c>
      <c r="R1332" s="9">
        <f>+IFERROR(VLOOKUP(Tabla3[[#This Row],[Cliente factura]],Tabla4[[NIT]:[TOTAL CREDITO]],6,FALSE),0)</f>
        <v>0</v>
      </c>
      <c r="S1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2" s="10" t="str">
        <f>VLOOKUP(Tabla3[[#This Row],[Razón social cliente factura]]&amp;Tabla3[[#This Row],[Desc. ciudad]],'Estandar de Rutas'!$C$1:$E$553,2,FALSE)</f>
        <v>7.2</v>
      </c>
      <c r="U1332" s="130">
        <f>IFERROR(VLOOKUP(Tabla3[[#This Row],[Referencia]]&amp;Tabla3[[#This Row],[Desc detalle ext 1]],Tabla1[[Referencia-Color]:[Disponibilidad]],3,FALSE),0)</f>
        <v>75</v>
      </c>
      <c r="V1332" s="13"/>
      <c r="W1332" s="17">
        <f>+Tabla3[[#This Row],[Cant. Programada]]*Tabla3[[#This Row],[Precio unit]]</f>
        <v>0</v>
      </c>
      <c r="X1332" s="8"/>
      <c r="Y1332" s="8"/>
      <c r="Z1332" s="8" t="str">
        <f>+Tabla3[[#This Row],[Referencia]]&amp;Tabla3[[#This Row],[Desc detalle ext 1]]</f>
        <v>CB 190R                                           ROJO NEGR</v>
      </c>
      <c r="AA1332" s="128" t="e">
        <f>+VLOOKUP(Tabla3[[#This Row],[CODIGO2]],ESTANDAR!$B$3:$C$9,2,FALSE)</f>
        <v>#N/A</v>
      </c>
      <c r="AB1332" s="128" t="str">
        <f>+MID(Tabla3[[#This Row],['# Viaje]],10,1)</f>
        <v/>
      </c>
    </row>
    <row r="1333" spans="1:28" ht="15" hidden="1" customHeight="1">
      <c r="A1333" s="69" t="s">
        <v>1720</v>
      </c>
      <c r="B1333" s="70">
        <v>42950</v>
      </c>
      <c r="C1333" s="69" t="s">
        <v>1477</v>
      </c>
      <c r="D1333" s="69" t="s">
        <v>1237</v>
      </c>
      <c r="E1333" s="69" t="s">
        <v>1479</v>
      </c>
      <c r="F1333" s="69">
        <v>8</v>
      </c>
      <c r="G1333" s="69" t="s">
        <v>185</v>
      </c>
      <c r="H1333" s="69">
        <v>8</v>
      </c>
      <c r="I1333" s="69" t="s">
        <v>185</v>
      </c>
      <c r="J1333" s="69" t="s">
        <v>10</v>
      </c>
      <c r="K1333" s="69" t="s">
        <v>11</v>
      </c>
      <c r="L1333" s="70"/>
      <c r="M1333" s="69" t="s">
        <v>184</v>
      </c>
      <c r="N1333" s="69">
        <v>900599349</v>
      </c>
      <c r="O1333" s="71">
        <v>7554622</v>
      </c>
      <c r="P1333" s="7"/>
      <c r="Q1333" s="16">
        <f>+IF(IFERROR(VLOOKUP(Tabla3[[#This Row],[Cliente factura]],Tabla4[[NIT]:[TOTAL CREDITO]],3,FALSE),0)="",0,IFERROR(VLOOKUP(Tabla3[[#This Row],[Cliente factura]],Tabla4[[NIT]:[TOTAL CREDITO]],3,FALSE),0))</f>
        <v>0</v>
      </c>
      <c r="R1333" s="9">
        <f>+IFERROR(VLOOKUP(Tabla3[[#This Row],[Cliente factura]],Tabla4[[NIT]:[TOTAL CREDITO]],6,FALSE),0)</f>
        <v>0</v>
      </c>
      <c r="S1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3" s="10" t="str">
        <f>VLOOKUP(Tabla3[[#This Row],[Razón social cliente factura]]&amp;Tabla3[[#This Row],[Desc. ciudad]],'Estandar de Rutas'!$C$1:$E$553,2,FALSE)</f>
        <v>7.2</v>
      </c>
      <c r="U1333" s="130">
        <f>IFERROR(VLOOKUP(Tabla3[[#This Row],[Referencia]]&amp;Tabla3[[#This Row],[Desc detalle ext 1]],Tabla1[[Referencia-Color]:[Disponibilidad]],3,FALSE),0)</f>
        <v>0</v>
      </c>
      <c r="V1333" s="13"/>
      <c r="W1333" s="17">
        <f>+Tabla3[[#This Row],[Cant. Programada]]*Tabla3[[#This Row],[Precio unit]]</f>
        <v>0</v>
      </c>
      <c r="X1333" s="8"/>
      <c r="Y1333" s="8"/>
      <c r="Z1333" s="8" t="str">
        <f>+Tabla3[[#This Row],[Referencia]]&amp;Tabla3[[#This Row],[Desc detalle ext 1]]</f>
        <v>CB 190R                                           NEGRO ONI</v>
      </c>
      <c r="AA1333" s="128" t="e">
        <f>+VLOOKUP(Tabla3[[#This Row],[CODIGO2]],ESTANDAR!$B$3:$C$9,2,FALSE)</f>
        <v>#N/A</v>
      </c>
      <c r="AB1333" s="128" t="str">
        <f>+MID(Tabla3[[#This Row],['# Viaje]],10,1)</f>
        <v/>
      </c>
    </row>
    <row r="1334" spans="1:28" ht="15" hidden="1" customHeight="1">
      <c r="A1334" s="69" t="s">
        <v>1720</v>
      </c>
      <c r="B1334" s="70">
        <v>42950</v>
      </c>
      <c r="C1334" s="69" t="s">
        <v>1477</v>
      </c>
      <c r="D1334" s="69" t="s">
        <v>1237</v>
      </c>
      <c r="E1334" s="69" t="s">
        <v>1479</v>
      </c>
      <c r="F1334" s="69">
        <v>5</v>
      </c>
      <c r="G1334" s="69" t="s">
        <v>185</v>
      </c>
      <c r="H1334" s="69">
        <v>5</v>
      </c>
      <c r="I1334" s="69" t="s">
        <v>185</v>
      </c>
      <c r="J1334" s="69" t="s">
        <v>1425</v>
      </c>
      <c r="K1334" s="69" t="s">
        <v>1426</v>
      </c>
      <c r="L1334" s="70"/>
      <c r="M1334" s="69" t="s">
        <v>184</v>
      </c>
      <c r="N1334" s="69">
        <v>900599349</v>
      </c>
      <c r="O1334" s="71">
        <v>7730252</v>
      </c>
      <c r="P1334" s="7"/>
      <c r="Q1334" s="16">
        <f>+IF(IFERROR(VLOOKUP(Tabla3[[#This Row],[Cliente factura]],Tabla4[[NIT]:[TOTAL CREDITO]],3,FALSE),0)="",0,IFERROR(VLOOKUP(Tabla3[[#This Row],[Cliente factura]],Tabla4[[NIT]:[TOTAL CREDITO]],3,FALSE),0))</f>
        <v>0</v>
      </c>
      <c r="R1334" s="9">
        <f>+IFERROR(VLOOKUP(Tabla3[[#This Row],[Cliente factura]],Tabla4[[NIT]:[TOTAL CREDITO]],6,FALSE),0)</f>
        <v>0</v>
      </c>
      <c r="S1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4" s="10" t="str">
        <f>VLOOKUP(Tabla3[[#This Row],[Razón social cliente factura]]&amp;Tabla3[[#This Row],[Desc. ciudad]],'Estandar de Rutas'!$C$1:$E$553,2,FALSE)</f>
        <v>7.2</v>
      </c>
      <c r="U1334" s="130">
        <f>IFERROR(VLOOKUP(Tabla3[[#This Row],[Referencia]]&amp;Tabla3[[#This Row],[Desc detalle ext 1]],Tabla1[[Referencia-Color]:[Disponibilidad]],3,FALSE),0)</f>
        <v>104</v>
      </c>
      <c r="V1334" s="13"/>
      <c r="W1334" s="17">
        <f>+Tabla3[[#This Row],[Cant. Programada]]*Tabla3[[#This Row],[Precio unit]]</f>
        <v>0</v>
      </c>
      <c r="X1334" s="8"/>
      <c r="Y1334" s="8"/>
      <c r="Z1334" s="8" t="str">
        <f>+Tabla3[[#This Row],[Referencia]]&amp;Tabla3[[#This Row],[Desc detalle ext 1]]</f>
        <v>CB 190 REPSOL                                     NARANJA B</v>
      </c>
      <c r="AA1334" s="128" t="e">
        <f>+VLOOKUP(Tabla3[[#This Row],[CODIGO2]],ESTANDAR!$B$3:$C$9,2,FALSE)</f>
        <v>#N/A</v>
      </c>
      <c r="AB1334" s="128" t="str">
        <f>+MID(Tabla3[[#This Row],['# Viaje]],10,1)</f>
        <v/>
      </c>
    </row>
    <row r="1335" spans="1:28" ht="15" hidden="1" customHeight="1">
      <c r="A1335" s="69" t="s">
        <v>1720</v>
      </c>
      <c r="B1335" s="70">
        <v>42950</v>
      </c>
      <c r="C1335" s="69" t="s">
        <v>1477</v>
      </c>
      <c r="D1335" s="69" t="s">
        <v>1237</v>
      </c>
      <c r="E1335" s="69" t="s">
        <v>1479</v>
      </c>
      <c r="F1335" s="69">
        <v>2</v>
      </c>
      <c r="G1335" s="69" t="s">
        <v>185</v>
      </c>
      <c r="H1335" s="69">
        <v>2</v>
      </c>
      <c r="I1335" s="69" t="s">
        <v>185</v>
      </c>
      <c r="J1335" s="69" t="s">
        <v>354</v>
      </c>
      <c r="K1335" s="69" t="s">
        <v>17</v>
      </c>
      <c r="L1335" s="70"/>
      <c r="M1335" s="69" t="s">
        <v>184</v>
      </c>
      <c r="N1335" s="69">
        <v>900599349</v>
      </c>
      <c r="O1335" s="71">
        <v>6133613</v>
      </c>
      <c r="P1335" s="7"/>
      <c r="Q1335" s="16">
        <f>+IF(IFERROR(VLOOKUP(Tabla3[[#This Row],[Cliente factura]],Tabla4[[NIT]:[TOTAL CREDITO]],3,FALSE),0)="",0,IFERROR(VLOOKUP(Tabla3[[#This Row],[Cliente factura]],Tabla4[[NIT]:[TOTAL CREDITO]],3,FALSE),0))</f>
        <v>0</v>
      </c>
      <c r="R1335" s="9">
        <f>+IFERROR(VLOOKUP(Tabla3[[#This Row],[Cliente factura]],Tabla4[[NIT]:[TOTAL CREDITO]],6,FALSE),0)</f>
        <v>0</v>
      </c>
      <c r="S1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5" s="10" t="str">
        <f>VLOOKUP(Tabla3[[#This Row],[Razón social cliente factura]]&amp;Tabla3[[#This Row],[Desc. ciudad]],'Estandar de Rutas'!$C$1:$E$553,2,FALSE)</f>
        <v>7.2</v>
      </c>
      <c r="U1335" s="130">
        <f>IFERROR(VLOOKUP(Tabla3[[#This Row],[Referencia]]&amp;Tabla3[[#This Row],[Desc detalle ext 1]],Tabla1[[Referencia-Color]:[Disponibilidad]],3,FALSE),0)</f>
        <v>48</v>
      </c>
      <c r="V1335" s="13"/>
      <c r="W1335" s="17">
        <f>+Tabla3[[#This Row],[Cant. Programada]]*Tabla3[[#This Row],[Precio unit]]</f>
        <v>0</v>
      </c>
      <c r="X1335" s="8"/>
      <c r="Y1335" s="8"/>
      <c r="Z1335" s="8" t="str">
        <f>+Tabla3[[#This Row],[Referencia]]&amp;Tabla3[[#This Row],[Desc detalle ext 1]]</f>
        <v>CB 160F DLX                                       ROJO SPOR</v>
      </c>
      <c r="AA1335" s="128" t="e">
        <f>+VLOOKUP(Tabla3[[#This Row],[CODIGO2]],ESTANDAR!$B$3:$C$9,2,FALSE)</f>
        <v>#N/A</v>
      </c>
      <c r="AB1335" s="128" t="str">
        <f>+MID(Tabla3[[#This Row],['# Viaje]],10,1)</f>
        <v/>
      </c>
    </row>
    <row r="1336" spans="1:28" ht="15" hidden="1" customHeight="1">
      <c r="A1336" s="69" t="s">
        <v>1720</v>
      </c>
      <c r="B1336" s="70">
        <v>42950</v>
      </c>
      <c r="C1336" s="69" t="s">
        <v>1477</v>
      </c>
      <c r="D1336" s="69" t="s">
        <v>1237</v>
      </c>
      <c r="E1336" s="69" t="s">
        <v>1479</v>
      </c>
      <c r="F1336" s="69">
        <v>2</v>
      </c>
      <c r="G1336" s="69" t="s">
        <v>185</v>
      </c>
      <c r="H1336" s="69">
        <v>2</v>
      </c>
      <c r="I1336" s="69" t="s">
        <v>185</v>
      </c>
      <c r="J1336" s="69" t="s">
        <v>354</v>
      </c>
      <c r="K1336" s="69" t="s">
        <v>355</v>
      </c>
      <c r="L1336" s="70"/>
      <c r="M1336" s="69" t="s">
        <v>184</v>
      </c>
      <c r="N1336" s="69">
        <v>900599349</v>
      </c>
      <c r="O1336" s="71">
        <v>6133613</v>
      </c>
      <c r="P1336" s="7"/>
      <c r="Q1336" s="16">
        <f>+IF(IFERROR(VLOOKUP(Tabla3[[#This Row],[Cliente factura]],Tabla4[[NIT]:[TOTAL CREDITO]],3,FALSE),0)="",0,IFERROR(VLOOKUP(Tabla3[[#This Row],[Cliente factura]],Tabla4[[NIT]:[TOTAL CREDITO]],3,FALSE),0))</f>
        <v>0</v>
      </c>
      <c r="R1336" s="9">
        <f>+IFERROR(VLOOKUP(Tabla3[[#This Row],[Cliente factura]],Tabla4[[NIT]:[TOTAL CREDITO]],6,FALSE),0)</f>
        <v>0</v>
      </c>
      <c r="S1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6" s="10" t="str">
        <f>VLOOKUP(Tabla3[[#This Row],[Razón social cliente factura]]&amp;Tabla3[[#This Row],[Desc. ciudad]],'Estandar de Rutas'!$C$1:$E$553,2,FALSE)</f>
        <v>7.2</v>
      </c>
      <c r="U1336" s="130">
        <f>IFERROR(VLOOKUP(Tabla3[[#This Row],[Referencia]]&amp;Tabla3[[#This Row],[Desc detalle ext 1]],Tabla1[[Referencia-Color]:[Disponibilidad]],3,FALSE),0)</f>
        <v>0</v>
      </c>
      <c r="V1336" s="13"/>
      <c r="W1336" s="17">
        <f>+Tabla3[[#This Row],[Cant. Programada]]*Tabla3[[#This Row],[Precio unit]]</f>
        <v>0</v>
      </c>
      <c r="X1336" s="8"/>
      <c r="Y1336" s="8"/>
      <c r="Z1336" s="8" t="str">
        <f>+Tabla3[[#This Row],[Referencia]]&amp;Tabla3[[#This Row],[Desc detalle ext 1]]</f>
        <v>CB 160F DLX                                       NEGRO PER</v>
      </c>
      <c r="AA1336" s="128" t="e">
        <f>+VLOOKUP(Tabla3[[#This Row],[CODIGO2]],ESTANDAR!$B$3:$C$9,2,FALSE)</f>
        <v>#N/A</v>
      </c>
      <c r="AB1336" s="128" t="str">
        <f>+MID(Tabla3[[#This Row],['# Viaje]],10,1)</f>
        <v/>
      </c>
    </row>
    <row r="1337" spans="1:28" ht="15" hidden="1" customHeight="1">
      <c r="A1337" s="69" t="s">
        <v>1720</v>
      </c>
      <c r="B1337" s="70">
        <v>42950</v>
      </c>
      <c r="C1337" s="69" t="s">
        <v>1477</v>
      </c>
      <c r="D1337" s="69" t="s">
        <v>1237</v>
      </c>
      <c r="E1337" s="69" t="s">
        <v>1479</v>
      </c>
      <c r="F1337" s="69">
        <v>2</v>
      </c>
      <c r="G1337" s="69" t="s">
        <v>185</v>
      </c>
      <c r="H1337" s="69">
        <v>2</v>
      </c>
      <c r="I1337" s="69" t="s">
        <v>185</v>
      </c>
      <c r="J1337" s="69" t="s">
        <v>354</v>
      </c>
      <c r="K1337" s="69" t="s">
        <v>474</v>
      </c>
      <c r="L1337" s="70"/>
      <c r="M1337" s="69" t="s">
        <v>184</v>
      </c>
      <c r="N1337" s="69">
        <v>900599349</v>
      </c>
      <c r="O1337" s="71">
        <v>6133613</v>
      </c>
      <c r="P1337" s="7"/>
      <c r="Q1337" s="16">
        <f>+IF(IFERROR(VLOOKUP(Tabla3[[#This Row],[Cliente factura]],Tabla4[[NIT]:[TOTAL CREDITO]],3,FALSE),0)="",0,IFERROR(VLOOKUP(Tabla3[[#This Row],[Cliente factura]],Tabla4[[NIT]:[TOTAL CREDITO]],3,FALSE),0))</f>
        <v>0</v>
      </c>
      <c r="R1337" s="9">
        <f>+IFERROR(VLOOKUP(Tabla3[[#This Row],[Cliente factura]],Tabla4[[NIT]:[TOTAL CREDITO]],6,FALSE),0)</f>
        <v>0</v>
      </c>
      <c r="S1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7" s="10" t="str">
        <f>VLOOKUP(Tabla3[[#This Row],[Razón social cliente factura]]&amp;Tabla3[[#This Row],[Desc. ciudad]],'Estandar de Rutas'!$C$1:$E$553,2,FALSE)</f>
        <v>7.2</v>
      </c>
      <c r="U1337" s="130">
        <f>IFERROR(VLOOKUP(Tabla3[[#This Row],[Referencia]]&amp;Tabla3[[#This Row],[Desc detalle ext 1]],Tabla1[[Referencia-Color]:[Disponibilidad]],3,FALSE),0)</f>
        <v>3</v>
      </c>
      <c r="V1337" s="13"/>
      <c r="W1337" s="17">
        <f>+Tabla3[[#This Row],[Cant. Programada]]*Tabla3[[#This Row],[Precio unit]]</f>
        <v>0</v>
      </c>
      <c r="X1337" s="8"/>
      <c r="Y1337" s="8"/>
      <c r="Z1337" s="8" t="str">
        <f>+Tabla3[[#This Row],[Referencia]]&amp;Tabla3[[#This Row],[Desc detalle ext 1]]</f>
        <v>CB 160F DLX                                       NARANJA N</v>
      </c>
      <c r="AA1337" s="128" t="e">
        <f>+VLOOKUP(Tabla3[[#This Row],[CODIGO2]],ESTANDAR!$B$3:$C$9,2,FALSE)</f>
        <v>#N/A</v>
      </c>
      <c r="AB1337" s="128" t="str">
        <f>+MID(Tabla3[[#This Row],['# Viaje]],10,1)</f>
        <v/>
      </c>
    </row>
    <row r="1338" spans="1:28" ht="15" hidden="1" customHeight="1">
      <c r="A1338" s="69" t="s">
        <v>1720</v>
      </c>
      <c r="B1338" s="70">
        <v>42950</v>
      </c>
      <c r="C1338" s="69" t="s">
        <v>1477</v>
      </c>
      <c r="D1338" s="69" t="s">
        <v>1237</v>
      </c>
      <c r="E1338" s="69" t="s">
        <v>1479</v>
      </c>
      <c r="F1338" s="69">
        <v>2</v>
      </c>
      <c r="G1338" s="69" t="s">
        <v>185</v>
      </c>
      <c r="H1338" s="69">
        <v>2</v>
      </c>
      <c r="I1338" s="69" t="s">
        <v>185</v>
      </c>
      <c r="J1338" s="69" t="s">
        <v>354</v>
      </c>
      <c r="K1338" s="69" t="s">
        <v>44</v>
      </c>
      <c r="L1338" s="70"/>
      <c r="M1338" s="69" t="s">
        <v>184</v>
      </c>
      <c r="N1338" s="69">
        <v>900599349</v>
      </c>
      <c r="O1338" s="71">
        <v>6133613</v>
      </c>
      <c r="P1338" s="7"/>
      <c r="Q1338" s="16">
        <f>+IF(IFERROR(VLOOKUP(Tabla3[[#This Row],[Cliente factura]],Tabla4[[NIT]:[TOTAL CREDITO]],3,FALSE),0)="",0,IFERROR(VLOOKUP(Tabla3[[#This Row],[Cliente factura]],Tabla4[[NIT]:[TOTAL CREDITO]],3,FALSE),0))</f>
        <v>0</v>
      </c>
      <c r="R1338" s="9">
        <f>+IFERROR(VLOOKUP(Tabla3[[#This Row],[Cliente factura]],Tabla4[[NIT]:[TOTAL CREDITO]],6,FALSE),0)</f>
        <v>0</v>
      </c>
      <c r="S1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8" s="10" t="str">
        <f>VLOOKUP(Tabla3[[#This Row],[Razón social cliente factura]]&amp;Tabla3[[#This Row],[Desc. ciudad]],'Estandar de Rutas'!$C$1:$E$553,2,FALSE)</f>
        <v>7.2</v>
      </c>
      <c r="U1338" s="130">
        <f>IFERROR(VLOOKUP(Tabla3[[#This Row],[Referencia]]&amp;Tabla3[[#This Row],[Desc detalle ext 1]],Tabla1[[Referencia-Color]:[Disponibilidad]],3,FALSE),0)</f>
        <v>6</v>
      </c>
      <c r="V1338" s="13"/>
      <c r="W1338" s="17">
        <f>+Tabla3[[#This Row],[Cant. Programada]]*Tabla3[[#This Row],[Precio unit]]</f>
        <v>0</v>
      </c>
      <c r="X1338" s="8"/>
      <c r="Y1338" s="8"/>
      <c r="Z1338" s="8" t="str">
        <f>+Tabla3[[#This Row],[Referencia]]&amp;Tabla3[[#This Row],[Desc detalle ext 1]]</f>
        <v>CB 160F DLX                                       BLANCO PE</v>
      </c>
      <c r="AA1338" s="128" t="e">
        <f>+VLOOKUP(Tabla3[[#This Row],[CODIGO2]],ESTANDAR!$B$3:$C$9,2,FALSE)</f>
        <v>#N/A</v>
      </c>
      <c r="AB1338" s="128" t="str">
        <f>+MID(Tabla3[[#This Row],['# Viaje]],10,1)</f>
        <v/>
      </c>
    </row>
    <row r="1339" spans="1:28" ht="15" hidden="1" customHeight="1">
      <c r="A1339" s="69" t="s">
        <v>1720</v>
      </c>
      <c r="B1339" s="70">
        <v>42950</v>
      </c>
      <c r="C1339" s="69" t="s">
        <v>1477</v>
      </c>
      <c r="D1339" s="69" t="s">
        <v>1237</v>
      </c>
      <c r="E1339" s="69" t="s">
        <v>1479</v>
      </c>
      <c r="F1339" s="69">
        <v>2</v>
      </c>
      <c r="G1339" s="69" t="s">
        <v>185</v>
      </c>
      <c r="H1339" s="69">
        <v>2</v>
      </c>
      <c r="I1339" s="69" t="s">
        <v>185</v>
      </c>
      <c r="J1339" s="69" t="s">
        <v>1433</v>
      </c>
      <c r="K1339" s="69" t="s">
        <v>1431</v>
      </c>
      <c r="L1339" s="70"/>
      <c r="M1339" s="69" t="s">
        <v>184</v>
      </c>
      <c r="N1339" s="69">
        <v>900599349</v>
      </c>
      <c r="O1339" s="71">
        <v>3521008</v>
      </c>
      <c r="P1339" s="7"/>
      <c r="Q1339" s="16">
        <f>+IF(IFERROR(VLOOKUP(Tabla3[[#This Row],[Cliente factura]],Tabla4[[NIT]:[TOTAL CREDITO]],3,FALSE),0)="",0,IFERROR(VLOOKUP(Tabla3[[#This Row],[Cliente factura]],Tabla4[[NIT]:[TOTAL CREDITO]],3,FALSE),0))</f>
        <v>0</v>
      </c>
      <c r="R1339" s="9">
        <f>+IFERROR(VLOOKUP(Tabla3[[#This Row],[Cliente factura]],Tabla4[[NIT]:[TOTAL CREDITO]],6,FALSE),0)</f>
        <v>0</v>
      </c>
      <c r="S1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9" s="10" t="str">
        <f>VLOOKUP(Tabla3[[#This Row],[Razón social cliente factura]]&amp;Tabla3[[#This Row],[Desc. ciudad]],'Estandar de Rutas'!$C$1:$E$553,2,FALSE)</f>
        <v>7.2</v>
      </c>
      <c r="U1339" s="130">
        <f>IFERROR(VLOOKUP(Tabla3[[#This Row],[Referencia]]&amp;Tabla3[[#This Row],[Desc detalle ext 1]],Tabla1[[Referencia-Color]:[Disponibilidad]],3,FALSE),0)</f>
        <v>0</v>
      </c>
      <c r="V1339" s="13"/>
      <c r="W1339" s="17">
        <f>+Tabla3[[#This Row],[Cant. Programada]]*Tabla3[[#This Row],[Precio unit]]</f>
        <v>0</v>
      </c>
      <c r="X1339" s="8"/>
      <c r="Y1339" s="8"/>
      <c r="Z1339" s="8" t="str">
        <f>+Tabla3[[#This Row],[Referencia]]&amp;Tabla3[[#This Row],[Desc detalle ext 1]]</f>
        <v xml:space="preserve">DIO  110                                          ROJO     </v>
      </c>
      <c r="AA1339" s="128" t="e">
        <f>+VLOOKUP(Tabla3[[#This Row],[CODIGO2]],ESTANDAR!$B$3:$C$9,2,FALSE)</f>
        <v>#N/A</v>
      </c>
      <c r="AB1339" s="128" t="str">
        <f>+MID(Tabla3[[#This Row],['# Viaje]],10,1)</f>
        <v/>
      </c>
    </row>
    <row r="1340" spans="1:28" ht="15" hidden="1" customHeight="1">
      <c r="A1340" s="69" t="s">
        <v>1720</v>
      </c>
      <c r="B1340" s="70">
        <v>42950</v>
      </c>
      <c r="C1340" s="69" t="s">
        <v>1477</v>
      </c>
      <c r="D1340" s="69" t="s">
        <v>1237</v>
      </c>
      <c r="E1340" s="69" t="s">
        <v>1479</v>
      </c>
      <c r="F1340" s="69">
        <v>2</v>
      </c>
      <c r="G1340" s="69" t="s">
        <v>185</v>
      </c>
      <c r="H1340" s="69">
        <v>2</v>
      </c>
      <c r="I1340" s="69" t="s">
        <v>185</v>
      </c>
      <c r="J1340" s="69" t="s">
        <v>1433</v>
      </c>
      <c r="K1340" s="69" t="s">
        <v>1452</v>
      </c>
      <c r="L1340" s="70"/>
      <c r="M1340" s="69" t="s">
        <v>184</v>
      </c>
      <c r="N1340" s="69">
        <v>900599349</v>
      </c>
      <c r="O1340" s="71">
        <v>3521008</v>
      </c>
      <c r="P1340" s="7"/>
      <c r="Q1340" s="16">
        <f>+IF(IFERROR(VLOOKUP(Tabla3[[#This Row],[Cliente factura]],Tabla4[[NIT]:[TOTAL CREDITO]],3,FALSE),0)="",0,IFERROR(VLOOKUP(Tabla3[[#This Row],[Cliente factura]],Tabla4[[NIT]:[TOTAL CREDITO]],3,FALSE),0))</f>
        <v>0</v>
      </c>
      <c r="R1340" s="9">
        <f>+IFERROR(VLOOKUP(Tabla3[[#This Row],[Cliente factura]],Tabla4[[NIT]:[TOTAL CREDITO]],6,FALSE),0)</f>
        <v>0</v>
      </c>
      <c r="S1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0" s="10" t="str">
        <f>VLOOKUP(Tabla3[[#This Row],[Razón social cliente factura]]&amp;Tabla3[[#This Row],[Desc. ciudad]],'Estandar de Rutas'!$C$1:$E$553,2,FALSE)</f>
        <v>7.2</v>
      </c>
      <c r="U1340" s="130">
        <f>IFERROR(VLOOKUP(Tabla3[[#This Row],[Referencia]]&amp;Tabla3[[#This Row],[Desc detalle ext 1]],Tabla1[[Referencia-Color]:[Disponibilidad]],3,FALSE),0)</f>
        <v>0</v>
      </c>
      <c r="V1340" s="13"/>
      <c r="W1340" s="17">
        <f>+Tabla3[[#This Row],[Cant. Programada]]*Tabla3[[#This Row],[Precio unit]]</f>
        <v>0</v>
      </c>
      <c r="X1340" s="8"/>
      <c r="Y1340" s="8"/>
      <c r="Z1340" s="8" t="str">
        <f>+Tabla3[[#This Row],[Referencia]]&amp;Tabla3[[#This Row],[Desc detalle ext 1]]</f>
        <v xml:space="preserve">DIO  110                                          AZUL     </v>
      </c>
      <c r="AA1340" s="128" t="e">
        <f>+VLOOKUP(Tabla3[[#This Row],[CODIGO2]],ESTANDAR!$B$3:$C$9,2,FALSE)</f>
        <v>#N/A</v>
      </c>
      <c r="AB1340" s="128" t="str">
        <f>+MID(Tabla3[[#This Row],['# Viaje]],10,1)</f>
        <v/>
      </c>
    </row>
    <row r="1341" spans="1:28" ht="15" hidden="1" customHeight="1">
      <c r="A1341" s="69" t="s">
        <v>1720</v>
      </c>
      <c r="B1341" s="70">
        <v>42950</v>
      </c>
      <c r="C1341" s="69" t="s">
        <v>1477</v>
      </c>
      <c r="D1341" s="69" t="s">
        <v>1237</v>
      </c>
      <c r="E1341" s="69" t="s">
        <v>1479</v>
      </c>
      <c r="F1341" s="69">
        <v>1</v>
      </c>
      <c r="G1341" s="69" t="s">
        <v>185</v>
      </c>
      <c r="H1341" s="69">
        <v>1</v>
      </c>
      <c r="I1341" s="69" t="s">
        <v>185</v>
      </c>
      <c r="J1341" s="69" t="s">
        <v>1428</v>
      </c>
      <c r="K1341" s="69" t="s">
        <v>32</v>
      </c>
      <c r="L1341" s="70"/>
      <c r="M1341" s="69" t="s">
        <v>184</v>
      </c>
      <c r="N1341" s="69">
        <v>900599349</v>
      </c>
      <c r="O1341" s="71">
        <v>3067227</v>
      </c>
      <c r="P1341" s="7"/>
      <c r="Q1341" s="16">
        <f>+IF(IFERROR(VLOOKUP(Tabla3[[#This Row],[Cliente factura]],Tabla4[[NIT]:[TOTAL CREDITO]],3,FALSE),0)="",0,IFERROR(VLOOKUP(Tabla3[[#This Row],[Cliente factura]],Tabla4[[NIT]:[TOTAL CREDITO]],3,FALSE),0))</f>
        <v>0</v>
      </c>
      <c r="R1341" s="9">
        <f>+IFERROR(VLOOKUP(Tabla3[[#This Row],[Cliente factura]],Tabla4[[NIT]:[TOTAL CREDITO]],6,FALSE),0)</f>
        <v>0</v>
      </c>
      <c r="S1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1" s="10" t="str">
        <f>VLOOKUP(Tabla3[[#This Row],[Razón social cliente factura]]&amp;Tabla3[[#This Row],[Desc. ciudad]],'Estandar de Rutas'!$C$1:$E$553,2,FALSE)</f>
        <v>7.2</v>
      </c>
      <c r="U1341" s="130">
        <f>IFERROR(VLOOKUP(Tabla3[[#This Row],[Referencia]]&amp;Tabla3[[#This Row],[Desc detalle ext 1]],Tabla1[[Referencia-Color]:[Disponibilidad]],3,FALSE),0)</f>
        <v>0</v>
      </c>
      <c r="V1341" s="13"/>
      <c r="W1341" s="17">
        <f>+Tabla3[[#This Row],[Cant. Programada]]*Tabla3[[#This Row],[Precio unit]]</f>
        <v>0</v>
      </c>
      <c r="X1341" s="8"/>
      <c r="Y1341" s="8"/>
      <c r="Z1341" s="8" t="str">
        <f>+Tabla3[[#This Row],[Referencia]]&amp;Tabla3[[#This Row],[Desc detalle ext 1]]</f>
        <v>DREAM  NEO                                        NEGRO ROJ</v>
      </c>
      <c r="AA1341" s="128" t="e">
        <f>+VLOOKUP(Tabla3[[#This Row],[CODIGO2]],ESTANDAR!$B$3:$C$9,2,FALSE)</f>
        <v>#N/A</v>
      </c>
      <c r="AB1341" s="128" t="str">
        <f>+MID(Tabla3[[#This Row],['# Viaje]],10,1)</f>
        <v/>
      </c>
    </row>
    <row r="1342" spans="1:28" ht="15" hidden="1" customHeight="1">
      <c r="A1342" s="69" t="s">
        <v>1720</v>
      </c>
      <c r="B1342" s="70">
        <v>42950</v>
      </c>
      <c r="C1342" s="69" t="s">
        <v>1477</v>
      </c>
      <c r="D1342" s="69" t="s">
        <v>1237</v>
      </c>
      <c r="E1342" s="69" t="s">
        <v>1479</v>
      </c>
      <c r="F1342" s="69">
        <v>1</v>
      </c>
      <c r="G1342" s="69" t="s">
        <v>185</v>
      </c>
      <c r="H1342" s="69">
        <v>1</v>
      </c>
      <c r="I1342" s="69" t="s">
        <v>185</v>
      </c>
      <c r="J1342" s="69" t="s">
        <v>1430</v>
      </c>
      <c r="K1342" s="69" t="s">
        <v>1431</v>
      </c>
      <c r="L1342" s="70"/>
      <c r="M1342" s="69" t="s">
        <v>184</v>
      </c>
      <c r="N1342" s="69">
        <v>900599349</v>
      </c>
      <c r="O1342" s="71">
        <v>3941176</v>
      </c>
      <c r="P1342" s="7"/>
      <c r="Q1342" s="16">
        <f>+IF(IFERROR(VLOOKUP(Tabla3[[#This Row],[Cliente factura]],Tabla4[[NIT]:[TOTAL CREDITO]],3,FALSE),0)="",0,IFERROR(VLOOKUP(Tabla3[[#This Row],[Cliente factura]],Tabla4[[NIT]:[TOTAL CREDITO]],3,FALSE),0))</f>
        <v>0</v>
      </c>
      <c r="R1342" s="9">
        <f>+IFERROR(VLOOKUP(Tabla3[[#This Row],[Cliente factura]],Tabla4[[NIT]:[TOTAL CREDITO]],6,FALSE),0)</f>
        <v>0</v>
      </c>
      <c r="S1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2" s="10" t="str">
        <f>VLOOKUP(Tabla3[[#This Row],[Razón social cliente factura]]&amp;Tabla3[[#This Row],[Desc. ciudad]],'Estandar de Rutas'!$C$1:$E$553,2,FALSE)</f>
        <v>7.2</v>
      </c>
      <c r="U1342" s="130">
        <f>IFERROR(VLOOKUP(Tabla3[[#This Row],[Referencia]]&amp;Tabla3[[#This Row],[Desc detalle ext 1]],Tabla1[[Referencia-Color]:[Disponibilidad]],3,FALSE),0)</f>
        <v>0</v>
      </c>
      <c r="V1342" s="13"/>
      <c r="W1342" s="17">
        <f>+Tabla3[[#This Row],[Cant. Programada]]*Tabla3[[#This Row],[Precio unit]]</f>
        <v>0</v>
      </c>
      <c r="X1342" s="8"/>
      <c r="Y1342" s="8"/>
      <c r="Z1342" s="8" t="str">
        <f>+Tabla3[[#This Row],[Referencia]]&amp;Tabla3[[#This Row],[Desc detalle ext 1]]</f>
        <v xml:space="preserve">WAVE 110S                                         ROJO     </v>
      </c>
      <c r="AA1342" s="128" t="e">
        <f>+VLOOKUP(Tabla3[[#This Row],[CODIGO2]],ESTANDAR!$B$3:$C$9,2,FALSE)</f>
        <v>#N/A</v>
      </c>
      <c r="AB1342" s="128" t="str">
        <f>+MID(Tabla3[[#This Row],['# Viaje]],10,1)</f>
        <v/>
      </c>
    </row>
    <row r="1343" spans="1:28" ht="15" hidden="1" customHeight="1">
      <c r="A1343" s="69" t="s">
        <v>1720</v>
      </c>
      <c r="B1343" s="70">
        <v>42950</v>
      </c>
      <c r="C1343" s="69" t="s">
        <v>1477</v>
      </c>
      <c r="D1343" s="69" t="s">
        <v>1237</v>
      </c>
      <c r="E1343" s="69" t="s">
        <v>1479</v>
      </c>
      <c r="F1343" s="69">
        <v>4</v>
      </c>
      <c r="G1343" s="69" t="s">
        <v>185</v>
      </c>
      <c r="H1343" s="69">
        <v>4</v>
      </c>
      <c r="I1343" s="69" t="s">
        <v>185</v>
      </c>
      <c r="J1343" s="69" t="s">
        <v>1234</v>
      </c>
      <c r="K1343" s="69" t="s">
        <v>17</v>
      </c>
      <c r="L1343" s="70"/>
      <c r="M1343" s="69" t="s">
        <v>184</v>
      </c>
      <c r="N1343" s="69">
        <v>900599349</v>
      </c>
      <c r="O1343" s="71">
        <v>5453782</v>
      </c>
      <c r="P1343" s="7"/>
      <c r="Q1343" s="16">
        <f>+IF(IFERROR(VLOOKUP(Tabla3[[#This Row],[Cliente factura]],Tabla4[[NIT]:[TOTAL CREDITO]],3,FALSE),0)="",0,IFERROR(VLOOKUP(Tabla3[[#This Row],[Cliente factura]],Tabla4[[NIT]:[TOTAL CREDITO]],3,FALSE),0))</f>
        <v>0</v>
      </c>
      <c r="R1343" s="9">
        <f>+IFERROR(VLOOKUP(Tabla3[[#This Row],[Cliente factura]],Tabla4[[NIT]:[TOTAL CREDITO]],6,FALSE),0)</f>
        <v>0</v>
      </c>
      <c r="S1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3" s="10" t="str">
        <f>VLOOKUP(Tabla3[[#This Row],[Razón social cliente factura]]&amp;Tabla3[[#This Row],[Desc. ciudad]],'Estandar de Rutas'!$C$1:$E$553,2,FALSE)</f>
        <v>7.2</v>
      </c>
      <c r="U1343" s="130">
        <f>IFERROR(VLOOKUP(Tabla3[[#This Row],[Referencia]]&amp;Tabla3[[#This Row],[Desc detalle ext 1]],Tabla1[[Referencia-Color]:[Disponibilidad]],3,FALSE),0)</f>
        <v>0</v>
      </c>
      <c r="V1343" s="13"/>
      <c r="W1343" s="17">
        <f>+Tabla3[[#This Row],[Cant. Programada]]*Tabla3[[#This Row],[Precio unit]]</f>
        <v>0</v>
      </c>
      <c r="X1343" s="8"/>
      <c r="Y1343" s="8"/>
      <c r="Z1343" s="8" t="str">
        <f>+Tabla3[[#This Row],[Referencia]]&amp;Tabla3[[#This Row],[Desc detalle ext 1]]</f>
        <v>CB 160F STD                                       ROJO SPOR</v>
      </c>
      <c r="AA1343" s="128" t="e">
        <f>+VLOOKUP(Tabla3[[#This Row],[CODIGO2]],ESTANDAR!$B$3:$C$9,2,FALSE)</f>
        <v>#N/A</v>
      </c>
      <c r="AB1343" s="128" t="str">
        <f>+MID(Tabla3[[#This Row],['# Viaje]],10,1)</f>
        <v/>
      </c>
    </row>
    <row r="1344" spans="1:28" ht="15" hidden="1" customHeight="1">
      <c r="A1344" s="69" t="s">
        <v>1720</v>
      </c>
      <c r="B1344" s="70">
        <v>42950</v>
      </c>
      <c r="C1344" s="69" t="s">
        <v>1477</v>
      </c>
      <c r="D1344" s="69" t="s">
        <v>1237</v>
      </c>
      <c r="E1344" s="69" t="s">
        <v>1479</v>
      </c>
      <c r="F1344" s="69">
        <v>4</v>
      </c>
      <c r="G1344" s="69" t="s">
        <v>185</v>
      </c>
      <c r="H1344" s="69">
        <v>4</v>
      </c>
      <c r="I1344" s="69" t="s">
        <v>185</v>
      </c>
      <c r="J1344" s="69" t="s">
        <v>1234</v>
      </c>
      <c r="K1344" s="69" t="s">
        <v>355</v>
      </c>
      <c r="L1344" s="70"/>
      <c r="M1344" s="69" t="s">
        <v>184</v>
      </c>
      <c r="N1344" s="69">
        <v>900599349</v>
      </c>
      <c r="O1344" s="71">
        <v>5453782</v>
      </c>
      <c r="P1344" s="7"/>
      <c r="Q1344" s="16">
        <f>+IF(IFERROR(VLOOKUP(Tabla3[[#This Row],[Cliente factura]],Tabla4[[NIT]:[TOTAL CREDITO]],3,FALSE),0)="",0,IFERROR(VLOOKUP(Tabla3[[#This Row],[Cliente factura]],Tabla4[[NIT]:[TOTAL CREDITO]],3,FALSE),0))</f>
        <v>0</v>
      </c>
      <c r="R1344" s="9">
        <f>+IFERROR(VLOOKUP(Tabla3[[#This Row],[Cliente factura]],Tabla4[[NIT]:[TOTAL CREDITO]],6,FALSE),0)</f>
        <v>0</v>
      </c>
      <c r="S1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4" s="10" t="str">
        <f>VLOOKUP(Tabla3[[#This Row],[Razón social cliente factura]]&amp;Tabla3[[#This Row],[Desc. ciudad]],'Estandar de Rutas'!$C$1:$E$553,2,FALSE)</f>
        <v>7.2</v>
      </c>
      <c r="U1344" s="130">
        <f>IFERROR(VLOOKUP(Tabla3[[#This Row],[Referencia]]&amp;Tabla3[[#This Row],[Desc detalle ext 1]],Tabla1[[Referencia-Color]:[Disponibilidad]],3,FALSE),0)</f>
        <v>0</v>
      </c>
      <c r="V1344" s="13"/>
      <c r="W1344" s="17">
        <f>+Tabla3[[#This Row],[Cant. Programada]]*Tabla3[[#This Row],[Precio unit]]</f>
        <v>0</v>
      </c>
      <c r="X1344" s="8"/>
      <c r="Y1344" s="8"/>
      <c r="Z1344" s="8" t="str">
        <f>+Tabla3[[#This Row],[Referencia]]&amp;Tabla3[[#This Row],[Desc detalle ext 1]]</f>
        <v>CB 160F STD                                       NEGRO PER</v>
      </c>
      <c r="AA1344" s="128" t="e">
        <f>+VLOOKUP(Tabla3[[#This Row],[CODIGO2]],ESTANDAR!$B$3:$C$9,2,FALSE)</f>
        <v>#N/A</v>
      </c>
      <c r="AB1344" s="128" t="str">
        <f>+MID(Tabla3[[#This Row],['# Viaje]],10,1)</f>
        <v/>
      </c>
    </row>
    <row r="1345" spans="1:28" ht="15" hidden="1" customHeight="1">
      <c r="A1345" s="69" t="s">
        <v>1720</v>
      </c>
      <c r="B1345" s="70">
        <v>42950</v>
      </c>
      <c r="C1345" s="69" t="s">
        <v>1477</v>
      </c>
      <c r="D1345" s="69" t="s">
        <v>1237</v>
      </c>
      <c r="E1345" s="69" t="s">
        <v>1479</v>
      </c>
      <c r="F1345" s="69">
        <v>4</v>
      </c>
      <c r="G1345" s="69" t="s">
        <v>185</v>
      </c>
      <c r="H1345" s="69">
        <v>4</v>
      </c>
      <c r="I1345" s="69" t="s">
        <v>185</v>
      </c>
      <c r="J1345" s="69" t="s">
        <v>1234</v>
      </c>
      <c r="K1345" s="69" t="s">
        <v>44</v>
      </c>
      <c r="L1345" s="70"/>
      <c r="M1345" s="69" t="s">
        <v>184</v>
      </c>
      <c r="N1345" s="69">
        <v>900599349</v>
      </c>
      <c r="O1345" s="71">
        <v>5453782</v>
      </c>
      <c r="P1345" s="7"/>
      <c r="Q1345" s="16">
        <f>+IF(IFERROR(VLOOKUP(Tabla3[[#This Row],[Cliente factura]],Tabla4[[NIT]:[TOTAL CREDITO]],3,FALSE),0)="",0,IFERROR(VLOOKUP(Tabla3[[#This Row],[Cliente factura]],Tabla4[[NIT]:[TOTAL CREDITO]],3,FALSE),0))</f>
        <v>0</v>
      </c>
      <c r="R1345" s="9">
        <f>+IFERROR(VLOOKUP(Tabla3[[#This Row],[Cliente factura]],Tabla4[[NIT]:[TOTAL CREDITO]],6,FALSE),0)</f>
        <v>0</v>
      </c>
      <c r="S1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5" s="10" t="str">
        <f>VLOOKUP(Tabla3[[#This Row],[Razón social cliente factura]]&amp;Tabla3[[#This Row],[Desc. ciudad]],'Estandar de Rutas'!$C$1:$E$553,2,FALSE)</f>
        <v>7.2</v>
      </c>
      <c r="U1345" s="130">
        <f>IFERROR(VLOOKUP(Tabla3[[#This Row],[Referencia]]&amp;Tabla3[[#This Row],[Desc detalle ext 1]],Tabla1[[Referencia-Color]:[Disponibilidad]],3,FALSE),0)</f>
        <v>1</v>
      </c>
      <c r="V1345" s="13"/>
      <c r="W1345" s="17">
        <f>+Tabla3[[#This Row],[Cant. Programada]]*Tabla3[[#This Row],[Precio unit]]</f>
        <v>0</v>
      </c>
      <c r="X1345" s="8"/>
      <c r="Y1345" s="8"/>
      <c r="Z1345" s="8" t="str">
        <f>+Tabla3[[#This Row],[Referencia]]&amp;Tabla3[[#This Row],[Desc detalle ext 1]]</f>
        <v>CB 160F STD                                       BLANCO PE</v>
      </c>
      <c r="AA1345" s="128" t="e">
        <f>+VLOOKUP(Tabla3[[#This Row],[CODIGO2]],ESTANDAR!$B$3:$C$9,2,FALSE)</f>
        <v>#N/A</v>
      </c>
      <c r="AB1345" s="128" t="str">
        <f>+MID(Tabla3[[#This Row],['# Viaje]],10,1)</f>
        <v/>
      </c>
    </row>
    <row r="1346" spans="1:28" ht="15" hidden="1" customHeight="1">
      <c r="A1346" s="69" t="s">
        <v>1720</v>
      </c>
      <c r="B1346" s="70">
        <v>42950</v>
      </c>
      <c r="C1346" s="69" t="s">
        <v>1477</v>
      </c>
      <c r="D1346" s="69" t="s">
        <v>1237</v>
      </c>
      <c r="E1346" s="69" t="s">
        <v>1479</v>
      </c>
      <c r="F1346" s="69">
        <v>2</v>
      </c>
      <c r="G1346" s="69" t="s">
        <v>185</v>
      </c>
      <c r="H1346" s="69">
        <v>2</v>
      </c>
      <c r="I1346" s="69" t="s">
        <v>185</v>
      </c>
      <c r="J1346" s="69" t="s">
        <v>1451</v>
      </c>
      <c r="K1346" s="69" t="s">
        <v>1452</v>
      </c>
      <c r="L1346" s="70"/>
      <c r="M1346" s="69" t="s">
        <v>184</v>
      </c>
      <c r="N1346" s="69">
        <v>900599349</v>
      </c>
      <c r="O1346" s="71">
        <v>3696639</v>
      </c>
      <c r="P1346" s="7"/>
      <c r="Q1346" s="16">
        <f>+IF(IFERROR(VLOOKUP(Tabla3[[#This Row],[Cliente factura]],Tabla4[[NIT]:[TOTAL CREDITO]],3,FALSE),0)="",0,IFERROR(VLOOKUP(Tabla3[[#This Row],[Cliente factura]],Tabla4[[NIT]:[TOTAL CREDITO]],3,FALSE),0))</f>
        <v>0</v>
      </c>
      <c r="R1346" s="9">
        <f>+IFERROR(VLOOKUP(Tabla3[[#This Row],[Cliente factura]],Tabla4[[NIT]:[TOTAL CREDITO]],6,FALSE),0)</f>
        <v>0</v>
      </c>
      <c r="S1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6" s="10" t="str">
        <f>VLOOKUP(Tabla3[[#This Row],[Razón social cliente factura]]&amp;Tabla3[[#This Row],[Desc. ciudad]],'Estandar de Rutas'!$C$1:$E$553,2,FALSE)</f>
        <v>7.2</v>
      </c>
      <c r="U1346" s="130">
        <f>IFERROR(VLOOKUP(Tabla3[[#This Row],[Referencia]]&amp;Tabla3[[#This Row],[Desc detalle ext 1]],Tabla1[[Referencia-Color]:[Disponibilidad]],3,FALSE),0)</f>
        <v>21</v>
      </c>
      <c r="V1346" s="13"/>
      <c r="W1346" s="17">
        <f>+Tabla3[[#This Row],[Cant. Programada]]*Tabla3[[#This Row],[Precio unit]]</f>
        <v>0</v>
      </c>
      <c r="X1346" s="8"/>
      <c r="Y1346" s="8"/>
      <c r="Z1346" s="8" t="str">
        <f>+Tabla3[[#This Row],[Referencia]]&amp;Tabla3[[#This Row],[Desc detalle ext 1]]</f>
        <v xml:space="preserve">CB 110 DLX                                        AZUL     </v>
      </c>
      <c r="AA1346" s="128" t="e">
        <f>+VLOOKUP(Tabla3[[#This Row],[CODIGO2]],ESTANDAR!$B$3:$C$9,2,FALSE)</f>
        <v>#N/A</v>
      </c>
      <c r="AB1346" s="128" t="str">
        <f>+MID(Tabla3[[#This Row],['# Viaje]],10,1)</f>
        <v/>
      </c>
    </row>
    <row r="1347" spans="1:28" ht="15" hidden="1" customHeight="1">
      <c r="A1347" s="69" t="s">
        <v>1720</v>
      </c>
      <c r="B1347" s="70">
        <v>42950</v>
      </c>
      <c r="C1347" s="69" t="s">
        <v>1477</v>
      </c>
      <c r="D1347" s="69" t="s">
        <v>1237</v>
      </c>
      <c r="E1347" s="69" t="s">
        <v>1479</v>
      </c>
      <c r="F1347" s="69">
        <v>2</v>
      </c>
      <c r="G1347" s="69" t="s">
        <v>185</v>
      </c>
      <c r="H1347" s="69">
        <v>2</v>
      </c>
      <c r="I1347" s="69" t="s">
        <v>185</v>
      </c>
      <c r="J1347" s="69" t="s">
        <v>1451</v>
      </c>
      <c r="K1347" s="69" t="s">
        <v>1431</v>
      </c>
      <c r="L1347" s="70"/>
      <c r="M1347" s="69" t="s">
        <v>184</v>
      </c>
      <c r="N1347" s="69">
        <v>900599349</v>
      </c>
      <c r="O1347" s="71">
        <v>3696639</v>
      </c>
      <c r="P1347" s="7"/>
      <c r="Q1347" s="16">
        <f>+IF(IFERROR(VLOOKUP(Tabla3[[#This Row],[Cliente factura]],Tabla4[[NIT]:[TOTAL CREDITO]],3,FALSE),0)="",0,IFERROR(VLOOKUP(Tabla3[[#This Row],[Cliente factura]],Tabla4[[NIT]:[TOTAL CREDITO]],3,FALSE),0))</f>
        <v>0</v>
      </c>
      <c r="R1347" s="9">
        <f>+IFERROR(VLOOKUP(Tabla3[[#This Row],[Cliente factura]],Tabla4[[NIT]:[TOTAL CREDITO]],6,FALSE),0)</f>
        <v>0</v>
      </c>
      <c r="S1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7" s="10" t="str">
        <f>VLOOKUP(Tabla3[[#This Row],[Razón social cliente factura]]&amp;Tabla3[[#This Row],[Desc. ciudad]],'Estandar de Rutas'!$C$1:$E$553,2,FALSE)</f>
        <v>7.2</v>
      </c>
      <c r="U1347" s="130">
        <f>IFERROR(VLOOKUP(Tabla3[[#This Row],[Referencia]]&amp;Tabla3[[#This Row],[Desc detalle ext 1]],Tabla1[[Referencia-Color]:[Disponibilidad]],3,FALSE),0)</f>
        <v>21</v>
      </c>
      <c r="V1347" s="13"/>
      <c r="W1347" s="17">
        <f>+Tabla3[[#This Row],[Cant. Programada]]*Tabla3[[#This Row],[Precio unit]]</f>
        <v>0</v>
      </c>
      <c r="X1347" s="8"/>
      <c r="Y1347" s="8"/>
      <c r="Z1347" s="8" t="str">
        <f>+Tabla3[[#This Row],[Referencia]]&amp;Tabla3[[#This Row],[Desc detalle ext 1]]</f>
        <v xml:space="preserve">CB 110 DLX                                        ROJO     </v>
      </c>
      <c r="AA1347" s="128" t="e">
        <f>+VLOOKUP(Tabla3[[#This Row],[CODIGO2]],ESTANDAR!$B$3:$C$9,2,FALSE)</f>
        <v>#N/A</v>
      </c>
      <c r="AB1347" s="128" t="str">
        <f>+MID(Tabla3[[#This Row],['# Viaje]],10,1)</f>
        <v/>
      </c>
    </row>
    <row r="1348" spans="1:28" ht="15" hidden="1" customHeight="1">
      <c r="A1348" s="69" t="s">
        <v>1721</v>
      </c>
      <c r="B1348" s="70">
        <v>42950</v>
      </c>
      <c r="C1348" s="69" t="s">
        <v>1477</v>
      </c>
      <c r="D1348" s="69" t="s">
        <v>1237</v>
      </c>
      <c r="E1348" s="69" t="s">
        <v>1479</v>
      </c>
      <c r="F1348" s="69">
        <v>1</v>
      </c>
      <c r="G1348" s="69" t="s">
        <v>260</v>
      </c>
      <c r="H1348" s="69">
        <v>1</v>
      </c>
      <c r="I1348" s="69" t="s">
        <v>260</v>
      </c>
      <c r="J1348" s="69" t="s">
        <v>27</v>
      </c>
      <c r="K1348" s="69" t="s">
        <v>32</v>
      </c>
      <c r="L1348" s="70"/>
      <c r="M1348" s="69" t="s">
        <v>261</v>
      </c>
      <c r="N1348" s="69">
        <v>900400965</v>
      </c>
      <c r="O1348" s="71">
        <v>5789916</v>
      </c>
      <c r="P1348" s="7"/>
      <c r="Q1348" s="16">
        <f>+IF(IFERROR(VLOOKUP(Tabla3[[#This Row],[Cliente factura]],Tabla4[[NIT]:[TOTAL CREDITO]],3,FALSE),0)="",0,IFERROR(VLOOKUP(Tabla3[[#This Row],[Cliente factura]],Tabla4[[NIT]:[TOTAL CREDITO]],3,FALSE),0))</f>
        <v>0</v>
      </c>
      <c r="R1348" s="9">
        <f>+IFERROR(VLOOKUP(Tabla3[[#This Row],[Cliente factura]],Tabla4[[NIT]:[TOTAL CREDITO]],6,FALSE),0)</f>
        <v>6817670</v>
      </c>
      <c r="S1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8" s="10" t="str">
        <f>VLOOKUP(Tabla3[[#This Row],[Razón social cliente factura]]&amp;Tabla3[[#This Row],[Desc. ciudad]],'Estandar de Rutas'!$C$1:$E$553,2,FALSE)</f>
        <v>7.2.A</v>
      </c>
      <c r="U1348" s="130">
        <f>IFERROR(VLOOKUP(Tabla3[[#This Row],[Referencia]]&amp;Tabla3[[#This Row],[Desc detalle ext 1]],Tabla1[[Referencia-Color]:[Disponibilidad]],3,FALSE),0)</f>
        <v>7</v>
      </c>
      <c r="V1348" s="13"/>
      <c r="W1348" s="17">
        <f>+Tabla3[[#This Row],[Cant. Programada]]*Tabla3[[#This Row],[Precio unit]]</f>
        <v>0</v>
      </c>
      <c r="X1348" s="8"/>
      <c r="Y1348" s="8"/>
      <c r="Z1348" s="8" t="str">
        <f>+Tabla3[[#This Row],[Referencia]]&amp;Tabla3[[#This Row],[Desc detalle ext 1]]</f>
        <v>*XR 150L                                          NEGRO ROJ</v>
      </c>
      <c r="AA1348" s="128" t="e">
        <f>+VLOOKUP(Tabla3[[#This Row],[CODIGO2]],ESTANDAR!$B$3:$C$9,2,FALSE)</f>
        <v>#N/A</v>
      </c>
      <c r="AB1348" s="128" t="str">
        <f>+MID(Tabla3[[#This Row],['# Viaje]],10,1)</f>
        <v/>
      </c>
    </row>
    <row r="1349" spans="1:28" ht="15" hidden="1" customHeight="1">
      <c r="A1349" s="69" t="s">
        <v>1721</v>
      </c>
      <c r="B1349" s="70">
        <v>42950</v>
      </c>
      <c r="C1349" s="69" t="s">
        <v>1477</v>
      </c>
      <c r="D1349" s="69" t="s">
        <v>1237</v>
      </c>
      <c r="E1349" s="69" t="s">
        <v>1479</v>
      </c>
      <c r="F1349" s="69">
        <v>1</v>
      </c>
      <c r="G1349" s="69" t="s">
        <v>260</v>
      </c>
      <c r="H1349" s="69">
        <v>1</v>
      </c>
      <c r="I1349" s="69" t="s">
        <v>260</v>
      </c>
      <c r="J1349" s="69" t="s">
        <v>10</v>
      </c>
      <c r="K1349" s="69" t="s">
        <v>13</v>
      </c>
      <c r="L1349" s="70"/>
      <c r="M1349" s="69" t="s">
        <v>261</v>
      </c>
      <c r="N1349" s="69">
        <v>900400965</v>
      </c>
      <c r="O1349" s="71">
        <v>7554622</v>
      </c>
      <c r="P1349" s="7"/>
      <c r="Q1349" s="16">
        <f>+IF(IFERROR(VLOOKUP(Tabla3[[#This Row],[Cliente factura]],Tabla4[[NIT]:[TOTAL CREDITO]],3,FALSE),0)="",0,IFERROR(VLOOKUP(Tabla3[[#This Row],[Cliente factura]],Tabla4[[NIT]:[TOTAL CREDITO]],3,FALSE),0))</f>
        <v>0</v>
      </c>
      <c r="R1349" s="9">
        <f>+IFERROR(VLOOKUP(Tabla3[[#This Row],[Cliente factura]],Tabla4[[NIT]:[TOTAL CREDITO]],6,FALSE),0)</f>
        <v>6817670</v>
      </c>
      <c r="S1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9" s="10" t="str">
        <f>VLOOKUP(Tabla3[[#This Row],[Razón social cliente factura]]&amp;Tabla3[[#This Row],[Desc. ciudad]],'Estandar de Rutas'!$C$1:$E$553,2,FALSE)</f>
        <v>7.2.A</v>
      </c>
      <c r="U1349" s="130">
        <f>IFERROR(VLOOKUP(Tabla3[[#This Row],[Referencia]]&amp;Tabla3[[#This Row],[Desc detalle ext 1]],Tabla1[[Referencia-Color]:[Disponibilidad]],3,FALSE),0)</f>
        <v>75</v>
      </c>
      <c r="V1349" s="13"/>
      <c r="W1349" s="17">
        <f>+Tabla3[[#This Row],[Cant. Programada]]*Tabla3[[#This Row],[Precio unit]]</f>
        <v>0</v>
      </c>
      <c r="X1349" s="8"/>
      <c r="Y1349" s="8"/>
      <c r="Z1349" s="8" t="str">
        <f>+Tabla3[[#This Row],[Referencia]]&amp;Tabla3[[#This Row],[Desc detalle ext 1]]</f>
        <v>CB 190R                                           ROJO NEGR</v>
      </c>
      <c r="AA1349" s="128" t="e">
        <f>+VLOOKUP(Tabla3[[#This Row],[CODIGO2]],ESTANDAR!$B$3:$C$9,2,FALSE)</f>
        <v>#N/A</v>
      </c>
      <c r="AB1349" s="128" t="str">
        <f>+MID(Tabla3[[#This Row],['# Viaje]],10,1)</f>
        <v/>
      </c>
    </row>
    <row r="1350" spans="1:28" ht="15" hidden="1" customHeight="1">
      <c r="A1350" s="69" t="s">
        <v>1721</v>
      </c>
      <c r="B1350" s="70">
        <v>42950</v>
      </c>
      <c r="C1350" s="69" t="s">
        <v>1477</v>
      </c>
      <c r="D1350" s="69" t="s">
        <v>1237</v>
      </c>
      <c r="E1350" s="69" t="s">
        <v>1479</v>
      </c>
      <c r="F1350" s="69">
        <v>2</v>
      </c>
      <c r="G1350" s="69" t="s">
        <v>260</v>
      </c>
      <c r="H1350" s="69">
        <v>2</v>
      </c>
      <c r="I1350" s="69" t="s">
        <v>260</v>
      </c>
      <c r="J1350" s="69" t="s">
        <v>1433</v>
      </c>
      <c r="K1350" s="69" t="s">
        <v>1431</v>
      </c>
      <c r="L1350" s="70"/>
      <c r="M1350" s="69" t="s">
        <v>261</v>
      </c>
      <c r="N1350" s="69">
        <v>900400965</v>
      </c>
      <c r="O1350" s="71">
        <v>3521008</v>
      </c>
      <c r="P1350" s="7"/>
      <c r="Q1350" s="16">
        <f>+IF(IFERROR(VLOOKUP(Tabla3[[#This Row],[Cliente factura]],Tabla4[[NIT]:[TOTAL CREDITO]],3,FALSE),0)="",0,IFERROR(VLOOKUP(Tabla3[[#This Row],[Cliente factura]],Tabla4[[NIT]:[TOTAL CREDITO]],3,FALSE),0))</f>
        <v>0</v>
      </c>
      <c r="R1350" s="9">
        <f>+IFERROR(VLOOKUP(Tabla3[[#This Row],[Cliente factura]],Tabla4[[NIT]:[TOTAL CREDITO]],6,FALSE),0)</f>
        <v>6817670</v>
      </c>
      <c r="S1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0" s="10" t="str">
        <f>VLOOKUP(Tabla3[[#This Row],[Razón social cliente factura]]&amp;Tabla3[[#This Row],[Desc. ciudad]],'Estandar de Rutas'!$C$1:$E$553,2,FALSE)</f>
        <v>7.2.A</v>
      </c>
      <c r="U1350" s="130">
        <f>IFERROR(VLOOKUP(Tabla3[[#This Row],[Referencia]]&amp;Tabla3[[#This Row],[Desc detalle ext 1]],Tabla1[[Referencia-Color]:[Disponibilidad]],3,FALSE),0)</f>
        <v>0</v>
      </c>
      <c r="V1350" s="13"/>
      <c r="W1350" s="17">
        <f>+Tabla3[[#This Row],[Cant. Programada]]*Tabla3[[#This Row],[Precio unit]]</f>
        <v>0</v>
      </c>
      <c r="X1350" s="8"/>
      <c r="Y1350" s="8"/>
      <c r="Z1350" s="8" t="str">
        <f>+Tabla3[[#This Row],[Referencia]]&amp;Tabla3[[#This Row],[Desc detalle ext 1]]</f>
        <v xml:space="preserve">DIO  110                                          ROJO     </v>
      </c>
      <c r="AA1350" s="128" t="e">
        <f>+VLOOKUP(Tabla3[[#This Row],[CODIGO2]],ESTANDAR!$B$3:$C$9,2,FALSE)</f>
        <v>#N/A</v>
      </c>
      <c r="AB1350" s="128" t="str">
        <f>+MID(Tabla3[[#This Row],['# Viaje]],10,1)</f>
        <v/>
      </c>
    </row>
    <row r="1351" spans="1:28" ht="15" hidden="1" customHeight="1">
      <c r="A1351" s="69" t="s">
        <v>1721</v>
      </c>
      <c r="B1351" s="70">
        <v>42950</v>
      </c>
      <c r="C1351" s="69" t="s">
        <v>1477</v>
      </c>
      <c r="D1351" s="69" t="s">
        <v>1237</v>
      </c>
      <c r="E1351" s="69" t="s">
        <v>1479</v>
      </c>
      <c r="F1351" s="69">
        <v>1</v>
      </c>
      <c r="G1351" s="69" t="s">
        <v>260</v>
      </c>
      <c r="H1351" s="69">
        <v>1</v>
      </c>
      <c r="I1351" s="69" t="s">
        <v>260</v>
      </c>
      <c r="J1351" s="69" t="s">
        <v>1433</v>
      </c>
      <c r="K1351" s="69" t="s">
        <v>1452</v>
      </c>
      <c r="L1351" s="70"/>
      <c r="M1351" s="69" t="s">
        <v>261</v>
      </c>
      <c r="N1351" s="69">
        <v>900400965</v>
      </c>
      <c r="O1351" s="71">
        <v>3521008</v>
      </c>
      <c r="P1351" s="7"/>
      <c r="Q1351" s="16">
        <f>+IF(IFERROR(VLOOKUP(Tabla3[[#This Row],[Cliente factura]],Tabla4[[NIT]:[TOTAL CREDITO]],3,FALSE),0)="",0,IFERROR(VLOOKUP(Tabla3[[#This Row],[Cliente factura]],Tabla4[[NIT]:[TOTAL CREDITO]],3,FALSE),0))</f>
        <v>0</v>
      </c>
      <c r="R1351" s="9">
        <f>+IFERROR(VLOOKUP(Tabla3[[#This Row],[Cliente factura]],Tabla4[[NIT]:[TOTAL CREDITO]],6,FALSE),0)</f>
        <v>6817670</v>
      </c>
      <c r="S1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1" s="10" t="str">
        <f>VLOOKUP(Tabla3[[#This Row],[Razón social cliente factura]]&amp;Tabla3[[#This Row],[Desc. ciudad]],'Estandar de Rutas'!$C$1:$E$553,2,FALSE)</f>
        <v>7.2.A</v>
      </c>
      <c r="U1351" s="130">
        <f>IFERROR(VLOOKUP(Tabla3[[#This Row],[Referencia]]&amp;Tabla3[[#This Row],[Desc detalle ext 1]],Tabla1[[Referencia-Color]:[Disponibilidad]],3,FALSE),0)</f>
        <v>0</v>
      </c>
      <c r="V1351" s="13"/>
      <c r="W1351" s="17">
        <f>+Tabla3[[#This Row],[Cant. Programada]]*Tabla3[[#This Row],[Precio unit]]</f>
        <v>0</v>
      </c>
      <c r="X1351" s="8"/>
      <c r="Y1351" s="8"/>
      <c r="Z1351" s="8" t="str">
        <f>+Tabla3[[#This Row],[Referencia]]&amp;Tabla3[[#This Row],[Desc detalle ext 1]]</f>
        <v xml:space="preserve">DIO  110                                          AZUL     </v>
      </c>
      <c r="AA1351" s="128" t="e">
        <f>+VLOOKUP(Tabla3[[#This Row],[CODIGO2]],ESTANDAR!$B$3:$C$9,2,FALSE)</f>
        <v>#N/A</v>
      </c>
      <c r="AB1351" s="128" t="str">
        <f>+MID(Tabla3[[#This Row],['# Viaje]],10,1)</f>
        <v/>
      </c>
    </row>
    <row r="1352" spans="1:28" ht="15" hidden="1" customHeight="1">
      <c r="A1352" s="69" t="s">
        <v>1721</v>
      </c>
      <c r="B1352" s="70">
        <v>42950</v>
      </c>
      <c r="C1352" s="69" t="s">
        <v>1477</v>
      </c>
      <c r="D1352" s="69" t="s">
        <v>1237</v>
      </c>
      <c r="E1352" s="69" t="s">
        <v>1479</v>
      </c>
      <c r="F1352" s="69">
        <v>1</v>
      </c>
      <c r="G1352" s="69" t="s">
        <v>260</v>
      </c>
      <c r="H1352" s="69">
        <v>1</v>
      </c>
      <c r="I1352" s="69" t="s">
        <v>260</v>
      </c>
      <c r="J1352" s="69" t="s">
        <v>1451</v>
      </c>
      <c r="K1352" s="69" t="s">
        <v>1449</v>
      </c>
      <c r="L1352" s="70"/>
      <c r="M1352" s="69" t="s">
        <v>261</v>
      </c>
      <c r="N1352" s="69">
        <v>900400965</v>
      </c>
      <c r="O1352" s="71">
        <v>3696639</v>
      </c>
      <c r="P1352" s="7"/>
      <c r="Q1352" s="16">
        <f>+IF(IFERROR(VLOOKUP(Tabla3[[#This Row],[Cliente factura]],Tabla4[[NIT]:[TOTAL CREDITO]],3,FALSE),0)="",0,IFERROR(VLOOKUP(Tabla3[[#This Row],[Cliente factura]],Tabla4[[NIT]:[TOTAL CREDITO]],3,FALSE),0))</f>
        <v>0</v>
      </c>
      <c r="R1352" s="9">
        <f>+IFERROR(VLOOKUP(Tabla3[[#This Row],[Cliente factura]],Tabla4[[NIT]:[TOTAL CREDITO]],6,FALSE),0)</f>
        <v>6817670</v>
      </c>
      <c r="S1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2" s="10" t="str">
        <f>VLOOKUP(Tabla3[[#This Row],[Razón social cliente factura]]&amp;Tabla3[[#This Row],[Desc. ciudad]],'Estandar de Rutas'!$C$1:$E$553,2,FALSE)</f>
        <v>7.2.A</v>
      </c>
      <c r="U1352" s="130">
        <f>IFERROR(VLOOKUP(Tabla3[[#This Row],[Referencia]]&amp;Tabla3[[#This Row],[Desc detalle ext 1]],Tabla1[[Referencia-Color]:[Disponibilidad]],3,FALSE),0)</f>
        <v>24</v>
      </c>
      <c r="V1352" s="13"/>
      <c r="W1352" s="17">
        <f>+Tabla3[[#This Row],[Cant. Programada]]*Tabla3[[#This Row],[Precio unit]]</f>
        <v>0</v>
      </c>
      <c r="X1352" s="8"/>
      <c r="Y1352" s="8"/>
      <c r="Z1352" s="8" t="str">
        <f>+Tabla3[[#This Row],[Referencia]]&amp;Tabla3[[#This Row],[Desc detalle ext 1]]</f>
        <v xml:space="preserve">CB 110 DLX                                        GRIS     </v>
      </c>
      <c r="AA1352" s="128" t="e">
        <f>+VLOOKUP(Tabla3[[#This Row],[CODIGO2]],ESTANDAR!$B$3:$C$9,2,FALSE)</f>
        <v>#N/A</v>
      </c>
      <c r="AB1352" s="128" t="str">
        <f>+MID(Tabla3[[#This Row],['# Viaje]],10,1)</f>
        <v/>
      </c>
    </row>
    <row r="1353" spans="1:28" ht="15" hidden="1" customHeight="1">
      <c r="A1353" s="69" t="s">
        <v>1721</v>
      </c>
      <c r="B1353" s="70">
        <v>42950</v>
      </c>
      <c r="C1353" s="69" t="s">
        <v>1477</v>
      </c>
      <c r="D1353" s="69" t="s">
        <v>1237</v>
      </c>
      <c r="E1353" s="69" t="s">
        <v>1479</v>
      </c>
      <c r="F1353" s="69">
        <v>1</v>
      </c>
      <c r="G1353" s="69" t="s">
        <v>260</v>
      </c>
      <c r="H1353" s="69">
        <v>1</v>
      </c>
      <c r="I1353" s="69" t="s">
        <v>260</v>
      </c>
      <c r="J1353" s="69" t="s">
        <v>1451</v>
      </c>
      <c r="K1353" s="69" t="s">
        <v>1431</v>
      </c>
      <c r="L1353" s="70"/>
      <c r="M1353" s="69" t="s">
        <v>261</v>
      </c>
      <c r="N1353" s="69">
        <v>900400965</v>
      </c>
      <c r="O1353" s="71">
        <v>3696639</v>
      </c>
      <c r="P1353" s="7"/>
      <c r="Q1353" s="16">
        <f>+IF(IFERROR(VLOOKUP(Tabla3[[#This Row],[Cliente factura]],Tabla4[[NIT]:[TOTAL CREDITO]],3,FALSE),0)="",0,IFERROR(VLOOKUP(Tabla3[[#This Row],[Cliente factura]],Tabla4[[NIT]:[TOTAL CREDITO]],3,FALSE),0))</f>
        <v>0</v>
      </c>
      <c r="R1353" s="9">
        <f>+IFERROR(VLOOKUP(Tabla3[[#This Row],[Cliente factura]],Tabla4[[NIT]:[TOTAL CREDITO]],6,FALSE),0)</f>
        <v>6817670</v>
      </c>
      <c r="S1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3" s="10" t="str">
        <f>VLOOKUP(Tabla3[[#This Row],[Razón social cliente factura]]&amp;Tabla3[[#This Row],[Desc. ciudad]],'Estandar de Rutas'!$C$1:$E$553,2,FALSE)</f>
        <v>7.2.A</v>
      </c>
      <c r="U1353" s="130">
        <f>IFERROR(VLOOKUP(Tabla3[[#This Row],[Referencia]]&amp;Tabla3[[#This Row],[Desc detalle ext 1]],Tabla1[[Referencia-Color]:[Disponibilidad]],3,FALSE),0)</f>
        <v>21</v>
      </c>
      <c r="V1353" s="13"/>
      <c r="W1353" s="17">
        <f>+Tabla3[[#This Row],[Cant. Programada]]*Tabla3[[#This Row],[Precio unit]]</f>
        <v>0</v>
      </c>
      <c r="X1353" s="8"/>
      <c r="Y1353" s="8"/>
      <c r="Z1353" s="8" t="str">
        <f>+Tabla3[[#This Row],[Referencia]]&amp;Tabla3[[#This Row],[Desc detalle ext 1]]</f>
        <v xml:space="preserve">CB 110 DLX                                        ROJO     </v>
      </c>
      <c r="AA1353" s="128" t="e">
        <f>+VLOOKUP(Tabla3[[#This Row],[CODIGO2]],ESTANDAR!$B$3:$C$9,2,FALSE)</f>
        <v>#N/A</v>
      </c>
      <c r="AB1353" s="128" t="str">
        <f>+MID(Tabla3[[#This Row],['# Viaje]],10,1)</f>
        <v/>
      </c>
    </row>
    <row r="1354" spans="1:28" ht="15" hidden="1" customHeight="1">
      <c r="A1354" s="69" t="s">
        <v>1721</v>
      </c>
      <c r="B1354" s="70">
        <v>42950</v>
      </c>
      <c r="C1354" s="69" t="s">
        <v>1477</v>
      </c>
      <c r="D1354" s="69" t="s">
        <v>1237</v>
      </c>
      <c r="E1354" s="69" t="s">
        <v>1479</v>
      </c>
      <c r="F1354" s="69">
        <v>1</v>
      </c>
      <c r="G1354" s="69" t="s">
        <v>260</v>
      </c>
      <c r="H1354" s="69">
        <v>1</v>
      </c>
      <c r="I1354" s="69" t="s">
        <v>260</v>
      </c>
      <c r="J1354" s="69" t="s">
        <v>1451</v>
      </c>
      <c r="K1354" s="69" t="s">
        <v>16</v>
      </c>
      <c r="L1354" s="70"/>
      <c r="M1354" s="69" t="s">
        <v>261</v>
      </c>
      <c r="N1354" s="69">
        <v>900400965</v>
      </c>
      <c r="O1354" s="71">
        <v>3696639</v>
      </c>
      <c r="P1354" s="7"/>
      <c r="Q1354" s="16">
        <f>+IF(IFERROR(VLOOKUP(Tabla3[[#This Row],[Cliente factura]],Tabla4[[NIT]:[TOTAL CREDITO]],3,FALSE),0)="",0,IFERROR(VLOOKUP(Tabla3[[#This Row],[Cliente factura]],Tabla4[[NIT]:[TOTAL CREDITO]],3,FALSE),0))</f>
        <v>0</v>
      </c>
      <c r="R1354" s="9">
        <f>+IFERROR(VLOOKUP(Tabla3[[#This Row],[Cliente factura]],Tabla4[[NIT]:[TOTAL CREDITO]],6,FALSE),0)</f>
        <v>6817670</v>
      </c>
      <c r="S1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4" s="10" t="str">
        <f>VLOOKUP(Tabla3[[#This Row],[Razón social cliente factura]]&amp;Tabla3[[#This Row],[Desc. ciudad]],'Estandar de Rutas'!$C$1:$E$553,2,FALSE)</f>
        <v>7.2.A</v>
      </c>
      <c r="U1354" s="130">
        <f>IFERROR(VLOOKUP(Tabla3[[#This Row],[Referencia]]&amp;Tabla3[[#This Row],[Desc detalle ext 1]],Tabla1[[Referencia-Color]:[Disponibilidad]],3,FALSE),0)</f>
        <v>3</v>
      </c>
      <c r="V1354" s="13"/>
      <c r="W1354" s="17">
        <f>+Tabla3[[#This Row],[Cant. Programada]]*Tabla3[[#This Row],[Precio unit]]</f>
        <v>0</v>
      </c>
      <c r="X1354" s="8"/>
      <c r="Y1354" s="8"/>
      <c r="Z1354" s="8" t="str">
        <f>+Tabla3[[#This Row],[Referencia]]&amp;Tabla3[[#This Row],[Desc detalle ext 1]]</f>
        <v xml:space="preserve">CB 110 DLX                                        NEGRO    </v>
      </c>
      <c r="AA1354" s="128" t="e">
        <f>+VLOOKUP(Tabla3[[#This Row],[CODIGO2]],ESTANDAR!$B$3:$C$9,2,FALSE)</f>
        <v>#N/A</v>
      </c>
      <c r="AB1354" s="128" t="str">
        <f>+MID(Tabla3[[#This Row],['# Viaje]],10,1)</f>
        <v/>
      </c>
    </row>
    <row r="1355" spans="1:28" ht="15" hidden="1" customHeight="1">
      <c r="A1355" s="69" t="s">
        <v>1722</v>
      </c>
      <c r="B1355" s="70">
        <v>42950</v>
      </c>
      <c r="C1355" s="69" t="s">
        <v>1231</v>
      </c>
      <c r="D1355" s="69" t="s">
        <v>1237</v>
      </c>
      <c r="E1355" s="69" t="s">
        <v>1479</v>
      </c>
      <c r="F1355" s="69">
        <v>5</v>
      </c>
      <c r="G1355" s="69" t="s">
        <v>71</v>
      </c>
      <c r="H1355" s="69">
        <v>2</v>
      </c>
      <c r="I1355" s="69" t="s">
        <v>72</v>
      </c>
      <c r="J1355" s="69" t="s">
        <v>27</v>
      </c>
      <c r="K1355" s="69" t="s">
        <v>32</v>
      </c>
      <c r="L1355" s="70">
        <v>42951</v>
      </c>
      <c r="M1355" s="69" t="s">
        <v>73</v>
      </c>
      <c r="N1355" s="69">
        <v>16614938</v>
      </c>
      <c r="O1355" s="71">
        <v>5789916</v>
      </c>
      <c r="P1355" s="7"/>
      <c r="Q1355" s="16">
        <f>+IF(IFERROR(VLOOKUP(Tabla3[[#This Row],[Cliente factura]],Tabla4[[NIT]:[TOTAL CREDITO]],3,FALSE),0)="",0,IFERROR(VLOOKUP(Tabla3[[#This Row],[Cliente factura]],Tabla4[[NIT]:[TOTAL CREDITO]],3,FALSE),0))</f>
        <v>47000000</v>
      </c>
      <c r="R1355" s="9">
        <f>+IFERROR(VLOOKUP(Tabla3[[#This Row],[Cliente factura]],Tabla4[[NIT]:[TOTAL CREDITO]],6,FALSE),0)</f>
        <v>325000000</v>
      </c>
      <c r="S1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5" s="10" t="str">
        <f>VLOOKUP(Tabla3[[#This Row],[Razón social cliente factura]]&amp;Tabla3[[#This Row],[Desc. ciudad]],'Estandar de Rutas'!$C$1:$E$553,2,FALSE)</f>
        <v>5.2.A</v>
      </c>
      <c r="U1355" s="130">
        <f>IFERROR(VLOOKUP(Tabla3[[#This Row],[Referencia]]&amp;Tabla3[[#This Row],[Desc detalle ext 1]],Tabla1[[Referencia-Color]:[Disponibilidad]],3,FALSE),0)</f>
        <v>7</v>
      </c>
      <c r="V1355" s="13"/>
      <c r="W1355" s="17">
        <f>+Tabla3[[#This Row],[Cant. Programada]]*Tabla3[[#This Row],[Precio unit]]</f>
        <v>0</v>
      </c>
      <c r="X1355" s="8"/>
      <c r="Y1355" s="8"/>
      <c r="Z1355" s="8" t="str">
        <f>+Tabla3[[#This Row],[Referencia]]&amp;Tabla3[[#This Row],[Desc detalle ext 1]]</f>
        <v>*XR 150L                                          NEGRO ROJ</v>
      </c>
      <c r="AA1355" s="128" t="e">
        <f>+VLOOKUP(Tabla3[[#This Row],[CODIGO2]],ESTANDAR!$B$3:$C$9,2,FALSE)</f>
        <v>#N/A</v>
      </c>
      <c r="AB1355" s="128" t="str">
        <f>+MID(Tabla3[[#This Row],['# Viaje]],10,1)</f>
        <v/>
      </c>
    </row>
    <row r="1356" spans="1:28" ht="15" hidden="1" customHeight="1">
      <c r="A1356" s="69" t="s">
        <v>1722</v>
      </c>
      <c r="B1356" s="70">
        <v>42950</v>
      </c>
      <c r="C1356" s="69" t="s">
        <v>1231</v>
      </c>
      <c r="D1356" s="69" t="s">
        <v>1237</v>
      </c>
      <c r="E1356" s="69" t="s">
        <v>1479</v>
      </c>
      <c r="F1356" s="69">
        <v>8</v>
      </c>
      <c r="G1356" s="69" t="s">
        <v>71</v>
      </c>
      <c r="H1356" s="69">
        <v>2</v>
      </c>
      <c r="I1356" s="69" t="s">
        <v>72</v>
      </c>
      <c r="J1356" s="69" t="s">
        <v>27</v>
      </c>
      <c r="K1356" s="69" t="s">
        <v>16</v>
      </c>
      <c r="L1356" s="70">
        <v>42951</v>
      </c>
      <c r="M1356" s="69" t="s">
        <v>73</v>
      </c>
      <c r="N1356" s="69">
        <v>16614938</v>
      </c>
      <c r="O1356" s="71">
        <v>5789916</v>
      </c>
      <c r="P1356" s="7"/>
      <c r="Q1356" s="16">
        <f>+IF(IFERROR(VLOOKUP(Tabla3[[#This Row],[Cliente factura]],Tabla4[[NIT]:[TOTAL CREDITO]],3,FALSE),0)="",0,IFERROR(VLOOKUP(Tabla3[[#This Row],[Cliente factura]],Tabla4[[NIT]:[TOTAL CREDITO]],3,FALSE),0))</f>
        <v>47000000</v>
      </c>
      <c r="R1356" s="9">
        <f>+IFERROR(VLOOKUP(Tabla3[[#This Row],[Cliente factura]],Tabla4[[NIT]:[TOTAL CREDITO]],6,FALSE),0)</f>
        <v>325000000</v>
      </c>
      <c r="S1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6" s="10" t="str">
        <f>VLOOKUP(Tabla3[[#This Row],[Razón social cliente factura]]&amp;Tabla3[[#This Row],[Desc. ciudad]],'Estandar de Rutas'!$C$1:$E$553,2,FALSE)</f>
        <v>5.2.A</v>
      </c>
      <c r="U1356" s="130">
        <f>IFERROR(VLOOKUP(Tabla3[[#This Row],[Referencia]]&amp;Tabla3[[#This Row],[Desc detalle ext 1]],Tabla1[[Referencia-Color]:[Disponibilidad]],3,FALSE),0)</f>
        <v>3</v>
      </c>
      <c r="V1356" s="13"/>
      <c r="W1356" s="17">
        <f>+Tabla3[[#This Row],[Cant. Programada]]*Tabla3[[#This Row],[Precio unit]]</f>
        <v>0</v>
      </c>
      <c r="X1356" s="8"/>
      <c r="Y1356" s="8"/>
      <c r="Z1356" s="8" t="str">
        <f>+Tabla3[[#This Row],[Referencia]]&amp;Tabla3[[#This Row],[Desc detalle ext 1]]</f>
        <v xml:space="preserve">*XR 150L                                          NEGRO    </v>
      </c>
      <c r="AA1356" s="128" t="e">
        <f>+VLOOKUP(Tabla3[[#This Row],[CODIGO2]],ESTANDAR!$B$3:$C$9,2,FALSE)</f>
        <v>#N/A</v>
      </c>
      <c r="AB1356" s="128" t="str">
        <f>+MID(Tabla3[[#This Row],['# Viaje]],10,1)</f>
        <v/>
      </c>
    </row>
    <row r="1357" spans="1:28" ht="15" hidden="1" customHeight="1">
      <c r="A1357" s="69" t="s">
        <v>1722</v>
      </c>
      <c r="B1357" s="70">
        <v>42950</v>
      </c>
      <c r="C1357" s="69" t="s">
        <v>1231</v>
      </c>
      <c r="D1357" s="69" t="s">
        <v>1237</v>
      </c>
      <c r="E1357" s="69" t="s">
        <v>1479</v>
      </c>
      <c r="F1357" s="69">
        <v>4</v>
      </c>
      <c r="G1357" s="69" t="s">
        <v>71</v>
      </c>
      <c r="H1357" s="69">
        <v>2</v>
      </c>
      <c r="I1357" s="69" t="s">
        <v>72</v>
      </c>
      <c r="J1357" s="69" t="s">
        <v>1428</v>
      </c>
      <c r="K1357" s="69" t="s">
        <v>1461</v>
      </c>
      <c r="L1357" s="70">
        <v>42951</v>
      </c>
      <c r="M1357" s="69" t="s">
        <v>73</v>
      </c>
      <c r="N1357" s="69">
        <v>16614938</v>
      </c>
      <c r="O1357" s="71">
        <v>3067227</v>
      </c>
      <c r="P1357" s="7"/>
      <c r="Q1357" s="16">
        <f>+IF(IFERROR(VLOOKUP(Tabla3[[#This Row],[Cliente factura]],Tabla4[[NIT]:[TOTAL CREDITO]],3,FALSE),0)="",0,IFERROR(VLOOKUP(Tabla3[[#This Row],[Cliente factura]],Tabla4[[NIT]:[TOTAL CREDITO]],3,FALSE),0))</f>
        <v>47000000</v>
      </c>
      <c r="R1357" s="9">
        <f>+IFERROR(VLOOKUP(Tabla3[[#This Row],[Cliente factura]],Tabla4[[NIT]:[TOTAL CREDITO]],6,FALSE),0)</f>
        <v>325000000</v>
      </c>
      <c r="S1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7" s="10" t="str">
        <f>VLOOKUP(Tabla3[[#This Row],[Razón social cliente factura]]&amp;Tabla3[[#This Row],[Desc. ciudad]],'Estandar de Rutas'!$C$1:$E$553,2,FALSE)</f>
        <v>5.2.A</v>
      </c>
      <c r="U1357" s="130">
        <f>IFERROR(VLOOKUP(Tabla3[[#This Row],[Referencia]]&amp;Tabla3[[#This Row],[Desc detalle ext 1]],Tabla1[[Referencia-Color]:[Disponibilidad]],3,FALSE),0)</f>
        <v>0</v>
      </c>
      <c r="V1357" s="13"/>
      <c r="W1357" s="17">
        <f>+Tabla3[[#This Row],[Cant. Programada]]*Tabla3[[#This Row],[Precio unit]]</f>
        <v>0</v>
      </c>
      <c r="X1357" s="8"/>
      <c r="Y1357" s="8"/>
      <c r="Z1357" s="8" t="str">
        <f>+Tabla3[[#This Row],[Referencia]]&amp;Tabla3[[#This Row],[Desc detalle ext 1]]</f>
        <v>DREAM  NEO                                        ROJO ALFA</v>
      </c>
      <c r="AA1357" s="128" t="e">
        <f>+VLOOKUP(Tabla3[[#This Row],[CODIGO2]],ESTANDAR!$B$3:$C$9,2,FALSE)</f>
        <v>#N/A</v>
      </c>
      <c r="AB1357" s="128" t="str">
        <f>+MID(Tabla3[[#This Row],['# Viaje]],10,1)</f>
        <v/>
      </c>
    </row>
    <row r="1358" spans="1:28" ht="15" hidden="1" customHeight="1">
      <c r="A1358" s="69" t="s">
        <v>1723</v>
      </c>
      <c r="B1358" s="70">
        <v>42950</v>
      </c>
      <c r="C1358" s="69" t="s">
        <v>1231</v>
      </c>
      <c r="D1358" s="69" t="s">
        <v>1237</v>
      </c>
      <c r="E1358" s="69" t="s">
        <v>1479</v>
      </c>
      <c r="F1358" s="69">
        <v>4</v>
      </c>
      <c r="G1358" s="69" t="s">
        <v>191</v>
      </c>
      <c r="H1358" s="69">
        <v>4</v>
      </c>
      <c r="I1358" s="69" t="s">
        <v>1724</v>
      </c>
      <c r="J1358" s="69" t="s">
        <v>10</v>
      </c>
      <c r="K1358" s="69" t="s">
        <v>11</v>
      </c>
      <c r="L1358" s="70"/>
      <c r="M1358" s="69" t="s">
        <v>1725</v>
      </c>
      <c r="N1358" s="69">
        <v>19291768</v>
      </c>
      <c r="O1358" s="71">
        <v>7554622</v>
      </c>
      <c r="P1358" s="7"/>
      <c r="Q1358" s="16">
        <f>+IF(IFERROR(VLOOKUP(Tabla3[[#This Row],[Cliente factura]],Tabla4[[NIT]:[TOTAL CREDITO]],3,FALSE),0)="",0,IFERROR(VLOOKUP(Tabla3[[#This Row],[Cliente factura]],Tabla4[[NIT]:[TOTAL CREDITO]],3,FALSE),0))</f>
        <v>11500000</v>
      </c>
      <c r="R1358" s="9">
        <f>+IFERROR(VLOOKUP(Tabla3[[#This Row],[Cliente factura]],Tabla4[[NIT]:[TOTAL CREDITO]],6,FALSE),0)</f>
        <v>67000000</v>
      </c>
      <c r="S1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8" s="10" t="e">
        <f>VLOOKUP(Tabla3[[#This Row],[Razón social cliente factura]]&amp;Tabla3[[#This Row],[Desc. ciudad]],'Estandar de Rutas'!$C$1:$E$553,2,FALSE)</f>
        <v>#N/A</v>
      </c>
      <c r="U1358" s="130">
        <f>IFERROR(VLOOKUP(Tabla3[[#This Row],[Referencia]]&amp;Tabla3[[#This Row],[Desc detalle ext 1]],Tabla1[[Referencia-Color]:[Disponibilidad]],3,FALSE),0)</f>
        <v>0</v>
      </c>
      <c r="V1358" s="13"/>
      <c r="W1358" s="17">
        <f>+Tabla3[[#This Row],[Cant. Programada]]*Tabla3[[#This Row],[Precio unit]]</f>
        <v>0</v>
      </c>
      <c r="X1358" s="8"/>
      <c r="Y1358" s="8"/>
      <c r="Z1358" s="8" t="str">
        <f>+Tabla3[[#This Row],[Referencia]]&amp;Tabla3[[#This Row],[Desc detalle ext 1]]</f>
        <v>CB 190R                                           NEGRO ONI</v>
      </c>
      <c r="AA1358" s="128" t="e">
        <f>+VLOOKUP(Tabla3[[#This Row],[CODIGO2]],ESTANDAR!$B$3:$C$9,2,FALSE)</f>
        <v>#N/A</v>
      </c>
      <c r="AB1358" s="128" t="str">
        <f>+MID(Tabla3[[#This Row],['# Viaje]],10,1)</f>
        <v/>
      </c>
    </row>
    <row r="1359" spans="1:28" ht="15" hidden="1" customHeight="1">
      <c r="A1359" s="69" t="s">
        <v>1723</v>
      </c>
      <c r="B1359" s="70">
        <v>42950</v>
      </c>
      <c r="C1359" s="69" t="s">
        <v>1231</v>
      </c>
      <c r="D1359" s="69" t="s">
        <v>1237</v>
      </c>
      <c r="E1359" s="69" t="s">
        <v>1479</v>
      </c>
      <c r="F1359" s="69">
        <v>1</v>
      </c>
      <c r="G1359" s="69" t="s">
        <v>191</v>
      </c>
      <c r="H1359" s="69">
        <v>1</v>
      </c>
      <c r="I1359" s="69" t="s">
        <v>1724</v>
      </c>
      <c r="J1359" s="69" t="s">
        <v>354</v>
      </c>
      <c r="K1359" s="69" t="s">
        <v>355</v>
      </c>
      <c r="L1359" s="70"/>
      <c r="M1359" s="69" t="s">
        <v>1725</v>
      </c>
      <c r="N1359" s="69">
        <v>19291768</v>
      </c>
      <c r="O1359" s="71">
        <v>6133613</v>
      </c>
      <c r="P1359" s="7"/>
      <c r="Q1359" s="16">
        <f>+IF(IFERROR(VLOOKUP(Tabla3[[#This Row],[Cliente factura]],Tabla4[[NIT]:[TOTAL CREDITO]],3,FALSE),0)="",0,IFERROR(VLOOKUP(Tabla3[[#This Row],[Cliente factura]],Tabla4[[NIT]:[TOTAL CREDITO]],3,FALSE),0))</f>
        <v>11500000</v>
      </c>
      <c r="R1359" s="9">
        <f>+IFERROR(VLOOKUP(Tabla3[[#This Row],[Cliente factura]],Tabla4[[NIT]:[TOTAL CREDITO]],6,FALSE),0)</f>
        <v>67000000</v>
      </c>
      <c r="S1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9" s="10" t="e">
        <f>VLOOKUP(Tabla3[[#This Row],[Razón social cliente factura]]&amp;Tabla3[[#This Row],[Desc. ciudad]],'Estandar de Rutas'!$C$1:$E$553,2,FALSE)</f>
        <v>#N/A</v>
      </c>
      <c r="U1359" s="130">
        <f>IFERROR(VLOOKUP(Tabla3[[#This Row],[Referencia]]&amp;Tabla3[[#This Row],[Desc detalle ext 1]],Tabla1[[Referencia-Color]:[Disponibilidad]],3,FALSE),0)</f>
        <v>0</v>
      </c>
      <c r="V1359" s="13"/>
      <c r="W1359" s="17">
        <f>+Tabla3[[#This Row],[Cant. Programada]]*Tabla3[[#This Row],[Precio unit]]</f>
        <v>0</v>
      </c>
      <c r="X1359" s="8"/>
      <c r="Y1359" s="8"/>
      <c r="Z1359" s="8" t="str">
        <f>+Tabla3[[#This Row],[Referencia]]&amp;Tabla3[[#This Row],[Desc detalle ext 1]]</f>
        <v>CB 160F DLX                                       NEGRO PER</v>
      </c>
      <c r="AA1359" s="128" t="e">
        <f>+VLOOKUP(Tabla3[[#This Row],[CODIGO2]],ESTANDAR!$B$3:$C$9,2,FALSE)</f>
        <v>#N/A</v>
      </c>
      <c r="AB1359" s="128" t="str">
        <f>+MID(Tabla3[[#This Row],['# Viaje]],10,1)</f>
        <v/>
      </c>
    </row>
    <row r="1360" spans="1:28" ht="15" hidden="1" customHeight="1">
      <c r="A1360" s="69" t="s">
        <v>1723</v>
      </c>
      <c r="B1360" s="70">
        <v>42950</v>
      </c>
      <c r="C1360" s="69" t="s">
        <v>1231</v>
      </c>
      <c r="D1360" s="69" t="s">
        <v>1237</v>
      </c>
      <c r="E1360" s="69" t="s">
        <v>1479</v>
      </c>
      <c r="F1360" s="69">
        <v>2</v>
      </c>
      <c r="G1360" s="69" t="s">
        <v>191</v>
      </c>
      <c r="H1360" s="69">
        <v>2</v>
      </c>
      <c r="I1360" s="69" t="s">
        <v>1724</v>
      </c>
      <c r="J1360" s="69" t="s">
        <v>1234</v>
      </c>
      <c r="K1360" s="69" t="s">
        <v>17</v>
      </c>
      <c r="L1360" s="70"/>
      <c r="M1360" s="69" t="s">
        <v>1725</v>
      </c>
      <c r="N1360" s="69">
        <v>19291768</v>
      </c>
      <c r="O1360" s="71">
        <v>5453782</v>
      </c>
      <c r="P1360" s="7"/>
      <c r="Q1360" s="16">
        <f>+IF(IFERROR(VLOOKUP(Tabla3[[#This Row],[Cliente factura]],Tabla4[[NIT]:[TOTAL CREDITO]],3,FALSE),0)="",0,IFERROR(VLOOKUP(Tabla3[[#This Row],[Cliente factura]],Tabla4[[NIT]:[TOTAL CREDITO]],3,FALSE),0))</f>
        <v>11500000</v>
      </c>
      <c r="R1360" s="9">
        <f>+IFERROR(VLOOKUP(Tabla3[[#This Row],[Cliente factura]],Tabla4[[NIT]:[TOTAL CREDITO]],6,FALSE),0)</f>
        <v>67000000</v>
      </c>
      <c r="S1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0" s="10" t="e">
        <f>VLOOKUP(Tabla3[[#This Row],[Razón social cliente factura]]&amp;Tabla3[[#This Row],[Desc. ciudad]],'Estandar de Rutas'!$C$1:$E$553,2,FALSE)</f>
        <v>#N/A</v>
      </c>
      <c r="U1360" s="130">
        <f>IFERROR(VLOOKUP(Tabla3[[#This Row],[Referencia]]&amp;Tabla3[[#This Row],[Desc detalle ext 1]],Tabla1[[Referencia-Color]:[Disponibilidad]],3,FALSE),0)</f>
        <v>0</v>
      </c>
      <c r="V1360" s="13"/>
      <c r="W1360" s="17">
        <f>+Tabla3[[#This Row],[Cant. Programada]]*Tabla3[[#This Row],[Precio unit]]</f>
        <v>0</v>
      </c>
      <c r="X1360" s="8"/>
      <c r="Y1360" s="8"/>
      <c r="Z1360" s="8" t="str">
        <f>+Tabla3[[#This Row],[Referencia]]&amp;Tabla3[[#This Row],[Desc detalle ext 1]]</f>
        <v>CB 160F STD                                       ROJO SPOR</v>
      </c>
      <c r="AA1360" s="128" t="e">
        <f>+VLOOKUP(Tabla3[[#This Row],[CODIGO2]],ESTANDAR!$B$3:$C$9,2,FALSE)</f>
        <v>#N/A</v>
      </c>
      <c r="AB1360" s="128" t="str">
        <f>+MID(Tabla3[[#This Row],['# Viaje]],10,1)</f>
        <v/>
      </c>
    </row>
    <row r="1361" spans="1:28" ht="15" hidden="1" customHeight="1">
      <c r="A1361" s="69" t="s">
        <v>1723</v>
      </c>
      <c r="B1361" s="70">
        <v>42950</v>
      </c>
      <c r="C1361" s="69" t="s">
        <v>1231</v>
      </c>
      <c r="D1361" s="69" t="s">
        <v>1237</v>
      </c>
      <c r="E1361" s="69" t="s">
        <v>1479</v>
      </c>
      <c r="F1361" s="69">
        <v>2</v>
      </c>
      <c r="G1361" s="69" t="s">
        <v>191</v>
      </c>
      <c r="H1361" s="69">
        <v>2</v>
      </c>
      <c r="I1361" s="69" t="s">
        <v>1724</v>
      </c>
      <c r="J1361" s="69" t="s">
        <v>1234</v>
      </c>
      <c r="K1361" s="69" t="s">
        <v>355</v>
      </c>
      <c r="L1361" s="70"/>
      <c r="M1361" s="69" t="s">
        <v>1725</v>
      </c>
      <c r="N1361" s="69">
        <v>19291768</v>
      </c>
      <c r="O1361" s="71">
        <v>5453782</v>
      </c>
      <c r="P1361" s="7"/>
      <c r="Q1361" s="16">
        <f>+IF(IFERROR(VLOOKUP(Tabla3[[#This Row],[Cliente factura]],Tabla4[[NIT]:[TOTAL CREDITO]],3,FALSE),0)="",0,IFERROR(VLOOKUP(Tabla3[[#This Row],[Cliente factura]],Tabla4[[NIT]:[TOTAL CREDITO]],3,FALSE),0))</f>
        <v>11500000</v>
      </c>
      <c r="R1361" s="9">
        <f>+IFERROR(VLOOKUP(Tabla3[[#This Row],[Cliente factura]],Tabla4[[NIT]:[TOTAL CREDITO]],6,FALSE),0)</f>
        <v>67000000</v>
      </c>
      <c r="S1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1" s="10" t="e">
        <f>VLOOKUP(Tabla3[[#This Row],[Razón social cliente factura]]&amp;Tabla3[[#This Row],[Desc. ciudad]],'Estandar de Rutas'!$C$1:$E$553,2,FALSE)</f>
        <v>#N/A</v>
      </c>
      <c r="U1361" s="130">
        <f>IFERROR(VLOOKUP(Tabla3[[#This Row],[Referencia]]&amp;Tabla3[[#This Row],[Desc detalle ext 1]],Tabla1[[Referencia-Color]:[Disponibilidad]],3,FALSE),0)</f>
        <v>0</v>
      </c>
      <c r="V1361" s="13"/>
      <c r="W1361" s="17">
        <f>+Tabla3[[#This Row],[Cant. Programada]]*Tabla3[[#This Row],[Precio unit]]</f>
        <v>0</v>
      </c>
      <c r="X1361" s="8"/>
      <c r="Y1361" s="8"/>
      <c r="Z1361" s="8" t="str">
        <f>+Tabla3[[#This Row],[Referencia]]&amp;Tabla3[[#This Row],[Desc detalle ext 1]]</f>
        <v>CB 160F STD                                       NEGRO PER</v>
      </c>
      <c r="AA1361" s="128" t="e">
        <f>+VLOOKUP(Tabla3[[#This Row],[CODIGO2]],ESTANDAR!$B$3:$C$9,2,FALSE)</f>
        <v>#N/A</v>
      </c>
      <c r="AB1361" s="128" t="str">
        <f>+MID(Tabla3[[#This Row],['# Viaje]],10,1)</f>
        <v/>
      </c>
    </row>
    <row r="1362" spans="1:28" ht="15" hidden="1" customHeight="1">
      <c r="A1362" s="69" t="s">
        <v>1726</v>
      </c>
      <c r="B1362" s="70">
        <v>42950</v>
      </c>
      <c r="C1362" s="69" t="s">
        <v>1231</v>
      </c>
      <c r="D1362" s="69" t="s">
        <v>1237</v>
      </c>
      <c r="E1362" s="69" t="s">
        <v>1479</v>
      </c>
      <c r="F1362" s="69">
        <v>1</v>
      </c>
      <c r="G1362" s="69" t="s">
        <v>1263</v>
      </c>
      <c r="H1362" s="69">
        <v>1</v>
      </c>
      <c r="I1362" s="69" t="s">
        <v>1727</v>
      </c>
      <c r="J1362" s="69" t="s">
        <v>14</v>
      </c>
      <c r="K1362" s="69" t="s">
        <v>16</v>
      </c>
      <c r="L1362" s="70"/>
      <c r="M1362" s="69" t="s">
        <v>332</v>
      </c>
      <c r="N1362" s="69">
        <v>900367920</v>
      </c>
      <c r="O1362" s="71">
        <v>3360504</v>
      </c>
      <c r="P1362" s="7"/>
      <c r="Q1362" s="16">
        <f>+IF(IFERROR(VLOOKUP(Tabla3[[#This Row],[Cliente factura]],Tabla4[[NIT]:[TOTAL CREDITO]],3,FALSE),0)="",0,IFERROR(VLOOKUP(Tabla3[[#This Row],[Cliente factura]],Tabla4[[NIT]:[TOTAL CREDITO]],3,FALSE),0))</f>
        <v>0</v>
      </c>
      <c r="R1362" s="9">
        <f>+IFERROR(VLOOKUP(Tabla3[[#This Row],[Cliente factura]],Tabla4[[NIT]:[TOTAL CREDITO]],6,FALSE),0)</f>
        <v>0</v>
      </c>
      <c r="S1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2" s="10" t="str">
        <f>VLOOKUP(Tabla3[[#This Row],[Razón social cliente factura]]&amp;Tabla3[[#This Row],[Desc. ciudad]],'Estandar de Rutas'!$C$1:$E$553,2,FALSE)</f>
        <v>7.1</v>
      </c>
      <c r="U1362" s="130">
        <f>IFERROR(VLOOKUP(Tabla3[[#This Row],[Referencia]]&amp;Tabla3[[#This Row],[Desc detalle ext 1]],Tabla1[[Referencia-Color]:[Disponibilidad]],3,FALSE),0)</f>
        <v>83</v>
      </c>
      <c r="V1362" s="13"/>
      <c r="W1362" s="17">
        <f>+Tabla3[[#This Row],[Cant. Programada]]*Tabla3[[#This Row],[Precio unit]]</f>
        <v>0</v>
      </c>
      <c r="X1362" s="8"/>
      <c r="Y1362" s="8"/>
      <c r="Z1362" s="8" t="str">
        <f>+Tabla3[[#This Row],[Referencia]]&amp;Tabla3[[#This Row],[Desc detalle ext 1]]</f>
        <v xml:space="preserve">*CB-110                                           NEGRO    </v>
      </c>
      <c r="AA1362" s="128" t="e">
        <f>+VLOOKUP(Tabla3[[#This Row],[CODIGO2]],ESTANDAR!$B$3:$C$9,2,FALSE)</f>
        <v>#N/A</v>
      </c>
      <c r="AB1362" s="128" t="str">
        <f>+MID(Tabla3[[#This Row],['# Viaje]],10,1)</f>
        <v/>
      </c>
    </row>
    <row r="1363" spans="1:28" ht="15" hidden="1" customHeight="1">
      <c r="A1363" s="69" t="s">
        <v>1726</v>
      </c>
      <c r="B1363" s="70">
        <v>42950</v>
      </c>
      <c r="C1363" s="69" t="s">
        <v>1231</v>
      </c>
      <c r="D1363" s="69" t="s">
        <v>1237</v>
      </c>
      <c r="E1363" s="69" t="s">
        <v>1479</v>
      </c>
      <c r="F1363" s="69">
        <v>1</v>
      </c>
      <c r="G1363" s="69" t="s">
        <v>1263</v>
      </c>
      <c r="H1363" s="69">
        <v>1</v>
      </c>
      <c r="I1363" s="69" t="s">
        <v>1727</v>
      </c>
      <c r="J1363" s="69" t="s">
        <v>27</v>
      </c>
      <c r="K1363" s="69" t="s">
        <v>16</v>
      </c>
      <c r="L1363" s="70"/>
      <c r="M1363" s="69" t="s">
        <v>332</v>
      </c>
      <c r="N1363" s="69">
        <v>900367920</v>
      </c>
      <c r="O1363" s="71">
        <v>5789916</v>
      </c>
      <c r="P1363" s="7"/>
      <c r="Q1363" s="16">
        <f>+IF(IFERROR(VLOOKUP(Tabla3[[#This Row],[Cliente factura]],Tabla4[[NIT]:[TOTAL CREDITO]],3,FALSE),0)="",0,IFERROR(VLOOKUP(Tabla3[[#This Row],[Cliente factura]],Tabla4[[NIT]:[TOTAL CREDITO]],3,FALSE),0))</f>
        <v>0</v>
      </c>
      <c r="R1363" s="9">
        <f>+IFERROR(VLOOKUP(Tabla3[[#This Row],[Cliente factura]],Tabla4[[NIT]:[TOTAL CREDITO]],6,FALSE),0)</f>
        <v>0</v>
      </c>
      <c r="S1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3" s="10" t="str">
        <f>VLOOKUP(Tabla3[[#This Row],[Razón social cliente factura]]&amp;Tabla3[[#This Row],[Desc. ciudad]],'Estandar de Rutas'!$C$1:$E$553,2,FALSE)</f>
        <v>7.1</v>
      </c>
      <c r="U1363" s="130">
        <f>IFERROR(VLOOKUP(Tabla3[[#This Row],[Referencia]]&amp;Tabla3[[#This Row],[Desc detalle ext 1]],Tabla1[[Referencia-Color]:[Disponibilidad]],3,FALSE),0)</f>
        <v>3</v>
      </c>
      <c r="V1363" s="13"/>
      <c r="W1363" s="17">
        <f>+Tabla3[[#This Row],[Cant. Programada]]*Tabla3[[#This Row],[Precio unit]]</f>
        <v>0</v>
      </c>
      <c r="X1363" s="8"/>
      <c r="Y1363" s="8"/>
      <c r="Z1363" s="8" t="str">
        <f>+Tabla3[[#This Row],[Referencia]]&amp;Tabla3[[#This Row],[Desc detalle ext 1]]</f>
        <v xml:space="preserve">*XR 150L                                          NEGRO    </v>
      </c>
      <c r="AA1363" s="128" t="e">
        <f>+VLOOKUP(Tabla3[[#This Row],[CODIGO2]],ESTANDAR!$B$3:$C$9,2,FALSE)</f>
        <v>#N/A</v>
      </c>
      <c r="AB1363" s="128" t="str">
        <f>+MID(Tabla3[[#This Row],['# Viaje]],10,1)</f>
        <v/>
      </c>
    </row>
    <row r="1364" spans="1:28" ht="15" hidden="1" customHeight="1">
      <c r="A1364" s="69" t="s">
        <v>1726</v>
      </c>
      <c r="B1364" s="70">
        <v>42950</v>
      </c>
      <c r="C1364" s="69" t="s">
        <v>1231</v>
      </c>
      <c r="D1364" s="69" t="s">
        <v>1237</v>
      </c>
      <c r="E1364" s="69" t="s">
        <v>1479</v>
      </c>
      <c r="F1364" s="69">
        <v>1</v>
      </c>
      <c r="G1364" s="69" t="s">
        <v>1263</v>
      </c>
      <c r="H1364" s="69">
        <v>1</v>
      </c>
      <c r="I1364" s="69" t="s">
        <v>1727</v>
      </c>
      <c r="J1364" s="69" t="s">
        <v>10</v>
      </c>
      <c r="K1364" s="69" t="s">
        <v>13</v>
      </c>
      <c r="L1364" s="70"/>
      <c r="M1364" s="69" t="s">
        <v>332</v>
      </c>
      <c r="N1364" s="69">
        <v>900367920</v>
      </c>
      <c r="O1364" s="71">
        <v>7554622</v>
      </c>
      <c r="P1364" s="7"/>
      <c r="Q1364" s="16">
        <f>+IF(IFERROR(VLOOKUP(Tabla3[[#This Row],[Cliente factura]],Tabla4[[NIT]:[TOTAL CREDITO]],3,FALSE),0)="",0,IFERROR(VLOOKUP(Tabla3[[#This Row],[Cliente factura]],Tabla4[[NIT]:[TOTAL CREDITO]],3,FALSE),0))</f>
        <v>0</v>
      </c>
      <c r="R1364" s="9">
        <f>+IFERROR(VLOOKUP(Tabla3[[#This Row],[Cliente factura]],Tabla4[[NIT]:[TOTAL CREDITO]],6,FALSE),0)</f>
        <v>0</v>
      </c>
      <c r="S1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4" s="10" t="str">
        <f>VLOOKUP(Tabla3[[#This Row],[Razón social cliente factura]]&amp;Tabla3[[#This Row],[Desc. ciudad]],'Estandar de Rutas'!$C$1:$E$553,2,FALSE)</f>
        <v>7.1</v>
      </c>
      <c r="U1364" s="130">
        <f>IFERROR(VLOOKUP(Tabla3[[#This Row],[Referencia]]&amp;Tabla3[[#This Row],[Desc detalle ext 1]],Tabla1[[Referencia-Color]:[Disponibilidad]],3,FALSE),0)</f>
        <v>75</v>
      </c>
      <c r="V1364" s="13"/>
      <c r="W1364" s="17">
        <f>+Tabla3[[#This Row],[Cant. Programada]]*Tabla3[[#This Row],[Precio unit]]</f>
        <v>0</v>
      </c>
      <c r="X1364" s="8"/>
      <c r="Y1364" s="8"/>
      <c r="Z1364" s="8" t="str">
        <f>+Tabla3[[#This Row],[Referencia]]&amp;Tabla3[[#This Row],[Desc detalle ext 1]]</f>
        <v>CB 190R                                           ROJO NEGR</v>
      </c>
      <c r="AA1364" s="128" t="e">
        <f>+VLOOKUP(Tabla3[[#This Row],[CODIGO2]],ESTANDAR!$B$3:$C$9,2,FALSE)</f>
        <v>#N/A</v>
      </c>
      <c r="AB1364" s="128" t="str">
        <f>+MID(Tabla3[[#This Row],['# Viaje]],10,1)</f>
        <v/>
      </c>
    </row>
    <row r="1365" spans="1:28" ht="15" hidden="1" customHeight="1">
      <c r="A1365" s="69" t="s">
        <v>1726</v>
      </c>
      <c r="B1365" s="70">
        <v>42950</v>
      </c>
      <c r="C1365" s="69" t="s">
        <v>1231</v>
      </c>
      <c r="D1365" s="69" t="s">
        <v>1237</v>
      </c>
      <c r="E1365" s="69" t="s">
        <v>1479</v>
      </c>
      <c r="F1365" s="69">
        <v>1</v>
      </c>
      <c r="G1365" s="69" t="s">
        <v>1263</v>
      </c>
      <c r="H1365" s="69">
        <v>1</v>
      </c>
      <c r="I1365" s="69" t="s">
        <v>1727</v>
      </c>
      <c r="J1365" s="69" t="s">
        <v>10</v>
      </c>
      <c r="K1365" s="69" t="s">
        <v>11</v>
      </c>
      <c r="L1365" s="70"/>
      <c r="M1365" s="69" t="s">
        <v>332</v>
      </c>
      <c r="N1365" s="69">
        <v>900367920</v>
      </c>
      <c r="O1365" s="71">
        <v>7554622</v>
      </c>
      <c r="P1365" s="7"/>
      <c r="Q1365" s="16">
        <f>+IF(IFERROR(VLOOKUP(Tabla3[[#This Row],[Cliente factura]],Tabla4[[NIT]:[TOTAL CREDITO]],3,FALSE),0)="",0,IFERROR(VLOOKUP(Tabla3[[#This Row],[Cliente factura]],Tabla4[[NIT]:[TOTAL CREDITO]],3,FALSE),0))</f>
        <v>0</v>
      </c>
      <c r="R1365" s="9">
        <f>+IFERROR(VLOOKUP(Tabla3[[#This Row],[Cliente factura]],Tabla4[[NIT]:[TOTAL CREDITO]],6,FALSE),0)</f>
        <v>0</v>
      </c>
      <c r="S1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5" s="10" t="str">
        <f>VLOOKUP(Tabla3[[#This Row],[Razón social cliente factura]]&amp;Tabla3[[#This Row],[Desc. ciudad]],'Estandar de Rutas'!$C$1:$E$553,2,FALSE)</f>
        <v>7.1</v>
      </c>
      <c r="U1365" s="130">
        <f>IFERROR(VLOOKUP(Tabla3[[#This Row],[Referencia]]&amp;Tabla3[[#This Row],[Desc detalle ext 1]],Tabla1[[Referencia-Color]:[Disponibilidad]],3,FALSE),0)</f>
        <v>0</v>
      </c>
      <c r="V1365" s="13"/>
      <c r="W1365" s="17">
        <f>+Tabla3[[#This Row],[Cant. Programada]]*Tabla3[[#This Row],[Precio unit]]</f>
        <v>0</v>
      </c>
      <c r="X1365" s="8"/>
      <c r="Y1365" s="8"/>
      <c r="Z1365" s="8" t="str">
        <f>+Tabla3[[#This Row],[Referencia]]&amp;Tabla3[[#This Row],[Desc detalle ext 1]]</f>
        <v>CB 190R                                           NEGRO ONI</v>
      </c>
      <c r="AA1365" s="128" t="e">
        <f>+VLOOKUP(Tabla3[[#This Row],[CODIGO2]],ESTANDAR!$B$3:$C$9,2,FALSE)</f>
        <v>#N/A</v>
      </c>
      <c r="AB1365" s="128" t="str">
        <f>+MID(Tabla3[[#This Row],['# Viaje]],10,1)</f>
        <v/>
      </c>
    </row>
    <row r="1366" spans="1:28" ht="15" hidden="1" customHeight="1">
      <c r="A1366" s="69" t="s">
        <v>1726</v>
      </c>
      <c r="B1366" s="70">
        <v>42950</v>
      </c>
      <c r="C1366" s="69" t="s">
        <v>1231</v>
      </c>
      <c r="D1366" s="69" t="s">
        <v>1237</v>
      </c>
      <c r="E1366" s="69" t="s">
        <v>1479</v>
      </c>
      <c r="F1366" s="69">
        <v>2</v>
      </c>
      <c r="G1366" s="69" t="s">
        <v>1263</v>
      </c>
      <c r="H1366" s="69">
        <v>2</v>
      </c>
      <c r="I1366" s="69" t="s">
        <v>1727</v>
      </c>
      <c r="J1366" s="69" t="s">
        <v>1425</v>
      </c>
      <c r="K1366" s="69" t="s">
        <v>1426</v>
      </c>
      <c r="L1366" s="70"/>
      <c r="M1366" s="69" t="s">
        <v>332</v>
      </c>
      <c r="N1366" s="69">
        <v>900367920</v>
      </c>
      <c r="O1366" s="71">
        <v>7730252</v>
      </c>
      <c r="P1366" s="7"/>
      <c r="Q1366" s="16">
        <f>+IF(IFERROR(VLOOKUP(Tabla3[[#This Row],[Cliente factura]],Tabla4[[NIT]:[TOTAL CREDITO]],3,FALSE),0)="",0,IFERROR(VLOOKUP(Tabla3[[#This Row],[Cliente factura]],Tabla4[[NIT]:[TOTAL CREDITO]],3,FALSE),0))</f>
        <v>0</v>
      </c>
      <c r="R1366" s="9">
        <f>+IFERROR(VLOOKUP(Tabla3[[#This Row],[Cliente factura]],Tabla4[[NIT]:[TOTAL CREDITO]],6,FALSE),0)</f>
        <v>0</v>
      </c>
      <c r="S1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6" s="10" t="str">
        <f>VLOOKUP(Tabla3[[#This Row],[Razón social cliente factura]]&amp;Tabla3[[#This Row],[Desc. ciudad]],'Estandar de Rutas'!$C$1:$E$553,2,FALSE)</f>
        <v>7.1</v>
      </c>
      <c r="U1366" s="130">
        <f>IFERROR(VLOOKUP(Tabla3[[#This Row],[Referencia]]&amp;Tabla3[[#This Row],[Desc detalle ext 1]],Tabla1[[Referencia-Color]:[Disponibilidad]],3,FALSE),0)</f>
        <v>104</v>
      </c>
      <c r="V1366" s="13"/>
      <c r="W1366" s="17">
        <f>+Tabla3[[#This Row],[Cant. Programada]]*Tabla3[[#This Row],[Precio unit]]</f>
        <v>0</v>
      </c>
      <c r="X1366" s="8"/>
      <c r="Y1366" s="8"/>
      <c r="Z1366" s="8" t="str">
        <f>+Tabla3[[#This Row],[Referencia]]&amp;Tabla3[[#This Row],[Desc detalle ext 1]]</f>
        <v>CB 190 REPSOL                                     NARANJA B</v>
      </c>
      <c r="AA1366" s="128" t="e">
        <f>+VLOOKUP(Tabla3[[#This Row],[CODIGO2]],ESTANDAR!$B$3:$C$9,2,FALSE)</f>
        <v>#N/A</v>
      </c>
      <c r="AB1366" s="128" t="str">
        <f>+MID(Tabla3[[#This Row],['# Viaje]],10,1)</f>
        <v/>
      </c>
    </row>
    <row r="1367" spans="1:28" ht="15" hidden="1" customHeight="1">
      <c r="A1367" s="69" t="s">
        <v>1726</v>
      </c>
      <c r="B1367" s="70">
        <v>42950</v>
      </c>
      <c r="C1367" s="69" t="s">
        <v>1231</v>
      </c>
      <c r="D1367" s="69" t="s">
        <v>1237</v>
      </c>
      <c r="E1367" s="69" t="s">
        <v>1479</v>
      </c>
      <c r="F1367" s="69">
        <v>1</v>
      </c>
      <c r="G1367" s="69" t="s">
        <v>1263</v>
      </c>
      <c r="H1367" s="69">
        <v>1</v>
      </c>
      <c r="I1367" s="69" t="s">
        <v>1727</v>
      </c>
      <c r="J1367" s="69" t="s">
        <v>354</v>
      </c>
      <c r="K1367" s="69" t="s">
        <v>44</v>
      </c>
      <c r="L1367" s="70"/>
      <c r="M1367" s="69" t="s">
        <v>332</v>
      </c>
      <c r="N1367" s="69">
        <v>900367920</v>
      </c>
      <c r="O1367" s="71">
        <v>6133613</v>
      </c>
      <c r="P1367" s="7"/>
      <c r="Q1367" s="16">
        <f>+IF(IFERROR(VLOOKUP(Tabla3[[#This Row],[Cliente factura]],Tabla4[[NIT]:[TOTAL CREDITO]],3,FALSE),0)="",0,IFERROR(VLOOKUP(Tabla3[[#This Row],[Cliente factura]],Tabla4[[NIT]:[TOTAL CREDITO]],3,FALSE),0))</f>
        <v>0</v>
      </c>
      <c r="R1367" s="9">
        <f>+IFERROR(VLOOKUP(Tabla3[[#This Row],[Cliente factura]],Tabla4[[NIT]:[TOTAL CREDITO]],6,FALSE),0)</f>
        <v>0</v>
      </c>
      <c r="S1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7" s="10" t="str">
        <f>VLOOKUP(Tabla3[[#This Row],[Razón social cliente factura]]&amp;Tabla3[[#This Row],[Desc. ciudad]],'Estandar de Rutas'!$C$1:$E$553,2,FALSE)</f>
        <v>7.1</v>
      </c>
      <c r="U1367" s="130">
        <f>IFERROR(VLOOKUP(Tabla3[[#This Row],[Referencia]]&amp;Tabla3[[#This Row],[Desc detalle ext 1]],Tabla1[[Referencia-Color]:[Disponibilidad]],3,FALSE),0)</f>
        <v>6</v>
      </c>
      <c r="V1367" s="13"/>
      <c r="W1367" s="17">
        <f>+Tabla3[[#This Row],[Cant. Programada]]*Tabla3[[#This Row],[Precio unit]]</f>
        <v>0</v>
      </c>
      <c r="X1367" s="8"/>
      <c r="Y1367" s="8"/>
      <c r="Z1367" s="8" t="str">
        <f>+Tabla3[[#This Row],[Referencia]]&amp;Tabla3[[#This Row],[Desc detalle ext 1]]</f>
        <v>CB 160F DLX                                       BLANCO PE</v>
      </c>
      <c r="AA1367" s="128" t="e">
        <f>+VLOOKUP(Tabla3[[#This Row],[CODIGO2]],ESTANDAR!$B$3:$C$9,2,FALSE)</f>
        <v>#N/A</v>
      </c>
      <c r="AB1367" s="128" t="str">
        <f>+MID(Tabla3[[#This Row],['# Viaje]],10,1)</f>
        <v/>
      </c>
    </row>
    <row r="1368" spans="1:28" ht="15" hidden="1" customHeight="1">
      <c r="A1368" s="69" t="s">
        <v>1726</v>
      </c>
      <c r="B1368" s="70">
        <v>42950</v>
      </c>
      <c r="C1368" s="69" t="s">
        <v>1231</v>
      </c>
      <c r="D1368" s="69" t="s">
        <v>1237</v>
      </c>
      <c r="E1368" s="69" t="s">
        <v>1479</v>
      </c>
      <c r="F1368" s="69">
        <v>1</v>
      </c>
      <c r="G1368" s="69" t="s">
        <v>1263</v>
      </c>
      <c r="H1368" s="69">
        <v>1</v>
      </c>
      <c r="I1368" s="69" t="s">
        <v>1727</v>
      </c>
      <c r="J1368" s="69" t="s">
        <v>354</v>
      </c>
      <c r="K1368" s="69" t="s">
        <v>355</v>
      </c>
      <c r="L1368" s="70"/>
      <c r="M1368" s="69" t="s">
        <v>332</v>
      </c>
      <c r="N1368" s="69">
        <v>900367920</v>
      </c>
      <c r="O1368" s="71">
        <v>6133613</v>
      </c>
      <c r="P1368" s="7"/>
      <c r="Q1368" s="16">
        <f>+IF(IFERROR(VLOOKUP(Tabla3[[#This Row],[Cliente factura]],Tabla4[[NIT]:[TOTAL CREDITO]],3,FALSE),0)="",0,IFERROR(VLOOKUP(Tabla3[[#This Row],[Cliente factura]],Tabla4[[NIT]:[TOTAL CREDITO]],3,FALSE),0))</f>
        <v>0</v>
      </c>
      <c r="R1368" s="9">
        <f>+IFERROR(VLOOKUP(Tabla3[[#This Row],[Cliente factura]],Tabla4[[NIT]:[TOTAL CREDITO]],6,FALSE),0)</f>
        <v>0</v>
      </c>
      <c r="S1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8" s="10" t="str">
        <f>VLOOKUP(Tabla3[[#This Row],[Razón social cliente factura]]&amp;Tabla3[[#This Row],[Desc. ciudad]],'Estandar de Rutas'!$C$1:$E$553,2,FALSE)</f>
        <v>7.1</v>
      </c>
      <c r="U1368" s="130">
        <f>IFERROR(VLOOKUP(Tabla3[[#This Row],[Referencia]]&amp;Tabla3[[#This Row],[Desc detalle ext 1]],Tabla1[[Referencia-Color]:[Disponibilidad]],3,FALSE),0)</f>
        <v>0</v>
      </c>
      <c r="V1368" s="13"/>
      <c r="W1368" s="17">
        <f>+Tabla3[[#This Row],[Cant. Programada]]*Tabla3[[#This Row],[Precio unit]]</f>
        <v>0</v>
      </c>
      <c r="X1368" s="8"/>
      <c r="Y1368" s="8"/>
      <c r="Z1368" s="8" t="str">
        <f>+Tabla3[[#This Row],[Referencia]]&amp;Tabla3[[#This Row],[Desc detalle ext 1]]</f>
        <v>CB 160F DLX                                       NEGRO PER</v>
      </c>
      <c r="AA1368" s="128" t="e">
        <f>+VLOOKUP(Tabla3[[#This Row],[CODIGO2]],ESTANDAR!$B$3:$C$9,2,FALSE)</f>
        <v>#N/A</v>
      </c>
      <c r="AB1368" s="128" t="str">
        <f>+MID(Tabla3[[#This Row],['# Viaje]],10,1)</f>
        <v/>
      </c>
    </row>
    <row r="1369" spans="1:28" ht="15" hidden="1" customHeight="1">
      <c r="A1369" s="69" t="s">
        <v>1726</v>
      </c>
      <c r="B1369" s="70">
        <v>42950</v>
      </c>
      <c r="C1369" s="69" t="s">
        <v>1231</v>
      </c>
      <c r="D1369" s="69" t="s">
        <v>1237</v>
      </c>
      <c r="E1369" s="69" t="s">
        <v>1479</v>
      </c>
      <c r="F1369" s="69">
        <v>1</v>
      </c>
      <c r="G1369" s="69" t="s">
        <v>1263</v>
      </c>
      <c r="H1369" s="69">
        <v>1</v>
      </c>
      <c r="I1369" s="69" t="s">
        <v>1727</v>
      </c>
      <c r="J1369" s="69" t="s">
        <v>1430</v>
      </c>
      <c r="K1369" s="69" t="s">
        <v>16</v>
      </c>
      <c r="L1369" s="70"/>
      <c r="M1369" s="69" t="s">
        <v>332</v>
      </c>
      <c r="N1369" s="69">
        <v>900367920</v>
      </c>
      <c r="O1369" s="71">
        <v>3941176</v>
      </c>
      <c r="P1369" s="7"/>
      <c r="Q1369" s="16">
        <f>+IF(IFERROR(VLOOKUP(Tabla3[[#This Row],[Cliente factura]],Tabla4[[NIT]:[TOTAL CREDITO]],3,FALSE),0)="",0,IFERROR(VLOOKUP(Tabla3[[#This Row],[Cliente factura]],Tabla4[[NIT]:[TOTAL CREDITO]],3,FALSE),0))</f>
        <v>0</v>
      </c>
      <c r="R1369" s="9">
        <f>+IFERROR(VLOOKUP(Tabla3[[#This Row],[Cliente factura]],Tabla4[[NIT]:[TOTAL CREDITO]],6,FALSE),0)</f>
        <v>0</v>
      </c>
      <c r="S1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9" s="10" t="str">
        <f>VLOOKUP(Tabla3[[#This Row],[Razón social cliente factura]]&amp;Tabla3[[#This Row],[Desc. ciudad]],'Estandar de Rutas'!$C$1:$E$553,2,FALSE)</f>
        <v>7.1</v>
      </c>
      <c r="U1369" s="130">
        <f>IFERROR(VLOOKUP(Tabla3[[#This Row],[Referencia]]&amp;Tabla3[[#This Row],[Desc detalle ext 1]],Tabla1[[Referencia-Color]:[Disponibilidad]],3,FALSE),0)</f>
        <v>0</v>
      </c>
      <c r="V1369" s="13"/>
      <c r="W1369" s="17">
        <f>+Tabla3[[#This Row],[Cant. Programada]]*Tabla3[[#This Row],[Precio unit]]</f>
        <v>0</v>
      </c>
      <c r="X1369" s="8"/>
      <c r="Y1369" s="8"/>
      <c r="Z1369" s="8" t="str">
        <f>+Tabla3[[#This Row],[Referencia]]&amp;Tabla3[[#This Row],[Desc detalle ext 1]]</f>
        <v xml:space="preserve">WAVE 110S                                         NEGRO    </v>
      </c>
      <c r="AA1369" s="128" t="e">
        <f>+VLOOKUP(Tabla3[[#This Row],[CODIGO2]],ESTANDAR!$B$3:$C$9,2,FALSE)</f>
        <v>#N/A</v>
      </c>
      <c r="AB1369" s="128" t="str">
        <f>+MID(Tabla3[[#This Row],['# Viaje]],10,1)</f>
        <v/>
      </c>
    </row>
    <row r="1370" spans="1:28" ht="15" hidden="1" customHeight="1">
      <c r="A1370" s="69" t="s">
        <v>1726</v>
      </c>
      <c r="B1370" s="70">
        <v>42950</v>
      </c>
      <c r="C1370" s="69" t="s">
        <v>1231</v>
      </c>
      <c r="D1370" s="69" t="s">
        <v>1237</v>
      </c>
      <c r="E1370" s="69" t="s">
        <v>1479</v>
      </c>
      <c r="F1370" s="69">
        <v>1</v>
      </c>
      <c r="G1370" s="69" t="s">
        <v>1263</v>
      </c>
      <c r="H1370" s="69">
        <v>1</v>
      </c>
      <c r="I1370" s="69" t="s">
        <v>1727</v>
      </c>
      <c r="J1370" s="69" t="s">
        <v>1234</v>
      </c>
      <c r="K1370" s="69" t="s">
        <v>17</v>
      </c>
      <c r="L1370" s="70"/>
      <c r="M1370" s="69" t="s">
        <v>332</v>
      </c>
      <c r="N1370" s="69">
        <v>900367920</v>
      </c>
      <c r="O1370" s="71">
        <v>5453782</v>
      </c>
      <c r="P1370" s="7"/>
      <c r="Q1370" s="16">
        <f>+IF(IFERROR(VLOOKUP(Tabla3[[#This Row],[Cliente factura]],Tabla4[[NIT]:[TOTAL CREDITO]],3,FALSE),0)="",0,IFERROR(VLOOKUP(Tabla3[[#This Row],[Cliente factura]],Tabla4[[NIT]:[TOTAL CREDITO]],3,FALSE),0))</f>
        <v>0</v>
      </c>
      <c r="R1370" s="9">
        <f>+IFERROR(VLOOKUP(Tabla3[[#This Row],[Cliente factura]],Tabla4[[NIT]:[TOTAL CREDITO]],6,FALSE),0)</f>
        <v>0</v>
      </c>
      <c r="S1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0" s="10" t="str">
        <f>VLOOKUP(Tabla3[[#This Row],[Razón social cliente factura]]&amp;Tabla3[[#This Row],[Desc. ciudad]],'Estandar de Rutas'!$C$1:$E$553,2,FALSE)</f>
        <v>7.1</v>
      </c>
      <c r="U1370" s="130">
        <f>IFERROR(VLOOKUP(Tabla3[[#This Row],[Referencia]]&amp;Tabla3[[#This Row],[Desc detalle ext 1]],Tabla1[[Referencia-Color]:[Disponibilidad]],3,FALSE),0)</f>
        <v>0</v>
      </c>
      <c r="V1370" s="13"/>
      <c r="W1370" s="17">
        <f>+Tabla3[[#This Row],[Cant. Programada]]*Tabla3[[#This Row],[Precio unit]]</f>
        <v>0</v>
      </c>
      <c r="X1370" s="8"/>
      <c r="Y1370" s="8"/>
      <c r="Z1370" s="8" t="str">
        <f>+Tabla3[[#This Row],[Referencia]]&amp;Tabla3[[#This Row],[Desc detalle ext 1]]</f>
        <v>CB 160F STD                                       ROJO SPOR</v>
      </c>
      <c r="AA1370" s="128" t="e">
        <f>+VLOOKUP(Tabla3[[#This Row],[CODIGO2]],ESTANDAR!$B$3:$C$9,2,FALSE)</f>
        <v>#N/A</v>
      </c>
      <c r="AB1370" s="128" t="str">
        <f>+MID(Tabla3[[#This Row],['# Viaje]],10,1)</f>
        <v/>
      </c>
    </row>
    <row r="1371" spans="1:28" ht="15" hidden="1" customHeight="1">
      <c r="A1371" s="69" t="s">
        <v>1726</v>
      </c>
      <c r="B1371" s="70">
        <v>42950</v>
      </c>
      <c r="C1371" s="69" t="s">
        <v>1231</v>
      </c>
      <c r="D1371" s="69" t="s">
        <v>1237</v>
      </c>
      <c r="E1371" s="69" t="s">
        <v>1479</v>
      </c>
      <c r="F1371" s="69">
        <v>2</v>
      </c>
      <c r="G1371" s="69" t="s">
        <v>1263</v>
      </c>
      <c r="H1371" s="69">
        <v>2</v>
      </c>
      <c r="I1371" s="69" t="s">
        <v>1727</v>
      </c>
      <c r="J1371" s="69" t="s">
        <v>1234</v>
      </c>
      <c r="K1371" s="69" t="s">
        <v>355</v>
      </c>
      <c r="L1371" s="70"/>
      <c r="M1371" s="69" t="s">
        <v>332</v>
      </c>
      <c r="N1371" s="69">
        <v>900367920</v>
      </c>
      <c r="O1371" s="71">
        <v>5453782</v>
      </c>
      <c r="P1371" s="7"/>
      <c r="Q1371" s="16">
        <f>+IF(IFERROR(VLOOKUP(Tabla3[[#This Row],[Cliente factura]],Tabla4[[NIT]:[TOTAL CREDITO]],3,FALSE),0)="",0,IFERROR(VLOOKUP(Tabla3[[#This Row],[Cliente factura]],Tabla4[[NIT]:[TOTAL CREDITO]],3,FALSE),0))</f>
        <v>0</v>
      </c>
      <c r="R1371" s="9">
        <f>+IFERROR(VLOOKUP(Tabla3[[#This Row],[Cliente factura]],Tabla4[[NIT]:[TOTAL CREDITO]],6,FALSE),0)</f>
        <v>0</v>
      </c>
      <c r="S1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1" s="10" t="str">
        <f>VLOOKUP(Tabla3[[#This Row],[Razón social cliente factura]]&amp;Tabla3[[#This Row],[Desc. ciudad]],'Estandar de Rutas'!$C$1:$E$553,2,FALSE)</f>
        <v>7.1</v>
      </c>
      <c r="U1371" s="130">
        <f>IFERROR(VLOOKUP(Tabla3[[#This Row],[Referencia]]&amp;Tabla3[[#This Row],[Desc detalle ext 1]],Tabla1[[Referencia-Color]:[Disponibilidad]],3,FALSE),0)</f>
        <v>0</v>
      </c>
      <c r="V1371" s="13"/>
      <c r="W1371" s="17">
        <f>+Tabla3[[#This Row],[Cant. Programada]]*Tabla3[[#This Row],[Precio unit]]</f>
        <v>0</v>
      </c>
      <c r="X1371" s="8"/>
      <c r="Y1371" s="8"/>
      <c r="Z1371" s="8" t="str">
        <f>+Tabla3[[#This Row],[Referencia]]&amp;Tabla3[[#This Row],[Desc detalle ext 1]]</f>
        <v>CB 160F STD                                       NEGRO PER</v>
      </c>
      <c r="AA1371" s="128" t="e">
        <f>+VLOOKUP(Tabla3[[#This Row],[CODIGO2]],ESTANDAR!$B$3:$C$9,2,FALSE)</f>
        <v>#N/A</v>
      </c>
      <c r="AB1371" s="128" t="str">
        <f>+MID(Tabla3[[#This Row],['# Viaje]],10,1)</f>
        <v/>
      </c>
    </row>
    <row r="1372" spans="1:28" ht="15" hidden="1" customHeight="1">
      <c r="A1372" s="69" t="s">
        <v>1726</v>
      </c>
      <c r="B1372" s="70">
        <v>42950</v>
      </c>
      <c r="C1372" s="69" t="s">
        <v>1231</v>
      </c>
      <c r="D1372" s="69" t="s">
        <v>1237</v>
      </c>
      <c r="E1372" s="69" t="s">
        <v>1479</v>
      </c>
      <c r="F1372" s="69">
        <v>1</v>
      </c>
      <c r="G1372" s="69" t="s">
        <v>1263</v>
      </c>
      <c r="H1372" s="69">
        <v>1</v>
      </c>
      <c r="I1372" s="69" t="s">
        <v>1727</v>
      </c>
      <c r="J1372" s="69" t="s">
        <v>1451</v>
      </c>
      <c r="K1372" s="69" t="s">
        <v>1452</v>
      </c>
      <c r="L1372" s="70"/>
      <c r="M1372" s="69" t="s">
        <v>332</v>
      </c>
      <c r="N1372" s="69">
        <v>900367920</v>
      </c>
      <c r="O1372" s="71">
        <v>3696639</v>
      </c>
      <c r="P1372" s="7"/>
      <c r="Q1372" s="16">
        <f>+IF(IFERROR(VLOOKUP(Tabla3[[#This Row],[Cliente factura]],Tabla4[[NIT]:[TOTAL CREDITO]],3,FALSE),0)="",0,IFERROR(VLOOKUP(Tabla3[[#This Row],[Cliente factura]],Tabla4[[NIT]:[TOTAL CREDITO]],3,FALSE),0))</f>
        <v>0</v>
      </c>
      <c r="R1372" s="9">
        <f>+IFERROR(VLOOKUP(Tabla3[[#This Row],[Cliente factura]],Tabla4[[NIT]:[TOTAL CREDITO]],6,FALSE),0)</f>
        <v>0</v>
      </c>
      <c r="S1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2" s="10" t="str">
        <f>VLOOKUP(Tabla3[[#This Row],[Razón social cliente factura]]&amp;Tabla3[[#This Row],[Desc. ciudad]],'Estandar de Rutas'!$C$1:$E$553,2,FALSE)</f>
        <v>7.1</v>
      </c>
      <c r="U1372" s="130">
        <f>IFERROR(VLOOKUP(Tabla3[[#This Row],[Referencia]]&amp;Tabla3[[#This Row],[Desc detalle ext 1]],Tabla1[[Referencia-Color]:[Disponibilidad]],3,FALSE),0)</f>
        <v>21</v>
      </c>
      <c r="V1372" s="13"/>
      <c r="W1372" s="17">
        <f>+Tabla3[[#This Row],[Cant. Programada]]*Tabla3[[#This Row],[Precio unit]]</f>
        <v>0</v>
      </c>
      <c r="X1372" s="8"/>
      <c r="Y1372" s="8"/>
      <c r="Z1372" s="8" t="str">
        <f>+Tabla3[[#This Row],[Referencia]]&amp;Tabla3[[#This Row],[Desc detalle ext 1]]</f>
        <v xml:space="preserve">CB 110 DLX                                        AZUL     </v>
      </c>
      <c r="AA1372" s="128" t="e">
        <f>+VLOOKUP(Tabla3[[#This Row],[CODIGO2]],ESTANDAR!$B$3:$C$9,2,FALSE)</f>
        <v>#N/A</v>
      </c>
      <c r="AB1372" s="128" t="str">
        <f>+MID(Tabla3[[#This Row],['# Viaje]],10,1)</f>
        <v/>
      </c>
    </row>
    <row r="1373" spans="1:28" ht="15" hidden="1" customHeight="1">
      <c r="A1373" s="69" t="s">
        <v>1728</v>
      </c>
      <c r="B1373" s="70">
        <v>42950</v>
      </c>
      <c r="C1373" s="69" t="s">
        <v>1231</v>
      </c>
      <c r="D1373" s="69" t="s">
        <v>1237</v>
      </c>
      <c r="E1373" s="69" t="s">
        <v>1479</v>
      </c>
      <c r="F1373" s="69">
        <v>1</v>
      </c>
      <c r="G1373" s="69" t="s">
        <v>1263</v>
      </c>
      <c r="H1373" s="69">
        <v>1</v>
      </c>
      <c r="I1373" s="69" t="s">
        <v>1729</v>
      </c>
      <c r="J1373" s="69" t="s">
        <v>14</v>
      </c>
      <c r="K1373" s="69" t="s">
        <v>16</v>
      </c>
      <c r="L1373" s="70"/>
      <c r="M1373" s="69" t="s">
        <v>100</v>
      </c>
      <c r="N1373" s="69">
        <v>900367920</v>
      </c>
      <c r="O1373" s="71">
        <v>3360504</v>
      </c>
      <c r="P1373" s="7"/>
      <c r="Q1373" s="16">
        <f>+IF(IFERROR(VLOOKUP(Tabla3[[#This Row],[Cliente factura]],Tabla4[[NIT]:[TOTAL CREDITO]],3,FALSE),0)="",0,IFERROR(VLOOKUP(Tabla3[[#This Row],[Cliente factura]],Tabla4[[NIT]:[TOTAL CREDITO]],3,FALSE),0))</f>
        <v>0</v>
      </c>
      <c r="R1373" s="9">
        <f>+IFERROR(VLOOKUP(Tabla3[[#This Row],[Cliente factura]],Tabla4[[NIT]:[TOTAL CREDITO]],6,FALSE),0)</f>
        <v>0</v>
      </c>
      <c r="S1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3" s="10" t="str">
        <f>VLOOKUP(Tabla3[[#This Row],[Razón social cliente factura]]&amp;Tabla3[[#This Row],[Desc. ciudad]],'Estandar de Rutas'!$C$1:$E$553,2,FALSE)</f>
        <v>7.2.B</v>
      </c>
      <c r="U1373" s="130">
        <f>IFERROR(VLOOKUP(Tabla3[[#This Row],[Referencia]]&amp;Tabla3[[#This Row],[Desc detalle ext 1]],Tabla1[[Referencia-Color]:[Disponibilidad]],3,FALSE),0)</f>
        <v>83</v>
      </c>
      <c r="V1373" s="13"/>
      <c r="W1373" s="17">
        <f>+Tabla3[[#This Row],[Cant. Programada]]*Tabla3[[#This Row],[Precio unit]]</f>
        <v>0</v>
      </c>
      <c r="X1373" s="8"/>
      <c r="Y1373" s="8"/>
      <c r="Z1373" s="8" t="str">
        <f>+Tabla3[[#This Row],[Referencia]]&amp;Tabla3[[#This Row],[Desc detalle ext 1]]</f>
        <v xml:space="preserve">*CB-110                                           NEGRO    </v>
      </c>
      <c r="AA1373" s="128" t="e">
        <f>+VLOOKUP(Tabla3[[#This Row],[CODIGO2]],ESTANDAR!$B$3:$C$9,2,FALSE)</f>
        <v>#N/A</v>
      </c>
      <c r="AB1373" s="128" t="str">
        <f>+MID(Tabla3[[#This Row],['# Viaje]],10,1)</f>
        <v/>
      </c>
    </row>
    <row r="1374" spans="1:28" ht="15" hidden="1" customHeight="1">
      <c r="A1374" s="69" t="s">
        <v>1728</v>
      </c>
      <c r="B1374" s="70">
        <v>42950</v>
      </c>
      <c r="C1374" s="69" t="s">
        <v>1231</v>
      </c>
      <c r="D1374" s="69" t="s">
        <v>1237</v>
      </c>
      <c r="E1374" s="69" t="s">
        <v>1479</v>
      </c>
      <c r="F1374" s="69">
        <v>1</v>
      </c>
      <c r="G1374" s="69" t="s">
        <v>1263</v>
      </c>
      <c r="H1374" s="69">
        <v>1</v>
      </c>
      <c r="I1374" s="69" t="s">
        <v>1729</v>
      </c>
      <c r="J1374" s="69" t="s">
        <v>27</v>
      </c>
      <c r="K1374" s="69" t="s">
        <v>32</v>
      </c>
      <c r="L1374" s="70"/>
      <c r="M1374" s="69" t="s">
        <v>100</v>
      </c>
      <c r="N1374" s="69">
        <v>900367920</v>
      </c>
      <c r="O1374" s="71">
        <v>5789916</v>
      </c>
      <c r="P1374" s="7"/>
      <c r="Q1374" s="16">
        <f>+IF(IFERROR(VLOOKUP(Tabla3[[#This Row],[Cliente factura]],Tabla4[[NIT]:[TOTAL CREDITO]],3,FALSE),0)="",0,IFERROR(VLOOKUP(Tabla3[[#This Row],[Cliente factura]],Tabla4[[NIT]:[TOTAL CREDITO]],3,FALSE),0))</f>
        <v>0</v>
      </c>
      <c r="R1374" s="9">
        <f>+IFERROR(VLOOKUP(Tabla3[[#This Row],[Cliente factura]],Tabla4[[NIT]:[TOTAL CREDITO]],6,FALSE),0)</f>
        <v>0</v>
      </c>
      <c r="S1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4" s="10" t="str">
        <f>VLOOKUP(Tabla3[[#This Row],[Razón social cliente factura]]&amp;Tabla3[[#This Row],[Desc. ciudad]],'Estandar de Rutas'!$C$1:$E$553,2,FALSE)</f>
        <v>7.2.B</v>
      </c>
      <c r="U1374" s="130">
        <f>IFERROR(VLOOKUP(Tabla3[[#This Row],[Referencia]]&amp;Tabla3[[#This Row],[Desc detalle ext 1]],Tabla1[[Referencia-Color]:[Disponibilidad]],3,FALSE),0)</f>
        <v>7</v>
      </c>
      <c r="V1374" s="13"/>
      <c r="W1374" s="17">
        <f>+Tabla3[[#This Row],[Cant. Programada]]*Tabla3[[#This Row],[Precio unit]]</f>
        <v>0</v>
      </c>
      <c r="X1374" s="8"/>
      <c r="Y1374" s="8"/>
      <c r="Z1374" s="8" t="str">
        <f>+Tabla3[[#This Row],[Referencia]]&amp;Tabla3[[#This Row],[Desc detalle ext 1]]</f>
        <v>*XR 150L                                          NEGRO ROJ</v>
      </c>
      <c r="AA1374" s="128" t="e">
        <f>+VLOOKUP(Tabla3[[#This Row],[CODIGO2]],ESTANDAR!$B$3:$C$9,2,FALSE)</f>
        <v>#N/A</v>
      </c>
      <c r="AB1374" s="128" t="str">
        <f>+MID(Tabla3[[#This Row],['# Viaje]],10,1)</f>
        <v/>
      </c>
    </row>
    <row r="1375" spans="1:28" ht="15" hidden="1" customHeight="1">
      <c r="A1375" s="69" t="s">
        <v>1728</v>
      </c>
      <c r="B1375" s="70">
        <v>42950</v>
      </c>
      <c r="C1375" s="69" t="s">
        <v>1231</v>
      </c>
      <c r="D1375" s="69" t="s">
        <v>1237</v>
      </c>
      <c r="E1375" s="69" t="s">
        <v>1479</v>
      </c>
      <c r="F1375" s="69">
        <v>1</v>
      </c>
      <c r="G1375" s="69" t="s">
        <v>1263</v>
      </c>
      <c r="H1375" s="69">
        <v>1</v>
      </c>
      <c r="I1375" s="69" t="s">
        <v>1729</v>
      </c>
      <c r="J1375" s="69" t="s">
        <v>10</v>
      </c>
      <c r="K1375" s="69" t="s">
        <v>13</v>
      </c>
      <c r="L1375" s="70"/>
      <c r="M1375" s="69" t="s">
        <v>100</v>
      </c>
      <c r="N1375" s="69">
        <v>900367920</v>
      </c>
      <c r="O1375" s="71">
        <v>7554622</v>
      </c>
      <c r="P1375" s="7"/>
      <c r="Q1375" s="16">
        <f>+IF(IFERROR(VLOOKUP(Tabla3[[#This Row],[Cliente factura]],Tabla4[[NIT]:[TOTAL CREDITO]],3,FALSE),0)="",0,IFERROR(VLOOKUP(Tabla3[[#This Row],[Cliente factura]],Tabla4[[NIT]:[TOTAL CREDITO]],3,FALSE),0))</f>
        <v>0</v>
      </c>
      <c r="R1375" s="9">
        <f>+IFERROR(VLOOKUP(Tabla3[[#This Row],[Cliente factura]],Tabla4[[NIT]:[TOTAL CREDITO]],6,FALSE),0)</f>
        <v>0</v>
      </c>
      <c r="S1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5" s="10" t="str">
        <f>VLOOKUP(Tabla3[[#This Row],[Razón social cliente factura]]&amp;Tabla3[[#This Row],[Desc. ciudad]],'Estandar de Rutas'!$C$1:$E$553,2,FALSE)</f>
        <v>7.2.B</v>
      </c>
      <c r="U1375" s="130">
        <f>IFERROR(VLOOKUP(Tabla3[[#This Row],[Referencia]]&amp;Tabla3[[#This Row],[Desc detalle ext 1]],Tabla1[[Referencia-Color]:[Disponibilidad]],3,FALSE),0)</f>
        <v>75</v>
      </c>
      <c r="V1375" s="13"/>
      <c r="W1375" s="17">
        <f>+Tabla3[[#This Row],[Cant. Programada]]*Tabla3[[#This Row],[Precio unit]]</f>
        <v>0</v>
      </c>
      <c r="X1375" s="8"/>
      <c r="Y1375" s="8"/>
      <c r="Z1375" s="8" t="str">
        <f>+Tabla3[[#This Row],[Referencia]]&amp;Tabla3[[#This Row],[Desc detalle ext 1]]</f>
        <v>CB 190R                                           ROJO NEGR</v>
      </c>
      <c r="AA1375" s="128" t="e">
        <f>+VLOOKUP(Tabla3[[#This Row],[CODIGO2]],ESTANDAR!$B$3:$C$9,2,FALSE)</f>
        <v>#N/A</v>
      </c>
      <c r="AB1375" s="128" t="str">
        <f>+MID(Tabla3[[#This Row],['# Viaje]],10,1)</f>
        <v/>
      </c>
    </row>
    <row r="1376" spans="1:28" ht="15" hidden="1" customHeight="1">
      <c r="A1376" s="69" t="s">
        <v>1728</v>
      </c>
      <c r="B1376" s="70">
        <v>42950</v>
      </c>
      <c r="C1376" s="69" t="s">
        <v>1231</v>
      </c>
      <c r="D1376" s="69" t="s">
        <v>1237</v>
      </c>
      <c r="E1376" s="69" t="s">
        <v>1479</v>
      </c>
      <c r="F1376" s="69">
        <v>1</v>
      </c>
      <c r="G1376" s="69" t="s">
        <v>1263</v>
      </c>
      <c r="H1376" s="69">
        <v>1</v>
      </c>
      <c r="I1376" s="69" t="s">
        <v>1729</v>
      </c>
      <c r="J1376" s="69" t="s">
        <v>10</v>
      </c>
      <c r="K1376" s="69" t="s">
        <v>11</v>
      </c>
      <c r="L1376" s="70"/>
      <c r="M1376" s="69" t="s">
        <v>100</v>
      </c>
      <c r="N1376" s="69">
        <v>900367920</v>
      </c>
      <c r="O1376" s="71">
        <v>7554622</v>
      </c>
      <c r="P1376" s="7"/>
      <c r="Q1376" s="16">
        <f>+IF(IFERROR(VLOOKUP(Tabla3[[#This Row],[Cliente factura]],Tabla4[[NIT]:[TOTAL CREDITO]],3,FALSE),0)="",0,IFERROR(VLOOKUP(Tabla3[[#This Row],[Cliente factura]],Tabla4[[NIT]:[TOTAL CREDITO]],3,FALSE),0))</f>
        <v>0</v>
      </c>
      <c r="R1376" s="9">
        <f>+IFERROR(VLOOKUP(Tabla3[[#This Row],[Cliente factura]],Tabla4[[NIT]:[TOTAL CREDITO]],6,FALSE),0)</f>
        <v>0</v>
      </c>
      <c r="S1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6" s="10" t="str">
        <f>VLOOKUP(Tabla3[[#This Row],[Razón social cliente factura]]&amp;Tabla3[[#This Row],[Desc. ciudad]],'Estandar de Rutas'!$C$1:$E$553,2,FALSE)</f>
        <v>7.2.B</v>
      </c>
      <c r="U1376" s="130">
        <f>IFERROR(VLOOKUP(Tabla3[[#This Row],[Referencia]]&amp;Tabla3[[#This Row],[Desc detalle ext 1]],Tabla1[[Referencia-Color]:[Disponibilidad]],3,FALSE),0)</f>
        <v>0</v>
      </c>
      <c r="V1376" s="13"/>
      <c r="W1376" s="17">
        <f>+Tabla3[[#This Row],[Cant. Programada]]*Tabla3[[#This Row],[Precio unit]]</f>
        <v>0</v>
      </c>
      <c r="X1376" s="8"/>
      <c r="Y1376" s="8"/>
      <c r="Z1376" s="8" t="str">
        <f>+Tabla3[[#This Row],[Referencia]]&amp;Tabla3[[#This Row],[Desc detalle ext 1]]</f>
        <v>CB 190R                                           NEGRO ONI</v>
      </c>
      <c r="AA1376" s="128" t="e">
        <f>+VLOOKUP(Tabla3[[#This Row],[CODIGO2]],ESTANDAR!$B$3:$C$9,2,FALSE)</f>
        <v>#N/A</v>
      </c>
      <c r="AB1376" s="128" t="str">
        <f>+MID(Tabla3[[#This Row],['# Viaje]],10,1)</f>
        <v/>
      </c>
    </row>
    <row r="1377" spans="1:28" ht="15" hidden="1" customHeight="1">
      <c r="A1377" s="69" t="s">
        <v>1728</v>
      </c>
      <c r="B1377" s="70">
        <v>42950</v>
      </c>
      <c r="C1377" s="69" t="s">
        <v>1231</v>
      </c>
      <c r="D1377" s="69" t="s">
        <v>1237</v>
      </c>
      <c r="E1377" s="69" t="s">
        <v>1479</v>
      </c>
      <c r="F1377" s="69">
        <v>2</v>
      </c>
      <c r="G1377" s="69" t="s">
        <v>1263</v>
      </c>
      <c r="H1377" s="69">
        <v>2</v>
      </c>
      <c r="I1377" s="69" t="s">
        <v>1729</v>
      </c>
      <c r="J1377" s="69" t="s">
        <v>1425</v>
      </c>
      <c r="K1377" s="69" t="s">
        <v>1426</v>
      </c>
      <c r="L1377" s="70"/>
      <c r="M1377" s="69" t="s">
        <v>100</v>
      </c>
      <c r="N1377" s="69">
        <v>900367920</v>
      </c>
      <c r="O1377" s="71">
        <v>7730252</v>
      </c>
      <c r="P1377" s="7"/>
      <c r="Q1377" s="16">
        <f>+IF(IFERROR(VLOOKUP(Tabla3[[#This Row],[Cliente factura]],Tabla4[[NIT]:[TOTAL CREDITO]],3,FALSE),0)="",0,IFERROR(VLOOKUP(Tabla3[[#This Row],[Cliente factura]],Tabla4[[NIT]:[TOTAL CREDITO]],3,FALSE),0))</f>
        <v>0</v>
      </c>
      <c r="R1377" s="9">
        <f>+IFERROR(VLOOKUP(Tabla3[[#This Row],[Cliente factura]],Tabla4[[NIT]:[TOTAL CREDITO]],6,FALSE),0)</f>
        <v>0</v>
      </c>
      <c r="S1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7" s="10" t="str">
        <f>VLOOKUP(Tabla3[[#This Row],[Razón social cliente factura]]&amp;Tabla3[[#This Row],[Desc. ciudad]],'Estandar de Rutas'!$C$1:$E$553,2,FALSE)</f>
        <v>7.2.B</v>
      </c>
      <c r="U1377" s="130">
        <f>IFERROR(VLOOKUP(Tabla3[[#This Row],[Referencia]]&amp;Tabla3[[#This Row],[Desc detalle ext 1]],Tabla1[[Referencia-Color]:[Disponibilidad]],3,FALSE),0)</f>
        <v>104</v>
      </c>
      <c r="V1377" s="13"/>
      <c r="W1377" s="17">
        <f>+Tabla3[[#This Row],[Cant. Programada]]*Tabla3[[#This Row],[Precio unit]]</f>
        <v>0</v>
      </c>
      <c r="X1377" s="8"/>
      <c r="Y1377" s="8"/>
      <c r="Z1377" s="8" t="str">
        <f>+Tabla3[[#This Row],[Referencia]]&amp;Tabla3[[#This Row],[Desc detalle ext 1]]</f>
        <v>CB 190 REPSOL                                     NARANJA B</v>
      </c>
      <c r="AA1377" s="128" t="e">
        <f>+VLOOKUP(Tabla3[[#This Row],[CODIGO2]],ESTANDAR!$B$3:$C$9,2,FALSE)</f>
        <v>#N/A</v>
      </c>
      <c r="AB1377" s="128" t="str">
        <f>+MID(Tabla3[[#This Row],['# Viaje]],10,1)</f>
        <v/>
      </c>
    </row>
    <row r="1378" spans="1:28" ht="15" hidden="1" customHeight="1">
      <c r="A1378" s="69" t="s">
        <v>1728</v>
      </c>
      <c r="B1378" s="70">
        <v>42950</v>
      </c>
      <c r="C1378" s="69" t="s">
        <v>1231</v>
      </c>
      <c r="D1378" s="69" t="s">
        <v>1237</v>
      </c>
      <c r="E1378" s="69" t="s">
        <v>1479</v>
      </c>
      <c r="F1378" s="69">
        <v>1</v>
      </c>
      <c r="G1378" s="69" t="s">
        <v>1263</v>
      </c>
      <c r="H1378" s="69">
        <v>1</v>
      </c>
      <c r="I1378" s="69" t="s">
        <v>1729</v>
      </c>
      <c r="J1378" s="69" t="s">
        <v>354</v>
      </c>
      <c r="K1378" s="69" t="s">
        <v>17</v>
      </c>
      <c r="L1378" s="70"/>
      <c r="M1378" s="69" t="s">
        <v>100</v>
      </c>
      <c r="N1378" s="69">
        <v>900367920</v>
      </c>
      <c r="O1378" s="71">
        <v>6133613</v>
      </c>
      <c r="P1378" s="7"/>
      <c r="Q1378" s="16">
        <f>+IF(IFERROR(VLOOKUP(Tabla3[[#This Row],[Cliente factura]],Tabla4[[NIT]:[TOTAL CREDITO]],3,FALSE),0)="",0,IFERROR(VLOOKUP(Tabla3[[#This Row],[Cliente factura]],Tabla4[[NIT]:[TOTAL CREDITO]],3,FALSE),0))</f>
        <v>0</v>
      </c>
      <c r="R1378" s="9">
        <f>+IFERROR(VLOOKUP(Tabla3[[#This Row],[Cliente factura]],Tabla4[[NIT]:[TOTAL CREDITO]],6,FALSE),0)</f>
        <v>0</v>
      </c>
      <c r="S1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8" s="10" t="str">
        <f>VLOOKUP(Tabla3[[#This Row],[Razón social cliente factura]]&amp;Tabla3[[#This Row],[Desc. ciudad]],'Estandar de Rutas'!$C$1:$E$553,2,FALSE)</f>
        <v>7.2.B</v>
      </c>
      <c r="U1378" s="130">
        <f>IFERROR(VLOOKUP(Tabla3[[#This Row],[Referencia]]&amp;Tabla3[[#This Row],[Desc detalle ext 1]],Tabla1[[Referencia-Color]:[Disponibilidad]],3,FALSE),0)</f>
        <v>48</v>
      </c>
      <c r="V1378" s="13"/>
      <c r="W1378" s="17">
        <f>+Tabla3[[#This Row],[Cant. Programada]]*Tabla3[[#This Row],[Precio unit]]</f>
        <v>0</v>
      </c>
      <c r="X1378" s="8"/>
      <c r="Y1378" s="8"/>
      <c r="Z1378" s="8" t="str">
        <f>+Tabla3[[#This Row],[Referencia]]&amp;Tabla3[[#This Row],[Desc detalle ext 1]]</f>
        <v>CB 160F DLX                                       ROJO SPOR</v>
      </c>
      <c r="AA1378" s="128" t="e">
        <f>+VLOOKUP(Tabla3[[#This Row],[CODIGO2]],ESTANDAR!$B$3:$C$9,2,FALSE)</f>
        <v>#N/A</v>
      </c>
      <c r="AB1378" s="128" t="str">
        <f>+MID(Tabla3[[#This Row],['# Viaje]],10,1)</f>
        <v/>
      </c>
    </row>
    <row r="1379" spans="1:28" ht="15" hidden="1" customHeight="1">
      <c r="A1379" s="69" t="s">
        <v>1728</v>
      </c>
      <c r="B1379" s="70">
        <v>42950</v>
      </c>
      <c r="C1379" s="69" t="s">
        <v>1231</v>
      </c>
      <c r="D1379" s="69" t="s">
        <v>1237</v>
      </c>
      <c r="E1379" s="69" t="s">
        <v>1479</v>
      </c>
      <c r="F1379" s="69">
        <v>1</v>
      </c>
      <c r="G1379" s="69" t="s">
        <v>1263</v>
      </c>
      <c r="H1379" s="69">
        <v>1</v>
      </c>
      <c r="I1379" s="69" t="s">
        <v>1729</v>
      </c>
      <c r="J1379" s="69" t="s">
        <v>354</v>
      </c>
      <c r="K1379" s="69" t="s">
        <v>355</v>
      </c>
      <c r="L1379" s="70"/>
      <c r="M1379" s="69" t="s">
        <v>100</v>
      </c>
      <c r="N1379" s="69">
        <v>900367920</v>
      </c>
      <c r="O1379" s="71">
        <v>6133613</v>
      </c>
      <c r="P1379" s="7"/>
      <c r="Q1379" s="16">
        <f>+IF(IFERROR(VLOOKUP(Tabla3[[#This Row],[Cliente factura]],Tabla4[[NIT]:[TOTAL CREDITO]],3,FALSE),0)="",0,IFERROR(VLOOKUP(Tabla3[[#This Row],[Cliente factura]],Tabla4[[NIT]:[TOTAL CREDITO]],3,FALSE),0))</f>
        <v>0</v>
      </c>
      <c r="R1379" s="9">
        <f>+IFERROR(VLOOKUP(Tabla3[[#This Row],[Cliente factura]],Tabla4[[NIT]:[TOTAL CREDITO]],6,FALSE),0)</f>
        <v>0</v>
      </c>
      <c r="S1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9" s="10" t="str">
        <f>VLOOKUP(Tabla3[[#This Row],[Razón social cliente factura]]&amp;Tabla3[[#This Row],[Desc. ciudad]],'Estandar de Rutas'!$C$1:$E$553,2,FALSE)</f>
        <v>7.2.B</v>
      </c>
      <c r="U1379" s="130">
        <f>IFERROR(VLOOKUP(Tabla3[[#This Row],[Referencia]]&amp;Tabla3[[#This Row],[Desc detalle ext 1]],Tabla1[[Referencia-Color]:[Disponibilidad]],3,FALSE),0)</f>
        <v>0</v>
      </c>
      <c r="V1379" s="13"/>
      <c r="W1379" s="17">
        <f>+Tabla3[[#This Row],[Cant. Programada]]*Tabla3[[#This Row],[Precio unit]]</f>
        <v>0</v>
      </c>
      <c r="X1379" s="8"/>
      <c r="Y1379" s="8"/>
      <c r="Z1379" s="8" t="str">
        <f>+Tabla3[[#This Row],[Referencia]]&amp;Tabla3[[#This Row],[Desc detalle ext 1]]</f>
        <v>CB 160F DLX                                       NEGRO PER</v>
      </c>
      <c r="AA1379" s="128" t="e">
        <f>+VLOOKUP(Tabla3[[#This Row],[CODIGO2]],ESTANDAR!$B$3:$C$9,2,FALSE)</f>
        <v>#N/A</v>
      </c>
      <c r="AB1379" s="128" t="str">
        <f>+MID(Tabla3[[#This Row],['# Viaje]],10,1)</f>
        <v/>
      </c>
    </row>
    <row r="1380" spans="1:28" ht="15" hidden="1" customHeight="1">
      <c r="A1380" s="69" t="s">
        <v>1728</v>
      </c>
      <c r="B1380" s="70">
        <v>42950</v>
      </c>
      <c r="C1380" s="69" t="s">
        <v>1231</v>
      </c>
      <c r="D1380" s="69" t="s">
        <v>1237</v>
      </c>
      <c r="E1380" s="69" t="s">
        <v>1479</v>
      </c>
      <c r="F1380" s="69">
        <v>1</v>
      </c>
      <c r="G1380" s="69" t="s">
        <v>1263</v>
      </c>
      <c r="H1380" s="69">
        <v>1</v>
      </c>
      <c r="I1380" s="69" t="s">
        <v>1729</v>
      </c>
      <c r="J1380" s="69" t="s">
        <v>1234</v>
      </c>
      <c r="K1380" s="69" t="s">
        <v>44</v>
      </c>
      <c r="L1380" s="70"/>
      <c r="M1380" s="69" t="s">
        <v>100</v>
      </c>
      <c r="N1380" s="69">
        <v>900367920</v>
      </c>
      <c r="O1380" s="71">
        <v>5453782</v>
      </c>
      <c r="P1380" s="7"/>
      <c r="Q1380" s="16">
        <f>+IF(IFERROR(VLOOKUP(Tabla3[[#This Row],[Cliente factura]],Tabla4[[NIT]:[TOTAL CREDITO]],3,FALSE),0)="",0,IFERROR(VLOOKUP(Tabla3[[#This Row],[Cliente factura]],Tabla4[[NIT]:[TOTAL CREDITO]],3,FALSE),0))</f>
        <v>0</v>
      </c>
      <c r="R1380" s="9">
        <f>+IFERROR(VLOOKUP(Tabla3[[#This Row],[Cliente factura]],Tabla4[[NIT]:[TOTAL CREDITO]],6,FALSE),0)</f>
        <v>0</v>
      </c>
      <c r="S1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0" s="10" t="str">
        <f>VLOOKUP(Tabla3[[#This Row],[Razón social cliente factura]]&amp;Tabla3[[#This Row],[Desc. ciudad]],'Estandar de Rutas'!$C$1:$E$553,2,FALSE)</f>
        <v>7.2.B</v>
      </c>
      <c r="U1380" s="130">
        <f>IFERROR(VLOOKUP(Tabla3[[#This Row],[Referencia]]&amp;Tabla3[[#This Row],[Desc detalle ext 1]],Tabla1[[Referencia-Color]:[Disponibilidad]],3,FALSE),0)</f>
        <v>1</v>
      </c>
      <c r="V1380" s="13"/>
      <c r="W1380" s="17">
        <f>+Tabla3[[#This Row],[Cant. Programada]]*Tabla3[[#This Row],[Precio unit]]</f>
        <v>0</v>
      </c>
      <c r="X1380" s="8"/>
      <c r="Y1380" s="8"/>
      <c r="Z1380" s="8" t="str">
        <f>+Tabla3[[#This Row],[Referencia]]&amp;Tabla3[[#This Row],[Desc detalle ext 1]]</f>
        <v>CB 160F STD                                       BLANCO PE</v>
      </c>
      <c r="AA1380" s="128" t="e">
        <f>+VLOOKUP(Tabla3[[#This Row],[CODIGO2]],ESTANDAR!$B$3:$C$9,2,FALSE)</f>
        <v>#N/A</v>
      </c>
      <c r="AB1380" s="128" t="str">
        <f>+MID(Tabla3[[#This Row],['# Viaje]],10,1)</f>
        <v/>
      </c>
    </row>
    <row r="1381" spans="1:28" ht="15" hidden="1" customHeight="1">
      <c r="A1381" s="69" t="s">
        <v>1728</v>
      </c>
      <c r="B1381" s="70">
        <v>42950</v>
      </c>
      <c r="C1381" s="69" t="s">
        <v>1231</v>
      </c>
      <c r="D1381" s="69" t="s">
        <v>1237</v>
      </c>
      <c r="E1381" s="69" t="s">
        <v>1479</v>
      </c>
      <c r="F1381" s="69">
        <v>1</v>
      </c>
      <c r="G1381" s="69" t="s">
        <v>1263</v>
      </c>
      <c r="H1381" s="69">
        <v>1</v>
      </c>
      <c r="I1381" s="69" t="s">
        <v>1729</v>
      </c>
      <c r="J1381" s="69" t="s">
        <v>1234</v>
      </c>
      <c r="K1381" s="69" t="s">
        <v>17</v>
      </c>
      <c r="L1381" s="70"/>
      <c r="M1381" s="69" t="s">
        <v>100</v>
      </c>
      <c r="N1381" s="69">
        <v>900367920</v>
      </c>
      <c r="O1381" s="71">
        <v>5453782</v>
      </c>
      <c r="P1381" s="7"/>
      <c r="Q1381" s="16">
        <f>+IF(IFERROR(VLOOKUP(Tabla3[[#This Row],[Cliente factura]],Tabla4[[NIT]:[TOTAL CREDITO]],3,FALSE),0)="",0,IFERROR(VLOOKUP(Tabla3[[#This Row],[Cliente factura]],Tabla4[[NIT]:[TOTAL CREDITO]],3,FALSE),0))</f>
        <v>0</v>
      </c>
      <c r="R1381" s="9">
        <f>+IFERROR(VLOOKUP(Tabla3[[#This Row],[Cliente factura]],Tabla4[[NIT]:[TOTAL CREDITO]],6,FALSE),0)</f>
        <v>0</v>
      </c>
      <c r="S1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1" s="10" t="str">
        <f>VLOOKUP(Tabla3[[#This Row],[Razón social cliente factura]]&amp;Tabla3[[#This Row],[Desc. ciudad]],'Estandar de Rutas'!$C$1:$E$553,2,FALSE)</f>
        <v>7.2.B</v>
      </c>
      <c r="U1381" s="130">
        <f>IFERROR(VLOOKUP(Tabla3[[#This Row],[Referencia]]&amp;Tabla3[[#This Row],[Desc detalle ext 1]],Tabla1[[Referencia-Color]:[Disponibilidad]],3,FALSE),0)</f>
        <v>0</v>
      </c>
      <c r="V1381" s="13"/>
      <c r="W1381" s="17">
        <f>+Tabla3[[#This Row],[Cant. Programada]]*Tabla3[[#This Row],[Precio unit]]</f>
        <v>0</v>
      </c>
      <c r="X1381" s="8"/>
      <c r="Y1381" s="8"/>
      <c r="Z1381" s="8" t="str">
        <f>+Tabla3[[#This Row],[Referencia]]&amp;Tabla3[[#This Row],[Desc detalle ext 1]]</f>
        <v>CB 160F STD                                       ROJO SPOR</v>
      </c>
      <c r="AA1381" s="128" t="e">
        <f>+VLOOKUP(Tabla3[[#This Row],[CODIGO2]],ESTANDAR!$B$3:$C$9,2,FALSE)</f>
        <v>#N/A</v>
      </c>
      <c r="AB1381" s="128" t="str">
        <f>+MID(Tabla3[[#This Row],['# Viaje]],10,1)</f>
        <v/>
      </c>
    </row>
    <row r="1382" spans="1:28" ht="15" hidden="1" customHeight="1">
      <c r="A1382" s="72" t="s">
        <v>1728</v>
      </c>
      <c r="B1382" s="73">
        <v>42950</v>
      </c>
      <c r="C1382" s="72" t="s">
        <v>1231</v>
      </c>
      <c r="D1382" s="72" t="s">
        <v>1237</v>
      </c>
      <c r="E1382" s="72" t="s">
        <v>1479</v>
      </c>
      <c r="F1382" s="72">
        <v>2</v>
      </c>
      <c r="G1382" s="72" t="s">
        <v>1263</v>
      </c>
      <c r="H1382" s="72">
        <v>2</v>
      </c>
      <c r="I1382" s="72" t="s">
        <v>1729</v>
      </c>
      <c r="J1382" s="72" t="s">
        <v>1234</v>
      </c>
      <c r="K1382" s="72" t="s">
        <v>355</v>
      </c>
      <c r="L1382" s="73"/>
      <c r="M1382" s="72" t="s">
        <v>100</v>
      </c>
      <c r="N1382" s="72">
        <v>900367920</v>
      </c>
      <c r="O1382" s="74">
        <v>5453782</v>
      </c>
      <c r="P1382" s="7"/>
      <c r="Q1382" s="16">
        <f>+IF(IFERROR(VLOOKUP(Tabla3[[#This Row],[Cliente factura]],Tabla4[[NIT]:[TOTAL CREDITO]],3,FALSE),0)="",0,IFERROR(VLOOKUP(Tabla3[[#This Row],[Cliente factura]],Tabla4[[NIT]:[TOTAL CREDITO]],3,FALSE),0))</f>
        <v>0</v>
      </c>
      <c r="R1382" s="9">
        <f>+IFERROR(VLOOKUP(Tabla3[[#This Row],[Cliente factura]],Tabla4[[NIT]:[TOTAL CREDITO]],6,FALSE),0)</f>
        <v>0</v>
      </c>
      <c r="S1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2" s="10" t="str">
        <f>VLOOKUP(Tabla3[[#This Row],[Razón social cliente factura]]&amp;Tabla3[[#This Row],[Desc. ciudad]],'Estandar de Rutas'!$C$1:$E$553,2,FALSE)</f>
        <v>7.2.B</v>
      </c>
      <c r="U1382" s="130">
        <f>IFERROR(VLOOKUP(Tabla3[[#This Row],[Referencia]]&amp;Tabla3[[#This Row],[Desc detalle ext 1]],Tabla1[[Referencia-Color]:[Disponibilidad]],3,FALSE),0)</f>
        <v>0</v>
      </c>
      <c r="V1382" s="13"/>
      <c r="W1382" s="17">
        <f>+Tabla3[[#This Row],[Cant. Programada]]*Tabla3[[#This Row],[Precio unit]]</f>
        <v>0</v>
      </c>
      <c r="X1382" s="8"/>
      <c r="Y1382" s="8"/>
      <c r="Z1382" s="8" t="str">
        <f>+Tabla3[[#This Row],[Referencia]]&amp;Tabla3[[#This Row],[Desc detalle ext 1]]</f>
        <v>CB 160F STD                                       NEGRO PER</v>
      </c>
      <c r="AA1382" s="128" t="e">
        <f>+VLOOKUP(Tabla3[[#This Row],[CODIGO2]],ESTANDAR!$B$3:$C$9,2,FALSE)</f>
        <v>#N/A</v>
      </c>
      <c r="AB1382" s="128" t="str">
        <f>+MID(Tabla3[[#This Row],['# Viaje]],10,1)</f>
        <v/>
      </c>
    </row>
    <row r="1383" spans="1:28" ht="15" hidden="1" customHeight="1">
      <c r="A1383" s="72" t="s">
        <v>1728</v>
      </c>
      <c r="B1383" s="73">
        <v>42950</v>
      </c>
      <c r="C1383" s="72" t="s">
        <v>1231</v>
      </c>
      <c r="D1383" s="72" t="s">
        <v>1237</v>
      </c>
      <c r="E1383" s="72" t="s">
        <v>1479</v>
      </c>
      <c r="F1383" s="72">
        <v>1</v>
      </c>
      <c r="G1383" s="72" t="s">
        <v>1263</v>
      </c>
      <c r="H1383" s="72">
        <v>1</v>
      </c>
      <c r="I1383" s="72" t="s">
        <v>1729</v>
      </c>
      <c r="J1383" s="72" t="s">
        <v>1451</v>
      </c>
      <c r="K1383" s="72" t="s">
        <v>1452</v>
      </c>
      <c r="L1383" s="73"/>
      <c r="M1383" s="72" t="s">
        <v>100</v>
      </c>
      <c r="N1383" s="72">
        <v>900367920</v>
      </c>
      <c r="O1383" s="74">
        <v>3696639</v>
      </c>
      <c r="P1383" s="7"/>
      <c r="Q1383" s="16">
        <f>+IF(IFERROR(VLOOKUP(Tabla3[[#This Row],[Cliente factura]],Tabla4[[NIT]:[TOTAL CREDITO]],3,FALSE),0)="",0,IFERROR(VLOOKUP(Tabla3[[#This Row],[Cliente factura]],Tabla4[[NIT]:[TOTAL CREDITO]],3,FALSE),0))</f>
        <v>0</v>
      </c>
      <c r="R1383" s="9">
        <f>+IFERROR(VLOOKUP(Tabla3[[#This Row],[Cliente factura]],Tabla4[[NIT]:[TOTAL CREDITO]],6,FALSE),0)</f>
        <v>0</v>
      </c>
      <c r="S1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3" s="10" t="str">
        <f>VLOOKUP(Tabla3[[#This Row],[Razón social cliente factura]]&amp;Tabla3[[#This Row],[Desc. ciudad]],'Estandar de Rutas'!$C$1:$E$553,2,FALSE)</f>
        <v>7.2.B</v>
      </c>
      <c r="U1383" s="130">
        <f>IFERROR(VLOOKUP(Tabla3[[#This Row],[Referencia]]&amp;Tabla3[[#This Row],[Desc detalle ext 1]],Tabla1[[Referencia-Color]:[Disponibilidad]],3,FALSE),0)</f>
        <v>21</v>
      </c>
      <c r="V1383" s="13"/>
      <c r="W1383" s="17">
        <f>+Tabla3[[#This Row],[Cant. Programada]]*Tabla3[[#This Row],[Precio unit]]</f>
        <v>0</v>
      </c>
      <c r="X1383" s="8"/>
      <c r="Y1383" s="8"/>
      <c r="Z1383" s="8" t="str">
        <f>+Tabla3[[#This Row],[Referencia]]&amp;Tabla3[[#This Row],[Desc detalle ext 1]]</f>
        <v xml:space="preserve">CB 110 DLX                                        AZUL     </v>
      </c>
      <c r="AA1383" s="128" t="e">
        <f>+VLOOKUP(Tabla3[[#This Row],[CODIGO2]],ESTANDAR!$B$3:$C$9,2,FALSE)</f>
        <v>#N/A</v>
      </c>
      <c r="AB1383" s="128" t="str">
        <f>+MID(Tabla3[[#This Row],['# Viaje]],10,1)</f>
        <v/>
      </c>
    </row>
    <row r="1384" spans="1:28" ht="15" hidden="1" customHeight="1">
      <c r="A1384" s="72" t="s">
        <v>1730</v>
      </c>
      <c r="B1384" s="73">
        <v>42950</v>
      </c>
      <c r="C1384" s="72" t="s">
        <v>1231</v>
      </c>
      <c r="D1384" s="72" t="s">
        <v>1237</v>
      </c>
      <c r="E1384" s="72" t="s">
        <v>1479</v>
      </c>
      <c r="F1384" s="72">
        <v>1</v>
      </c>
      <c r="G1384" s="72" t="s">
        <v>251</v>
      </c>
      <c r="H1384" s="72">
        <v>1</v>
      </c>
      <c r="I1384" s="72" t="s">
        <v>252</v>
      </c>
      <c r="J1384" s="72" t="s">
        <v>27</v>
      </c>
      <c r="K1384" s="72" t="s">
        <v>32</v>
      </c>
      <c r="L1384" s="73"/>
      <c r="M1384" s="72" t="s">
        <v>253</v>
      </c>
      <c r="N1384" s="72">
        <v>79487375</v>
      </c>
      <c r="O1384" s="74">
        <v>5789916</v>
      </c>
      <c r="P1384" s="7"/>
      <c r="Q1384" s="16">
        <f>+IF(IFERROR(VLOOKUP(Tabla3[[#This Row],[Cliente factura]],Tabla4[[NIT]:[TOTAL CREDITO]],3,FALSE),0)="",0,IFERROR(VLOOKUP(Tabla3[[#This Row],[Cliente factura]],Tabla4[[NIT]:[TOTAL CREDITO]],3,FALSE),0))</f>
        <v>2839868</v>
      </c>
      <c r="R1384" s="9">
        <f>+IFERROR(VLOOKUP(Tabla3[[#This Row],[Cliente factura]],Tabla4[[NIT]:[TOTAL CREDITO]],6,FALSE),0)</f>
        <v>0</v>
      </c>
      <c r="S1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4" s="10" t="str">
        <f>VLOOKUP(Tabla3[[#This Row],[Razón social cliente factura]]&amp;Tabla3[[#This Row],[Desc. ciudad]],'Estandar de Rutas'!$C$1:$E$553,2,FALSE)</f>
        <v>7.2.A</v>
      </c>
      <c r="U1384" s="130">
        <f>IFERROR(VLOOKUP(Tabla3[[#This Row],[Referencia]]&amp;Tabla3[[#This Row],[Desc detalle ext 1]],Tabla1[[Referencia-Color]:[Disponibilidad]],3,FALSE),0)</f>
        <v>7</v>
      </c>
      <c r="V1384" s="13"/>
      <c r="W1384" s="17">
        <f>+Tabla3[[#This Row],[Cant. Programada]]*Tabla3[[#This Row],[Precio unit]]</f>
        <v>0</v>
      </c>
      <c r="X1384" s="8"/>
      <c r="Y1384" s="8"/>
      <c r="Z1384" s="8" t="str">
        <f>+Tabla3[[#This Row],[Referencia]]&amp;Tabla3[[#This Row],[Desc detalle ext 1]]</f>
        <v>*XR 150L                                          NEGRO ROJ</v>
      </c>
      <c r="AA1384" s="128" t="e">
        <f>+VLOOKUP(Tabla3[[#This Row],[CODIGO2]],ESTANDAR!$B$3:$C$9,2,FALSE)</f>
        <v>#N/A</v>
      </c>
      <c r="AB1384" s="128" t="str">
        <f>+MID(Tabla3[[#This Row],['# Viaje]],10,1)</f>
        <v/>
      </c>
    </row>
    <row r="1385" spans="1:28" ht="15" hidden="1" customHeight="1">
      <c r="A1385" s="72" t="s">
        <v>1730</v>
      </c>
      <c r="B1385" s="73">
        <v>42950</v>
      </c>
      <c r="C1385" s="72" t="s">
        <v>1231</v>
      </c>
      <c r="D1385" s="72" t="s">
        <v>1237</v>
      </c>
      <c r="E1385" s="72" t="s">
        <v>1479</v>
      </c>
      <c r="F1385" s="72">
        <v>1</v>
      </c>
      <c r="G1385" s="72" t="s">
        <v>251</v>
      </c>
      <c r="H1385" s="72">
        <v>1</v>
      </c>
      <c r="I1385" s="72" t="s">
        <v>252</v>
      </c>
      <c r="J1385" s="72" t="s">
        <v>27</v>
      </c>
      <c r="K1385" s="72" t="s">
        <v>16</v>
      </c>
      <c r="L1385" s="73"/>
      <c r="M1385" s="72" t="s">
        <v>253</v>
      </c>
      <c r="N1385" s="72">
        <v>79487375</v>
      </c>
      <c r="O1385" s="74">
        <v>5789916</v>
      </c>
      <c r="P1385" s="7"/>
      <c r="Q1385" s="16">
        <f>+IF(IFERROR(VLOOKUP(Tabla3[[#This Row],[Cliente factura]],Tabla4[[NIT]:[TOTAL CREDITO]],3,FALSE),0)="",0,IFERROR(VLOOKUP(Tabla3[[#This Row],[Cliente factura]],Tabla4[[NIT]:[TOTAL CREDITO]],3,FALSE),0))</f>
        <v>2839868</v>
      </c>
      <c r="R1385" s="9">
        <f>+IFERROR(VLOOKUP(Tabla3[[#This Row],[Cliente factura]],Tabla4[[NIT]:[TOTAL CREDITO]],6,FALSE),0)</f>
        <v>0</v>
      </c>
      <c r="S1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5" s="10" t="str">
        <f>VLOOKUP(Tabla3[[#This Row],[Razón social cliente factura]]&amp;Tabla3[[#This Row],[Desc. ciudad]],'Estandar de Rutas'!$C$1:$E$553,2,FALSE)</f>
        <v>7.2.A</v>
      </c>
      <c r="U1385" s="130">
        <f>IFERROR(VLOOKUP(Tabla3[[#This Row],[Referencia]]&amp;Tabla3[[#This Row],[Desc detalle ext 1]],Tabla1[[Referencia-Color]:[Disponibilidad]],3,FALSE),0)</f>
        <v>3</v>
      </c>
      <c r="V1385" s="13"/>
      <c r="W1385" s="17">
        <f>+Tabla3[[#This Row],[Cant. Programada]]*Tabla3[[#This Row],[Precio unit]]</f>
        <v>0</v>
      </c>
      <c r="X1385" s="8"/>
      <c r="Y1385" s="8"/>
      <c r="Z1385" s="8" t="str">
        <f>+Tabla3[[#This Row],[Referencia]]&amp;Tabla3[[#This Row],[Desc detalle ext 1]]</f>
        <v xml:space="preserve">*XR 150L                                          NEGRO    </v>
      </c>
      <c r="AA1385" s="128" t="e">
        <f>+VLOOKUP(Tabla3[[#This Row],[CODIGO2]],ESTANDAR!$B$3:$C$9,2,FALSE)</f>
        <v>#N/A</v>
      </c>
      <c r="AB1385" s="128" t="str">
        <f>+MID(Tabla3[[#This Row],['# Viaje]],10,1)</f>
        <v/>
      </c>
    </row>
    <row r="1386" spans="1:28" hidden="1">
      <c r="A1386" s="72" t="s">
        <v>1730</v>
      </c>
      <c r="B1386" s="73">
        <v>42950</v>
      </c>
      <c r="C1386" s="72" t="s">
        <v>1231</v>
      </c>
      <c r="D1386" s="72" t="s">
        <v>1237</v>
      </c>
      <c r="E1386" s="72" t="s">
        <v>1479</v>
      </c>
      <c r="F1386" s="72">
        <v>1</v>
      </c>
      <c r="G1386" s="72" t="s">
        <v>251</v>
      </c>
      <c r="H1386" s="72">
        <v>1</v>
      </c>
      <c r="I1386" s="72" t="s">
        <v>252</v>
      </c>
      <c r="J1386" s="72" t="s">
        <v>25</v>
      </c>
      <c r="K1386" s="72" t="s">
        <v>26</v>
      </c>
      <c r="L1386" s="73"/>
      <c r="M1386" s="72" t="s">
        <v>253</v>
      </c>
      <c r="N1386" s="72">
        <v>79487375</v>
      </c>
      <c r="O1386" s="74">
        <v>3521008</v>
      </c>
      <c r="P1386" s="7"/>
      <c r="Q1386" s="16">
        <f>+IF(IFERROR(VLOOKUP(Tabla3[[#This Row],[Cliente factura]],Tabla4[[NIT]:[TOTAL CREDITO]],3,FALSE),0)="",0,IFERROR(VLOOKUP(Tabla3[[#This Row],[Cliente factura]],Tabla4[[NIT]:[TOTAL CREDITO]],3,FALSE),0))</f>
        <v>2839868</v>
      </c>
      <c r="R1386" s="9">
        <f>+IFERROR(VLOOKUP(Tabla3[[#This Row],[Cliente factura]],Tabla4[[NIT]:[TOTAL CREDITO]],6,FALSE),0)</f>
        <v>0</v>
      </c>
      <c r="S1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6" s="10" t="str">
        <f>VLOOKUP(Tabla3[[#This Row],[Razón social cliente factura]]&amp;Tabla3[[#This Row],[Desc. ciudad]],'Estandar de Rutas'!$C$1:$E$553,2,FALSE)</f>
        <v>7.2.A</v>
      </c>
      <c r="U1386" s="130">
        <f>IFERROR(VLOOKUP(Tabla3[[#This Row],[Referencia]]&amp;Tabla3[[#This Row],[Desc detalle ext 1]],Tabla1[[Referencia-Color]:[Disponibilidad]],3,FALSE),0)</f>
        <v>15</v>
      </c>
      <c r="V1386" s="13"/>
      <c r="W1386" s="17">
        <f>+Tabla3[[#This Row],[Cant. Programada]]*Tabla3[[#This Row],[Precio unit]]</f>
        <v>0</v>
      </c>
      <c r="X1386" s="8"/>
      <c r="Y1386" s="8"/>
      <c r="Z1386" s="8" t="str">
        <f>+Tabla3[[#This Row],[Referencia]]&amp;Tabla3[[#This Row],[Desc detalle ext 1]]</f>
        <v>DIO 110                                           NEGRO BLA</v>
      </c>
      <c r="AA1386" s="128" t="e">
        <f>+VLOOKUP(Tabla3[[#This Row],[CODIGO2]],ESTANDAR!$B$3:$C$9,2,FALSE)</f>
        <v>#N/A</v>
      </c>
      <c r="AB1386" s="128" t="str">
        <f>+MID(Tabla3[[#This Row],['# Viaje]],10,1)</f>
        <v/>
      </c>
    </row>
    <row r="1387" spans="1:28" ht="15" hidden="1" customHeight="1">
      <c r="A1387" s="72" t="s">
        <v>1730</v>
      </c>
      <c r="B1387" s="73">
        <v>42950</v>
      </c>
      <c r="C1387" s="72" t="s">
        <v>1231</v>
      </c>
      <c r="D1387" s="72" t="s">
        <v>1237</v>
      </c>
      <c r="E1387" s="72" t="s">
        <v>1479</v>
      </c>
      <c r="F1387" s="72">
        <v>2</v>
      </c>
      <c r="G1387" s="72" t="s">
        <v>251</v>
      </c>
      <c r="H1387" s="72">
        <v>2</v>
      </c>
      <c r="I1387" s="72" t="s">
        <v>252</v>
      </c>
      <c r="J1387" s="72" t="s">
        <v>1425</v>
      </c>
      <c r="K1387" s="72" t="s">
        <v>1426</v>
      </c>
      <c r="L1387" s="73"/>
      <c r="M1387" s="72" t="s">
        <v>253</v>
      </c>
      <c r="N1387" s="72">
        <v>79487375</v>
      </c>
      <c r="O1387" s="74">
        <v>7730252</v>
      </c>
      <c r="P1387" s="7"/>
      <c r="Q1387" s="16">
        <f>+IF(IFERROR(VLOOKUP(Tabla3[[#This Row],[Cliente factura]],Tabla4[[NIT]:[TOTAL CREDITO]],3,FALSE),0)="",0,IFERROR(VLOOKUP(Tabla3[[#This Row],[Cliente factura]],Tabla4[[NIT]:[TOTAL CREDITO]],3,FALSE),0))</f>
        <v>2839868</v>
      </c>
      <c r="R1387" s="9">
        <f>+IFERROR(VLOOKUP(Tabla3[[#This Row],[Cliente factura]],Tabla4[[NIT]:[TOTAL CREDITO]],6,FALSE),0)</f>
        <v>0</v>
      </c>
      <c r="S1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7" s="10" t="str">
        <f>VLOOKUP(Tabla3[[#This Row],[Razón social cliente factura]]&amp;Tabla3[[#This Row],[Desc. ciudad]],'Estandar de Rutas'!$C$1:$E$553,2,FALSE)</f>
        <v>7.2.A</v>
      </c>
      <c r="U1387" s="130">
        <f>IFERROR(VLOOKUP(Tabla3[[#This Row],[Referencia]]&amp;Tabla3[[#This Row],[Desc detalle ext 1]],Tabla1[[Referencia-Color]:[Disponibilidad]],3,FALSE),0)</f>
        <v>104</v>
      </c>
      <c r="V1387" s="13"/>
      <c r="W1387" s="17">
        <f>+Tabla3[[#This Row],[Cant. Programada]]*Tabla3[[#This Row],[Precio unit]]</f>
        <v>0</v>
      </c>
      <c r="X1387" s="8"/>
      <c r="Y1387" s="8"/>
      <c r="Z1387" s="8" t="str">
        <f>+Tabla3[[#This Row],[Referencia]]&amp;Tabla3[[#This Row],[Desc detalle ext 1]]</f>
        <v>CB 190 REPSOL                                     NARANJA B</v>
      </c>
      <c r="AA1387" s="128" t="e">
        <f>+VLOOKUP(Tabla3[[#This Row],[CODIGO2]],ESTANDAR!$B$3:$C$9,2,FALSE)</f>
        <v>#N/A</v>
      </c>
      <c r="AB1387" s="128" t="str">
        <f>+MID(Tabla3[[#This Row],['# Viaje]],10,1)</f>
        <v/>
      </c>
    </row>
    <row r="1388" spans="1:28" ht="15" hidden="1" customHeight="1">
      <c r="A1388" s="72" t="s">
        <v>1730</v>
      </c>
      <c r="B1388" s="73">
        <v>42950</v>
      </c>
      <c r="C1388" s="72" t="s">
        <v>1231</v>
      </c>
      <c r="D1388" s="72" t="s">
        <v>1237</v>
      </c>
      <c r="E1388" s="72" t="s">
        <v>1479</v>
      </c>
      <c r="F1388" s="72">
        <v>1</v>
      </c>
      <c r="G1388" s="72" t="s">
        <v>251</v>
      </c>
      <c r="H1388" s="72">
        <v>1</v>
      </c>
      <c r="I1388" s="72" t="s">
        <v>252</v>
      </c>
      <c r="J1388" s="72" t="s">
        <v>354</v>
      </c>
      <c r="K1388" s="72" t="s">
        <v>355</v>
      </c>
      <c r="L1388" s="73"/>
      <c r="M1388" s="72" t="s">
        <v>253</v>
      </c>
      <c r="N1388" s="72">
        <v>79487375</v>
      </c>
      <c r="O1388" s="74">
        <v>6133613</v>
      </c>
      <c r="P1388" s="7"/>
      <c r="Q1388" s="16">
        <f>+IF(IFERROR(VLOOKUP(Tabla3[[#This Row],[Cliente factura]],Tabla4[[NIT]:[TOTAL CREDITO]],3,FALSE),0)="",0,IFERROR(VLOOKUP(Tabla3[[#This Row],[Cliente factura]],Tabla4[[NIT]:[TOTAL CREDITO]],3,FALSE),0))</f>
        <v>2839868</v>
      </c>
      <c r="R1388" s="9">
        <f>+IFERROR(VLOOKUP(Tabla3[[#This Row],[Cliente factura]],Tabla4[[NIT]:[TOTAL CREDITO]],6,FALSE),0)</f>
        <v>0</v>
      </c>
      <c r="S1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8" s="10" t="str">
        <f>VLOOKUP(Tabla3[[#This Row],[Razón social cliente factura]]&amp;Tabla3[[#This Row],[Desc. ciudad]],'Estandar de Rutas'!$C$1:$E$553,2,FALSE)</f>
        <v>7.2.A</v>
      </c>
      <c r="U1388" s="130">
        <f>IFERROR(VLOOKUP(Tabla3[[#This Row],[Referencia]]&amp;Tabla3[[#This Row],[Desc detalle ext 1]],Tabla1[[Referencia-Color]:[Disponibilidad]],3,FALSE),0)</f>
        <v>0</v>
      </c>
      <c r="V1388" s="13"/>
      <c r="W1388" s="17">
        <f>+Tabla3[[#This Row],[Cant. Programada]]*Tabla3[[#This Row],[Precio unit]]</f>
        <v>0</v>
      </c>
      <c r="X1388" s="8"/>
      <c r="Y1388" s="8"/>
      <c r="Z1388" s="8" t="str">
        <f>+Tabla3[[#This Row],[Referencia]]&amp;Tabla3[[#This Row],[Desc detalle ext 1]]</f>
        <v>CB 160F DLX                                       NEGRO PER</v>
      </c>
      <c r="AA1388" s="128" t="e">
        <f>+VLOOKUP(Tabla3[[#This Row],[CODIGO2]],ESTANDAR!$B$3:$C$9,2,FALSE)</f>
        <v>#N/A</v>
      </c>
      <c r="AB1388" s="128" t="str">
        <f>+MID(Tabla3[[#This Row],['# Viaje]],10,1)</f>
        <v/>
      </c>
    </row>
    <row r="1389" spans="1:28" ht="15" hidden="1" customHeight="1">
      <c r="A1389" s="72" t="s">
        <v>1730</v>
      </c>
      <c r="B1389" s="73">
        <v>42950</v>
      </c>
      <c r="C1389" s="72" t="s">
        <v>1231</v>
      </c>
      <c r="D1389" s="72" t="s">
        <v>1237</v>
      </c>
      <c r="E1389" s="72" t="s">
        <v>1479</v>
      </c>
      <c r="F1389" s="72">
        <v>2</v>
      </c>
      <c r="G1389" s="72" t="s">
        <v>251</v>
      </c>
      <c r="H1389" s="72">
        <v>2</v>
      </c>
      <c r="I1389" s="72" t="s">
        <v>252</v>
      </c>
      <c r="J1389" s="72" t="s">
        <v>1433</v>
      </c>
      <c r="K1389" s="72" t="s">
        <v>1431</v>
      </c>
      <c r="L1389" s="73"/>
      <c r="M1389" s="72" t="s">
        <v>253</v>
      </c>
      <c r="N1389" s="72">
        <v>79487375</v>
      </c>
      <c r="O1389" s="74">
        <v>3521008</v>
      </c>
      <c r="P1389" s="7"/>
      <c r="Q1389" s="16">
        <f>+IF(IFERROR(VLOOKUP(Tabla3[[#This Row],[Cliente factura]],Tabla4[[NIT]:[TOTAL CREDITO]],3,FALSE),0)="",0,IFERROR(VLOOKUP(Tabla3[[#This Row],[Cliente factura]],Tabla4[[NIT]:[TOTAL CREDITO]],3,FALSE),0))</f>
        <v>2839868</v>
      </c>
      <c r="R1389" s="9">
        <f>+IFERROR(VLOOKUP(Tabla3[[#This Row],[Cliente factura]],Tabla4[[NIT]:[TOTAL CREDITO]],6,FALSE),0)</f>
        <v>0</v>
      </c>
      <c r="S1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9" s="10" t="str">
        <f>VLOOKUP(Tabla3[[#This Row],[Razón social cliente factura]]&amp;Tabla3[[#This Row],[Desc. ciudad]],'Estandar de Rutas'!$C$1:$E$553,2,FALSE)</f>
        <v>7.2.A</v>
      </c>
      <c r="U1389" s="130">
        <f>IFERROR(VLOOKUP(Tabla3[[#This Row],[Referencia]]&amp;Tabla3[[#This Row],[Desc detalle ext 1]],Tabla1[[Referencia-Color]:[Disponibilidad]],3,FALSE),0)</f>
        <v>0</v>
      </c>
      <c r="V1389" s="13"/>
      <c r="W1389" s="17">
        <f>+Tabla3[[#This Row],[Cant. Programada]]*Tabla3[[#This Row],[Precio unit]]</f>
        <v>0</v>
      </c>
      <c r="X1389" s="8"/>
      <c r="Y1389" s="8"/>
      <c r="Z1389" s="8" t="str">
        <f>+Tabla3[[#This Row],[Referencia]]&amp;Tabla3[[#This Row],[Desc detalle ext 1]]</f>
        <v xml:space="preserve">DIO  110                                          ROJO     </v>
      </c>
      <c r="AA1389" s="128" t="e">
        <f>+VLOOKUP(Tabla3[[#This Row],[CODIGO2]],ESTANDAR!$B$3:$C$9,2,FALSE)</f>
        <v>#N/A</v>
      </c>
      <c r="AB1389" s="128" t="str">
        <f>+MID(Tabla3[[#This Row],['# Viaje]],10,1)</f>
        <v/>
      </c>
    </row>
    <row r="1390" spans="1:28" ht="15" hidden="1" customHeight="1">
      <c r="A1390" s="72" t="s">
        <v>1730</v>
      </c>
      <c r="B1390" s="73">
        <v>42950</v>
      </c>
      <c r="C1390" s="72" t="s">
        <v>1231</v>
      </c>
      <c r="D1390" s="72" t="s">
        <v>1237</v>
      </c>
      <c r="E1390" s="72" t="s">
        <v>1479</v>
      </c>
      <c r="F1390" s="72">
        <v>1</v>
      </c>
      <c r="G1390" s="72" t="s">
        <v>251</v>
      </c>
      <c r="H1390" s="72">
        <v>1</v>
      </c>
      <c r="I1390" s="72" t="s">
        <v>252</v>
      </c>
      <c r="J1390" s="72" t="s">
        <v>1451</v>
      </c>
      <c r="K1390" s="72" t="s">
        <v>1452</v>
      </c>
      <c r="L1390" s="73"/>
      <c r="M1390" s="72" t="s">
        <v>253</v>
      </c>
      <c r="N1390" s="72">
        <v>79487375</v>
      </c>
      <c r="O1390" s="74">
        <v>3696639</v>
      </c>
      <c r="P1390" s="7"/>
      <c r="Q1390" s="16">
        <f>+IF(IFERROR(VLOOKUP(Tabla3[[#This Row],[Cliente factura]],Tabla4[[NIT]:[TOTAL CREDITO]],3,FALSE),0)="",0,IFERROR(VLOOKUP(Tabla3[[#This Row],[Cliente factura]],Tabla4[[NIT]:[TOTAL CREDITO]],3,FALSE),0))</f>
        <v>2839868</v>
      </c>
      <c r="R1390" s="9">
        <f>+IFERROR(VLOOKUP(Tabla3[[#This Row],[Cliente factura]],Tabla4[[NIT]:[TOTAL CREDITO]],6,FALSE),0)</f>
        <v>0</v>
      </c>
      <c r="S1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0" s="10" t="str">
        <f>VLOOKUP(Tabla3[[#This Row],[Razón social cliente factura]]&amp;Tabla3[[#This Row],[Desc. ciudad]],'Estandar de Rutas'!$C$1:$E$553,2,FALSE)</f>
        <v>7.2.A</v>
      </c>
      <c r="U1390" s="130">
        <f>IFERROR(VLOOKUP(Tabla3[[#This Row],[Referencia]]&amp;Tabla3[[#This Row],[Desc detalle ext 1]],Tabla1[[Referencia-Color]:[Disponibilidad]],3,FALSE),0)</f>
        <v>21</v>
      </c>
      <c r="V1390" s="13"/>
      <c r="W1390" s="17">
        <f>+Tabla3[[#This Row],[Cant. Programada]]*Tabla3[[#This Row],[Precio unit]]</f>
        <v>0</v>
      </c>
      <c r="X1390" s="8"/>
      <c r="Y1390" s="8"/>
      <c r="Z1390" s="8" t="str">
        <f>+Tabla3[[#This Row],[Referencia]]&amp;Tabla3[[#This Row],[Desc detalle ext 1]]</f>
        <v xml:space="preserve">CB 110 DLX                                        AZUL     </v>
      </c>
      <c r="AA1390" s="128" t="e">
        <f>+VLOOKUP(Tabla3[[#This Row],[CODIGO2]],ESTANDAR!$B$3:$C$9,2,FALSE)</f>
        <v>#N/A</v>
      </c>
      <c r="AB1390" s="128" t="str">
        <f>+MID(Tabla3[[#This Row],['# Viaje]],10,1)</f>
        <v/>
      </c>
    </row>
    <row r="1391" spans="1:28" ht="15" hidden="1" customHeight="1">
      <c r="A1391" s="72" t="s">
        <v>1730</v>
      </c>
      <c r="B1391" s="73">
        <v>42950</v>
      </c>
      <c r="C1391" s="72" t="s">
        <v>1231</v>
      </c>
      <c r="D1391" s="72" t="s">
        <v>1237</v>
      </c>
      <c r="E1391" s="72" t="s">
        <v>1479</v>
      </c>
      <c r="F1391" s="72">
        <v>2</v>
      </c>
      <c r="G1391" s="72" t="s">
        <v>251</v>
      </c>
      <c r="H1391" s="72">
        <v>2</v>
      </c>
      <c r="I1391" s="72" t="s">
        <v>252</v>
      </c>
      <c r="J1391" s="72" t="s">
        <v>1451</v>
      </c>
      <c r="K1391" s="72" t="s">
        <v>16</v>
      </c>
      <c r="L1391" s="72"/>
      <c r="M1391" s="72" t="s">
        <v>253</v>
      </c>
      <c r="N1391" s="72">
        <v>79487375</v>
      </c>
      <c r="O1391" s="72">
        <v>3696639</v>
      </c>
      <c r="P1391" s="7"/>
      <c r="Q1391" s="16">
        <f>+IF(IFERROR(VLOOKUP(Tabla3[[#This Row],[Cliente factura]],Tabla4[[NIT]:[TOTAL CREDITO]],3,FALSE),0)="",0,IFERROR(VLOOKUP(Tabla3[[#This Row],[Cliente factura]],Tabla4[[NIT]:[TOTAL CREDITO]],3,FALSE),0))</f>
        <v>2839868</v>
      </c>
      <c r="R1391" s="9">
        <f>+IFERROR(VLOOKUP(Tabla3[[#This Row],[Cliente factura]],Tabla4[[NIT]:[TOTAL CREDITO]],6,FALSE),0)</f>
        <v>0</v>
      </c>
      <c r="S1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1" s="10" t="str">
        <f>VLOOKUP(Tabla3[[#This Row],[Razón social cliente factura]]&amp;Tabla3[[#This Row],[Desc. ciudad]],'Estandar de Rutas'!$C$1:$E$553,2,FALSE)</f>
        <v>7.2.A</v>
      </c>
      <c r="U1391" s="130">
        <f>IFERROR(VLOOKUP(Tabla3[[#This Row],[Referencia]]&amp;Tabla3[[#This Row],[Desc detalle ext 1]],Tabla1[[Referencia-Color]:[Disponibilidad]],3,FALSE),0)</f>
        <v>3</v>
      </c>
      <c r="V1391" s="13"/>
      <c r="W1391" s="17">
        <f>+Tabla3[[#This Row],[Cant. Programada]]*Tabla3[[#This Row],[Precio unit]]</f>
        <v>0</v>
      </c>
      <c r="X1391" s="8"/>
      <c r="Y1391" s="8"/>
      <c r="Z1391" s="8" t="str">
        <f>+Tabla3[[#This Row],[Referencia]]&amp;Tabla3[[#This Row],[Desc detalle ext 1]]</f>
        <v xml:space="preserve">CB 110 DLX                                        NEGRO    </v>
      </c>
      <c r="AA1391" s="128" t="e">
        <f>+VLOOKUP(Tabla3[[#This Row],[CODIGO2]],ESTANDAR!$B$3:$C$9,2,FALSE)</f>
        <v>#N/A</v>
      </c>
      <c r="AB1391" s="128" t="str">
        <f>+MID(Tabla3[[#This Row],['# Viaje]],10,1)</f>
        <v/>
      </c>
    </row>
    <row r="1392" spans="1:28" ht="15" hidden="1" customHeight="1">
      <c r="A1392" s="72" t="s">
        <v>1731</v>
      </c>
      <c r="B1392" s="73">
        <v>42950</v>
      </c>
      <c r="C1392" s="72" t="s">
        <v>1477</v>
      </c>
      <c r="D1392" s="72" t="s">
        <v>1237</v>
      </c>
      <c r="E1392" s="72" t="s">
        <v>1479</v>
      </c>
      <c r="F1392" s="72">
        <v>1</v>
      </c>
      <c r="G1392" s="72" t="s">
        <v>395</v>
      </c>
      <c r="H1392" s="72">
        <v>1</v>
      </c>
      <c r="I1392" s="72" t="s">
        <v>395</v>
      </c>
      <c r="J1392" s="72" t="s">
        <v>27</v>
      </c>
      <c r="K1392" s="72" t="s">
        <v>32</v>
      </c>
      <c r="L1392" s="73"/>
      <c r="M1392" s="72" t="s">
        <v>184</v>
      </c>
      <c r="N1392" s="72">
        <v>901023135</v>
      </c>
      <c r="O1392" s="74">
        <v>5789916</v>
      </c>
      <c r="P1392" s="7"/>
      <c r="Q1392" s="16">
        <f>+IF(IFERROR(VLOOKUP(Tabla3[[#This Row],[Cliente factura]],Tabla4[[NIT]:[TOTAL CREDITO]],3,FALSE),0)="",0,IFERROR(VLOOKUP(Tabla3[[#This Row],[Cliente factura]],Tabla4[[NIT]:[TOTAL CREDITO]],3,FALSE),0))</f>
        <v>22577282</v>
      </c>
      <c r="R1392" s="9">
        <f>+IFERROR(VLOOKUP(Tabla3[[#This Row],[Cliente factura]],Tabla4[[NIT]:[TOTAL CREDITO]],6,FALSE),0)</f>
        <v>0</v>
      </c>
      <c r="S1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2" s="10" t="str">
        <f>VLOOKUP(Tabla3[[#This Row],[Razón social cliente factura]]&amp;Tabla3[[#This Row],[Desc. ciudad]],'Estandar de Rutas'!$C$1:$E$553,2,FALSE)</f>
        <v>7.2</v>
      </c>
      <c r="U1392" s="130">
        <f>IFERROR(VLOOKUP(Tabla3[[#This Row],[Referencia]]&amp;Tabla3[[#This Row],[Desc detalle ext 1]],Tabla1[[Referencia-Color]:[Disponibilidad]],3,FALSE),0)</f>
        <v>7</v>
      </c>
      <c r="V1392" s="13"/>
      <c r="W1392" s="17">
        <f>+Tabla3[[#This Row],[Cant. Programada]]*Tabla3[[#This Row],[Precio unit]]</f>
        <v>0</v>
      </c>
      <c r="X1392" s="8"/>
      <c r="Y1392" s="8"/>
      <c r="Z1392" s="8" t="str">
        <f>+Tabla3[[#This Row],[Referencia]]&amp;Tabla3[[#This Row],[Desc detalle ext 1]]</f>
        <v>*XR 150L                                          NEGRO ROJ</v>
      </c>
      <c r="AA1392" s="128" t="e">
        <f>+VLOOKUP(Tabla3[[#This Row],[CODIGO2]],ESTANDAR!$B$3:$C$9,2,FALSE)</f>
        <v>#N/A</v>
      </c>
      <c r="AB1392" s="128" t="str">
        <f>+MID(Tabla3[[#This Row],['# Viaje]],10,1)</f>
        <v/>
      </c>
    </row>
    <row r="1393" spans="1:28" ht="15" hidden="1" customHeight="1">
      <c r="A1393" s="72" t="s">
        <v>1731</v>
      </c>
      <c r="B1393" s="73">
        <v>42950</v>
      </c>
      <c r="C1393" s="72" t="s">
        <v>1477</v>
      </c>
      <c r="D1393" s="72" t="s">
        <v>1237</v>
      </c>
      <c r="E1393" s="72" t="s">
        <v>1479</v>
      </c>
      <c r="F1393" s="72">
        <v>2</v>
      </c>
      <c r="G1393" s="72" t="s">
        <v>395</v>
      </c>
      <c r="H1393" s="72">
        <v>2</v>
      </c>
      <c r="I1393" s="72" t="s">
        <v>395</v>
      </c>
      <c r="J1393" s="72" t="s">
        <v>10</v>
      </c>
      <c r="K1393" s="72" t="s">
        <v>13</v>
      </c>
      <c r="L1393" s="73"/>
      <c r="M1393" s="72" t="s">
        <v>184</v>
      </c>
      <c r="N1393" s="72">
        <v>901023135</v>
      </c>
      <c r="O1393" s="74">
        <v>7554622</v>
      </c>
      <c r="P1393" s="7"/>
      <c r="Q1393" s="16">
        <f>+IF(IFERROR(VLOOKUP(Tabla3[[#This Row],[Cliente factura]],Tabla4[[NIT]:[TOTAL CREDITO]],3,FALSE),0)="",0,IFERROR(VLOOKUP(Tabla3[[#This Row],[Cliente factura]],Tabla4[[NIT]:[TOTAL CREDITO]],3,FALSE),0))</f>
        <v>22577282</v>
      </c>
      <c r="R1393" s="9">
        <f>+IFERROR(VLOOKUP(Tabla3[[#This Row],[Cliente factura]],Tabla4[[NIT]:[TOTAL CREDITO]],6,FALSE),0)</f>
        <v>0</v>
      </c>
      <c r="S1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3" s="10" t="str">
        <f>VLOOKUP(Tabla3[[#This Row],[Razón social cliente factura]]&amp;Tabla3[[#This Row],[Desc. ciudad]],'Estandar de Rutas'!$C$1:$E$553,2,FALSE)</f>
        <v>7.2</v>
      </c>
      <c r="U1393" s="130">
        <f>IFERROR(VLOOKUP(Tabla3[[#This Row],[Referencia]]&amp;Tabla3[[#This Row],[Desc detalle ext 1]],Tabla1[[Referencia-Color]:[Disponibilidad]],3,FALSE),0)</f>
        <v>75</v>
      </c>
      <c r="V1393" s="13"/>
      <c r="W1393" s="17">
        <f>+Tabla3[[#This Row],[Cant. Programada]]*Tabla3[[#This Row],[Precio unit]]</f>
        <v>0</v>
      </c>
      <c r="X1393" s="8"/>
      <c r="Y1393" s="8"/>
      <c r="Z1393" s="8" t="str">
        <f>+Tabla3[[#This Row],[Referencia]]&amp;Tabla3[[#This Row],[Desc detalle ext 1]]</f>
        <v>CB 190R                                           ROJO NEGR</v>
      </c>
      <c r="AA1393" s="128" t="e">
        <f>+VLOOKUP(Tabla3[[#This Row],[CODIGO2]],ESTANDAR!$B$3:$C$9,2,FALSE)</f>
        <v>#N/A</v>
      </c>
      <c r="AB1393" s="128" t="str">
        <f>+MID(Tabla3[[#This Row],['# Viaje]],10,1)</f>
        <v/>
      </c>
    </row>
    <row r="1394" spans="1:28" ht="15" hidden="1" customHeight="1">
      <c r="A1394" s="72" t="s">
        <v>1731</v>
      </c>
      <c r="B1394" s="73">
        <v>42950</v>
      </c>
      <c r="C1394" s="72" t="s">
        <v>1477</v>
      </c>
      <c r="D1394" s="72" t="s">
        <v>1237</v>
      </c>
      <c r="E1394" s="72" t="s">
        <v>1479</v>
      </c>
      <c r="F1394" s="72">
        <v>3</v>
      </c>
      <c r="G1394" s="72" t="s">
        <v>395</v>
      </c>
      <c r="H1394" s="72">
        <v>3</v>
      </c>
      <c r="I1394" s="72" t="s">
        <v>395</v>
      </c>
      <c r="J1394" s="72" t="s">
        <v>10</v>
      </c>
      <c r="K1394" s="72" t="s">
        <v>11</v>
      </c>
      <c r="L1394" s="73"/>
      <c r="M1394" s="72" t="s">
        <v>184</v>
      </c>
      <c r="N1394" s="72">
        <v>901023135</v>
      </c>
      <c r="O1394" s="74">
        <v>7554622</v>
      </c>
      <c r="P1394" s="7"/>
      <c r="Q1394" s="16">
        <f>+IF(IFERROR(VLOOKUP(Tabla3[[#This Row],[Cliente factura]],Tabla4[[NIT]:[TOTAL CREDITO]],3,FALSE),0)="",0,IFERROR(VLOOKUP(Tabla3[[#This Row],[Cliente factura]],Tabla4[[NIT]:[TOTAL CREDITO]],3,FALSE),0))</f>
        <v>22577282</v>
      </c>
      <c r="R1394" s="9">
        <f>+IFERROR(VLOOKUP(Tabla3[[#This Row],[Cliente factura]],Tabla4[[NIT]:[TOTAL CREDITO]],6,FALSE),0)</f>
        <v>0</v>
      </c>
      <c r="S1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4" s="10" t="str">
        <f>VLOOKUP(Tabla3[[#This Row],[Razón social cliente factura]]&amp;Tabla3[[#This Row],[Desc. ciudad]],'Estandar de Rutas'!$C$1:$E$553,2,FALSE)</f>
        <v>7.2</v>
      </c>
      <c r="U1394" s="130">
        <f>IFERROR(VLOOKUP(Tabla3[[#This Row],[Referencia]]&amp;Tabla3[[#This Row],[Desc detalle ext 1]],Tabla1[[Referencia-Color]:[Disponibilidad]],3,FALSE),0)</f>
        <v>0</v>
      </c>
      <c r="V1394" s="13"/>
      <c r="W1394" s="17">
        <f>+Tabla3[[#This Row],[Cant. Programada]]*Tabla3[[#This Row],[Precio unit]]</f>
        <v>0</v>
      </c>
      <c r="X1394" s="8"/>
      <c r="Y1394" s="8"/>
      <c r="Z1394" s="8" t="str">
        <f>+Tabla3[[#This Row],[Referencia]]&amp;Tabla3[[#This Row],[Desc detalle ext 1]]</f>
        <v>CB 190R                                           NEGRO ONI</v>
      </c>
      <c r="AA1394" s="128" t="e">
        <f>+VLOOKUP(Tabla3[[#This Row],[CODIGO2]],ESTANDAR!$B$3:$C$9,2,FALSE)</f>
        <v>#N/A</v>
      </c>
      <c r="AB1394" s="128" t="str">
        <f>+MID(Tabla3[[#This Row],['# Viaje]],10,1)</f>
        <v/>
      </c>
    </row>
    <row r="1395" spans="1:28" ht="15" hidden="1" customHeight="1">
      <c r="A1395" s="72" t="s">
        <v>1731</v>
      </c>
      <c r="B1395" s="73">
        <v>42950</v>
      </c>
      <c r="C1395" s="72" t="s">
        <v>1477</v>
      </c>
      <c r="D1395" s="72" t="s">
        <v>1237</v>
      </c>
      <c r="E1395" s="72" t="s">
        <v>1479</v>
      </c>
      <c r="F1395" s="72">
        <v>3</v>
      </c>
      <c r="G1395" s="72" t="s">
        <v>395</v>
      </c>
      <c r="H1395" s="72">
        <v>3</v>
      </c>
      <c r="I1395" s="72" t="s">
        <v>395</v>
      </c>
      <c r="J1395" s="72" t="s">
        <v>1425</v>
      </c>
      <c r="K1395" s="72" t="s">
        <v>1426</v>
      </c>
      <c r="L1395" s="73"/>
      <c r="M1395" s="72" t="s">
        <v>184</v>
      </c>
      <c r="N1395" s="72">
        <v>901023135</v>
      </c>
      <c r="O1395" s="74">
        <v>7730252</v>
      </c>
      <c r="P1395" s="7"/>
      <c r="Q1395" s="16">
        <f>+IF(IFERROR(VLOOKUP(Tabla3[[#This Row],[Cliente factura]],Tabla4[[NIT]:[TOTAL CREDITO]],3,FALSE),0)="",0,IFERROR(VLOOKUP(Tabla3[[#This Row],[Cliente factura]],Tabla4[[NIT]:[TOTAL CREDITO]],3,FALSE),0))</f>
        <v>22577282</v>
      </c>
      <c r="R1395" s="9">
        <f>+IFERROR(VLOOKUP(Tabla3[[#This Row],[Cliente factura]],Tabla4[[NIT]:[TOTAL CREDITO]],6,FALSE),0)</f>
        <v>0</v>
      </c>
      <c r="S1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5" s="10" t="str">
        <f>VLOOKUP(Tabla3[[#This Row],[Razón social cliente factura]]&amp;Tabla3[[#This Row],[Desc. ciudad]],'Estandar de Rutas'!$C$1:$E$553,2,FALSE)</f>
        <v>7.2</v>
      </c>
      <c r="U1395" s="130">
        <f>IFERROR(VLOOKUP(Tabla3[[#This Row],[Referencia]]&amp;Tabla3[[#This Row],[Desc detalle ext 1]],Tabla1[[Referencia-Color]:[Disponibilidad]],3,FALSE),0)</f>
        <v>104</v>
      </c>
      <c r="V1395" s="13"/>
      <c r="W1395" s="17">
        <f>+Tabla3[[#This Row],[Cant. Programada]]*Tabla3[[#This Row],[Precio unit]]</f>
        <v>0</v>
      </c>
      <c r="X1395" s="8"/>
      <c r="Y1395" s="8"/>
      <c r="Z1395" s="8" t="str">
        <f>+Tabla3[[#This Row],[Referencia]]&amp;Tabla3[[#This Row],[Desc detalle ext 1]]</f>
        <v>CB 190 REPSOL                                     NARANJA B</v>
      </c>
      <c r="AA1395" s="128" t="e">
        <f>+VLOOKUP(Tabla3[[#This Row],[CODIGO2]],ESTANDAR!$B$3:$C$9,2,FALSE)</f>
        <v>#N/A</v>
      </c>
      <c r="AB1395" s="128" t="str">
        <f>+MID(Tabla3[[#This Row],['# Viaje]],10,1)</f>
        <v/>
      </c>
    </row>
    <row r="1396" spans="1:28" ht="15" hidden="1" customHeight="1">
      <c r="A1396" s="72" t="s">
        <v>1731</v>
      </c>
      <c r="B1396" s="73">
        <v>42950</v>
      </c>
      <c r="C1396" s="72" t="s">
        <v>1477</v>
      </c>
      <c r="D1396" s="72" t="s">
        <v>1237</v>
      </c>
      <c r="E1396" s="72" t="s">
        <v>1479</v>
      </c>
      <c r="F1396" s="72">
        <v>1</v>
      </c>
      <c r="G1396" s="72" t="s">
        <v>395</v>
      </c>
      <c r="H1396" s="72">
        <v>1</v>
      </c>
      <c r="I1396" s="72" t="s">
        <v>395</v>
      </c>
      <c r="J1396" s="72" t="s">
        <v>354</v>
      </c>
      <c r="K1396" s="72" t="s">
        <v>355</v>
      </c>
      <c r="L1396" s="73"/>
      <c r="M1396" s="72" t="s">
        <v>184</v>
      </c>
      <c r="N1396" s="72">
        <v>901023135</v>
      </c>
      <c r="O1396" s="74">
        <v>6133613</v>
      </c>
      <c r="P1396" s="7"/>
      <c r="Q1396" s="16">
        <f>+IF(IFERROR(VLOOKUP(Tabla3[[#This Row],[Cliente factura]],Tabla4[[NIT]:[TOTAL CREDITO]],3,FALSE),0)="",0,IFERROR(VLOOKUP(Tabla3[[#This Row],[Cliente factura]],Tabla4[[NIT]:[TOTAL CREDITO]],3,FALSE),0))</f>
        <v>22577282</v>
      </c>
      <c r="R1396" s="9">
        <f>+IFERROR(VLOOKUP(Tabla3[[#This Row],[Cliente factura]],Tabla4[[NIT]:[TOTAL CREDITO]],6,FALSE),0)</f>
        <v>0</v>
      </c>
      <c r="S1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6" s="10" t="str">
        <f>VLOOKUP(Tabla3[[#This Row],[Razón social cliente factura]]&amp;Tabla3[[#This Row],[Desc. ciudad]],'Estandar de Rutas'!$C$1:$E$553,2,FALSE)</f>
        <v>7.2</v>
      </c>
      <c r="U1396" s="130">
        <f>IFERROR(VLOOKUP(Tabla3[[#This Row],[Referencia]]&amp;Tabla3[[#This Row],[Desc detalle ext 1]],Tabla1[[Referencia-Color]:[Disponibilidad]],3,FALSE),0)</f>
        <v>0</v>
      </c>
      <c r="V1396" s="13"/>
      <c r="W1396" s="17">
        <f>+Tabla3[[#This Row],[Cant. Programada]]*Tabla3[[#This Row],[Precio unit]]</f>
        <v>0</v>
      </c>
      <c r="X1396" s="8"/>
      <c r="Y1396" s="8"/>
      <c r="Z1396" s="8" t="str">
        <f>+Tabla3[[#This Row],[Referencia]]&amp;Tabla3[[#This Row],[Desc detalle ext 1]]</f>
        <v>CB 160F DLX                                       NEGRO PER</v>
      </c>
      <c r="AA1396" s="128" t="e">
        <f>+VLOOKUP(Tabla3[[#This Row],[CODIGO2]],ESTANDAR!$B$3:$C$9,2,FALSE)</f>
        <v>#N/A</v>
      </c>
      <c r="AB1396" s="128" t="str">
        <f>+MID(Tabla3[[#This Row],['# Viaje]],10,1)</f>
        <v/>
      </c>
    </row>
    <row r="1397" spans="1:28" ht="15" hidden="1" customHeight="1">
      <c r="A1397" s="72" t="s">
        <v>1731</v>
      </c>
      <c r="B1397" s="73">
        <v>42950</v>
      </c>
      <c r="C1397" s="72" t="s">
        <v>1477</v>
      </c>
      <c r="D1397" s="72" t="s">
        <v>1237</v>
      </c>
      <c r="E1397" s="72" t="s">
        <v>1479</v>
      </c>
      <c r="F1397" s="72">
        <v>1</v>
      </c>
      <c r="G1397" s="72" t="s">
        <v>395</v>
      </c>
      <c r="H1397" s="72">
        <v>1</v>
      </c>
      <c r="I1397" s="72" t="s">
        <v>395</v>
      </c>
      <c r="J1397" s="72" t="s">
        <v>354</v>
      </c>
      <c r="K1397" s="72" t="s">
        <v>474</v>
      </c>
      <c r="L1397" s="73"/>
      <c r="M1397" s="72" t="s">
        <v>184</v>
      </c>
      <c r="N1397" s="72">
        <v>901023135</v>
      </c>
      <c r="O1397" s="74">
        <v>6133613</v>
      </c>
      <c r="P1397" s="7"/>
      <c r="Q1397" s="16">
        <f>+IF(IFERROR(VLOOKUP(Tabla3[[#This Row],[Cliente factura]],Tabla4[[NIT]:[TOTAL CREDITO]],3,FALSE),0)="",0,IFERROR(VLOOKUP(Tabla3[[#This Row],[Cliente factura]],Tabla4[[NIT]:[TOTAL CREDITO]],3,FALSE),0))</f>
        <v>22577282</v>
      </c>
      <c r="R1397" s="9">
        <f>+IFERROR(VLOOKUP(Tabla3[[#This Row],[Cliente factura]],Tabla4[[NIT]:[TOTAL CREDITO]],6,FALSE),0)</f>
        <v>0</v>
      </c>
      <c r="S1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7" s="10" t="str">
        <f>VLOOKUP(Tabla3[[#This Row],[Razón social cliente factura]]&amp;Tabla3[[#This Row],[Desc. ciudad]],'Estandar de Rutas'!$C$1:$E$553,2,FALSE)</f>
        <v>7.2</v>
      </c>
      <c r="U1397" s="130">
        <f>IFERROR(VLOOKUP(Tabla3[[#This Row],[Referencia]]&amp;Tabla3[[#This Row],[Desc detalle ext 1]],Tabla1[[Referencia-Color]:[Disponibilidad]],3,FALSE),0)</f>
        <v>3</v>
      </c>
      <c r="V1397" s="13"/>
      <c r="W1397" s="17">
        <f>+Tabla3[[#This Row],[Cant. Programada]]*Tabla3[[#This Row],[Precio unit]]</f>
        <v>0</v>
      </c>
      <c r="X1397" s="8"/>
      <c r="Y1397" s="8"/>
      <c r="Z1397" s="8" t="str">
        <f>+Tabla3[[#This Row],[Referencia]]&amp;Tabla3[[#This Row],[Desc detalle ext 1]]</f>
        <v>CB 160F DLX                                       NARANJA N</v>
      </c>
      <c r="AA1397" s="128" t="e">
        <f>+VLOOKUP(Tabla3[[#This Row],[CODIGO2]],ESTANDAR!$B$3:$C$9,2,FALSE)</f>
        <v>#N/A</v>
      </c>
      <c r="AB1397" s="128" t="str">
        <f>+MID(Tabla3[[#This Row],['# Viaje]],10,1)</f>
        <v/>
      </c>
    </row>
    <row r="1398" spans="1:28" ht="15" hidden="1" customHeight="1">
      <c r="A1398" s="72" t="s">
        <v>1731</v>
      </c>
      <c r="B1398" s="73">
        <v>42950</v>
      </c>
      <c r="C1398" s="72" t="s">
        <v>1477</v>
      </c>
      <c r="D1398" s="72" t="s">
        <v>1237</v>
      </c>
      <c r="E1398" s="72" t="s">
        <v>1479</v>
      </c>
      <c r="F1398" s="72">
        <v>1</v>
      </c>
      <c r="G1398" s="72" t="s">
        <v>395</v>
      </c>
      <c r="H1398" s="72">
        <v>1</v>
      </c>
      <c r="I1398" s="72" t="s">
        <v>395</v>
      </c>
      <c r="J1398" s="72" t="s">
        <v>354</v>
      </c>
      <c r="K1398" s="72" t="s">
        <v>44</v>
      </c>
      <c r="L1398" s="73"/>
      <c r="M1398" s="72" t="s">
        <v>184</v>
      </c>
      <c r="N1398" s="72">
        <v>901023135</v>
      </c>
      <c r="O1398" s="74">
        <v>6133613</v>
      </c>
      <c r="P1398" s="7"/>
      <c r="Q1398" s="16">
        <f>+IF(IFERROR(VLOOKUP(Tabla3[[#This Row],[Cliente factura]],Tabla4[[NIT]:[TOTAL CREDITO]],3,FALSE),0)="",0,IFERROR(VLOOKUP(Tabla3[[#This Row],[Cliente factura]],Tabla4[[NIT]:[TOTAL CREDITO]],3,FALSE),0))</f>
        <v>22577282</v>
      </c>
      <c r="R1398" s="9">
        <f>+IFERROR(VLOOKUP(Tabla3[[#This Row],[Cliente factura]],Tabla4[[NIT]:[TOTAL CREDITO]],6,FALSE),0)</f>
        <v>0</v>
      </c>
      <c r="S1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8" s="10" t="str">
        <f>VLOOKUP(Tabla3[[#This Row],[Razón social cliente factura]]&amp;Tabla3[[#This Row],[Desc. ciudad]],'Estandar de Rutas'!$C$1:$E$553,2,FALSE)</f>
        <v>7.2</v>
      </c>
      <c r="U1398" s="130">
        <f>IFERROR(VLOOKUP(Tabla3[[#This Row],[Referencia]]&amp;Tabla3[[#This Row],[Desc detalle ext 1]],Tabla1[[Referencia-Color]:[Disponibilidad]],3,FALSE),0)</f>
        <v>6</v>
      </c>
      <c r="V1398" s="13"/>
      <c r="W1398" s="17">
        <f>+Tabla3[[#This Row],[Cant. Programada]]*Tabla3[[#This Row],[Precio unit]]</f>
        <v>0</v>
      </c>
      <c r="X1398" s="8"/>
      <c r="Y1398" s="8"/>
      <c r="Z1398" s="8" t="str">
        <f>+Tabla3[[#This Row],[Referencia]]&amp;Tabla3[[#This Row],[Desc detalle ext 1]]</f>
        <v>CB 160F DLX                                       BLANCO PE</v>
      </c>
      <c r="AA1398" s="128" t="e">
        <f>+VLOOKUP(Tabla3[[#This Row],[CODIGO2]],ESTANDAR!$B$3:$C$9,2,FALSE)</f>
        <v>#N/A</v>
      </c>
      <c r="AB1398" s="128" t="str">
        <f>+MID(Tabla3[[#This Row],['# Viaje]],10,1)</f>
        <v/>
      </c>
    </row>
    <row r="1399" spans="1:28" ht="15" hidden="1" customHeight="1">
      <c r="A1399" s="72" t="s">
        <v>1731</v>
      </c>
      <c r="B1399" s="73">
        <v>42950</v>
      </c>
      <c r="C1399" s="72" t="s">
        <v>1477</v>
      </c>
      <c r="D1399" s="72" t="s">
        <v>1237</v>
      </c>
      <c r="E1399" s="72" t="s">
        <v>1479</v>
      </c>
      <c r="F1399" s="72">
        <v>1</v>
      </c>
      <c r="G1399" s="72" t="s">
        <v>395</v>
      </c>
      <c r="H1399" s="72">
        <v>1</v>
      </c>
      <c r="I1399" s="72" t="s">
        <v>395</v>
      </c>
      <c r="J1399" s="72" t="s">
        <v>354</v>
      </c>
      <c r="K1399" s="72" t="s">
        <v>17</v>
      </c>
      <c r="L1399" s="73"/>
      <c r="M1399" s="72" t="s">
        <v>184</v>
      </c>
      <c r="N1399" s="72">
        <v>901023135</v>
      </c>
      <c r="O1399" s="74">
        <v>6133613</v>
      </c>
      <c r="P1399" s="7"/>
      <c r="Q1399" s="16">
        <f>+IF(IFERROR(VLOOKUP(Tabla3[[#This Row],[Cliente factura]],Tabla4[[NIT]:[TOTAL CREDITO]],3,FALSE),0)="",0,IFERROR(VLOOKUP(Tabla3[[#This Row],[Cliente factura]],Tabla4[[NIT]:[TOTAL CREDITO]],3,FALSE),0))</f>
        <v>22577282</v>
      </c>
      <c r="R1399" s="9">
        <f>+IFERROR(VLOOKUP(Tabla3[[#This Row],[Cliente factura]],Tabla4[[NIT]:[TOTAL CREDITO]],6,FALSE),0)</f>
        <v>0</v>
      </c>
      <c r="S1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9" s="10" t="str">
        <f>VLOOKUP(Tabla3[[#This Row],[Razón social cliente factura]]&amp;Tabla3[[#This Row],[Desc. ciudad]],'Estandar de Rutas'!$C$1:$E$553,2,FALSE)</f>
        <v>7.2</v>
      </c>
      <c r="U1399" s="130">
        <f>IFERROR(VLOOKUP(Tabla3[[#This Row],[Referencia]]&amp;Tabla3[[#This Row],[Desc detalle ext 1]],Tabla1[[Referencia-Color]:[Disponibilidad]],3,FALSE),0)</f>
        <v>48</v>
      </c>
      <c r="V1399" s="13"/>
      <c r="W1399" s="17">
        <f>+Tabla3[[#This Row],[Cant. Programada]]*Tabla3[[#This Row],[Precio unit]]</f>
        <v>0</v>
      </c>
      <c r="X1399" s="8"/>
      <c r="Y1399" s="8"/>
      <c r="Z1399" s="8" t="str">
        <f>+Tabla3[[#This Row],[Referencia]]&amp;Tabla3[[#This Row],[Desc detalle ext 1]]</f>
        <v>CB 160F DLX                                       ROJO SPOR</v>
      </c>
      <c r="AA1399" s="128" t="e">
        <f>+VLOOKUP(Tabla3[[#This Row],[CODIGO2]],ESTANDAR!$B$3:$C$9,2,FALSE)</f>
        <v>#N/A</v>
      </c>
      <c r="AB1399" s="128" t="str">
        <f>+MID(Tabla3[[#This Row],['# Viaje]],10,1)</f>
        <v/>
      </c>
    </row>
    <row r="1400" spans="1:28" ht="15" hidden="1" customHeight="1">
      <c r="A1400" s="72" t="s">
        <v>1731</v>
      </c>
      <c r="B1400" s="73">
        <v>42950</v>
      </c>
      <c r="C1400" s="72" t="s">
        <v>1477</v>
      </c>
      <c r="D1400" s="72" t="s">
        <v>1237</v>
      </c>
      <c r="E1400" s="72" t="s">
        <v>1479</v>
      </c>
      <c r="F1400" s="72">
        <v>1</v>
      </c>
      <c r="G1400" s="72" t="s">
        <v>395</v>
      </c>
      <c r="H1400" s="72">
        <v>1</v>
      </c>
      <c r="I1400" s="72" t="s">
        <v>395</v>
      </c>
      <c r="J1400" s="72" t="s">
        <v>1433</v>
      </c>
      <c r="K1400" s="72" t="s">
        <v>1434</v>
      </c>
      <c r="L1400" s="73"/>
      <c r="M1400" s="72" t="s">
        <v>184</v>
      </c>
      <c r="N1400" s="72">
        <v>901023135</v>
      </c>
      <c r="O1400" s="74">
        <v>3521008</v>
      </c>
      <c r="P1400" s="7"/>
      <c r="Q1400" s="16">
        <f>+IF(IFERROR(VLOOKUP(Tabla3[[#This Row],[Cliente factura]],Tabla4[[NIT]:[TOTAL CREDITO]],3,FALSE),0)="",0,IFERROR(VLOOKUP(Tabla3[[#This Row],[Cliente factura]],Tabla4[[NIT]:[TOTAL CREDITO]],3,FALSE),0))</f>
        <v>22577282</v>
      </c>
      <c r="R1400" s="9">
        <f>+IFERROR(VLOOKUP(Tabla3[[#This Row],[Cliente factura]],Tabla4[[NIT]:[TOTAL CREDITO]],6,FALSE),0)</f>
        <v>0</v>
      </c>
      <c r="S1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0" s="10" t="str">
        <f>VLOOKUP(Tabla3[[#This Row],[Razón social cliente factura]]&amp;Tabla3[[#This Row],[Desc. ciudad]],'Estandar de Rutas'!$C$1:$E$553,2,FALSE)</f>
        <v>7.2</v>
      </c>
      <c r="U1400" s="130">
        <f>IFERROR(VLOOKUP(Tabla3[[#This Row],[Referencia]]&amp;Tabla3[[#This Row],[Desc detalle ext 1]],Tabla1[[Referencia-Color]:[Disponibilidad]],3,FALSE),0)</f>
        <v>23</v>
      </c>
      <c r="V1400" s="13"/>
      <c r="W1400" s="17">
        <f>+Tabla3[[#This Row],[Cant. Programada]]*Tabla3[[#This Row],[Precio unit]]</f>
        <v>0</v>
      </c>
      <c r="X1400" s="8"/>
      <c r="Y1400" s="8"/>
      <c r="Z1400" s="8" t="str">
        <f>+Tabla3[[#This Row],[Referencia]]&amp;Tabla3[[#This Row],[Desc detalle ext 1]]</f>
        <v>DIO  110                                          BLANCO NE</v>
      </c>
      <c r="AA1400" s="128" t="e">
        <f>+VLOOKUP(Tabla3[[#This Row],[CODIGO2]],ESTANDAR!$B$3:$C$9,2,FALSE)</f>
        <v>#N/A</v>
      </c>
      <c r="AB1400" s="128" t="str">
        <f>+MID(Tabla3[[#This Row],['# Viaje]],10,1)</f>
        <v/>
      </c>
    </row>
    <row r="1401" spans="1:28" ht="15" hidden="1" customHeight="1">
      <c r="A1401" s="72" t="s">
        <v>1731</v>
      </c>
      <c r="B1401" s="73">
        <v>42950</v>
      </c>
      <c r="C1401" s="72" t="s">
        <v>1477</v>
      </c>
      <c r="D1401" s="72" t="s">
        <v>1237</v>
      </c>
      <c r="E1401" s="72" t="s">
        <v>1479</v>
      </c>
      <c r="F1401" s="72">
        <v>1</v>
      </c>
      <c r="G1401" s="72" t="s">
        <v>395</v>
      </c>
      <c r="H1401" s="72">
        <v>1</v>
      </c>
      <c r="I1401" s="72" t="s">
        <v>395</v>
      </c>
      <c r="J1401" s="72" t="s">
        <v>1433</v>
      </c>
      <c r="K1401" s="72" t="s">
        <v>1431</v>
      </c>
      <c r="L1401" s="73"/>
      <c r="M1401" s="72" t="s">
        <v>184</v>
      </c>
      <c r="N1401" s="72">
        <v>901023135</v>
      </c>
      <c r="O1401" s="74">
        <v>3521008</v>
      </c>
      <c r="P1401" s="7"/>
      <c r="Q1401" s="16">
        <f>+IF(IFERROR(VLOOKUP(Tabla3[[#This Row],[Cliente factura]],Tabla4[[NIT]:[TOTAL CREDITO]],3,FALSE),0)="",0,IFERROR(VLOOKUP(Tabla3[[#This Row],[Cliente factura]],Tabla4[[NIT]:[TOTAL CREDITO]],3,FALSE),0))</f>
        <v>22577282</v>
      </c>
      <c r="R1401" s="9">
        <f>+IFERROR(VLOOKUP(Tabla3[[#This Row],[Cliente factura]],Tabla4[[NIT]:[TOTAL CREDITO]],6,FALSE),0)</f>
        <v>0</v>
      </c>
      <c r="S1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1" s="10" t="str">
        <f>VLOOKUP(Tabla3[[#This Row],[Razón social cliente factura]]&amp;Tabla3[[#This Row],[Desc. ciudad]],'Estandar de Rutas'!$C$1:$E$553,2,FALSE)</f>
        <v>7.2</v>
      </c>
      <c r="U1401" s="130">
        <f>IFERROR(VLOOKUP(Tabla3[[#This Row],[Referencia]]&amp;Tabla3[[#This Row],[Desc detalle ext 1]],Tabla1[[Referencia-Color]:[Disponibilidad]],3,FALSE),0)</f>
        <v>0</v>
      </c>
      <c r="V1401" s="13"/>
      <c r="W1401" s="17">
        <f>+Tabla3[[#This Row],[Cant. Programada]]*Tabla3[[#This Row],[Precio unit]]</f>
        <v>0</v>
      </c>
      <c r="X1401" s="8"/>
      <c r="Y1401" s="8"/>
      <c r="Z1401" s="8" t="str">
        <f>+Tabla3[[#This Row],[Referencia]]&amp;Tabla3[[#This Row],[Desc detalle ext 1]]</f>
        <v xml:space="preserve">DIO  110                                          ROJO     </v>
      </c>
      <c r="AA1401" s="128" t="e">
        <f>+VLOOKUP(Tabla3[[#This Row],[CODIGO2]],ESTANDAR!$B$3:$C$9,2,FALSE)</f>
        <v>#N/A</v>
      </c>
      <c r="AB1401" s="128" t="str">
        <f>+MID(Tabla3[[#This Row],['# Viaje]],10,1)</f>
        <v/>
      </c>
    </row>
    <row r="1402" spans="1:28" ht="15" hidden="1" customHeight="1">
      <c r="A1402" s="72" t="s">
        <v>1731</v>
      </c>
      <c r="B1402" s="73">
        <v>42950</v>
      </c>
      <c r="C1402" s="72" t="s">
        <v>1477</v>
      </c>
      <c r="D1402" s="72" t="s">
        <v>1237</v>
      </c>
      <c r="E1402" s="72" t="s">
        <v>1479</v>
      </c>
      <c r="F1402" s="72">
        <v>1</v>
      </c>
      <c r="G1402" s="72" t="s">
        <v>395</v>
      </c>
      <c r="H1402" s="72">
        <v>1</v>
      </c>
      <c r="I1402" s="72" t="s">
        <v>395</v>
      </c>
      <c r="J1402" s="72" t="s">
        <v>1428</v>
      </c>
      <c r="K1402" s="72" t="s">
        <v>32</v>
      </c>
      <c r="L1402" s="73"/>
      <c r="M1402" s="72" t="s">
        <v>184</v>
      </c>
      <c r="N1402" s="72">
        <v>901023135</v>
      </c>
      <c r="O1402" s="74">
        <v>3067227</v>
      </c>
      <c r="P1402" s="7"/>
      <c r="Q1402" s="16">
        <f>+IF(IFERROR(VLOOKUP(Tabla3[[#This Row],[Cliente factura]],Tabla4[[NIT]:[TOTAL CREDITO]],3,FALSE),0)="",0,IFERROR(VLOOKUP(Tabla3[[#This Row],[Cliente factura]],Tabla4[[NIT]:[TOTAL CREDITO]],3,FALSE),0))</f>
        <v>22577282</v>
      </c>
      <c r="R1402" s="9">
        <f>+IFERROR(VLOOKUP(Tabla3[[#This Row],[Cliente factura]],Tabla4[[NIT]:[TOTAL CREDITO]],6,FALSE),0)</f>
        <v>0</v>
      </c>
      <c r="S1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2" s="10" t="str">
        <f>VLOOKUP(Tabla3[[#This Row],[Razón social cliente factura]]&amp;Tabla3[[#This Row],[Desc. ciudad]],'Estandar de Rutas'!$C$1:$E$553,2,FALSE)</f>
        <v>7.2</v>
      </c>
      <c r="U1402" s="130">
        <f>IFERROR(VLOOKUP(Tabla3[[#This Row],[Referencia]]&amp;Tabla3[[#This Row],[Desc detalle ext 1]],Tabla1[[Referencia-Color]:[Disponibilidad]],3,FALSE),0)</f>
        <v>0</v>
      </c>
      <c r="V1402" s="13"/>
      <c r="W1402" s="17">
        <f>+Tabla3[[#This Row],[Cant. Programada]]*Tabla3[[#This Row],[Precio unit]]</f>
        <v>0</v>
      </c>
      <c r="X1402" s="8"/>
      <c r="Y1402" s="8"/>
      <c r="Z1402" s="8" t="str">
        <f>+Tabla3[[#This Row],[Referencia]]&amp;Tabla3[[#This Row],[Desc detalle ext 1]]</f>
        <v>DREAM  NEO                                        NEGRO ROJ</v>
      </c>
      <c r="AA1402" s="128" t="e">
        <f>+VLOOKUP(Tabla3[[#This Row],[CODIGO2]],ESTANDAR!$B$3:$C$9,2,FALSE)</f>
        <v>#N/A</v>
      </c>
      <c r="AB1402" s="128" t="str">
        <f>+MID(Tabla3[[#This Row],['# Viaje]],10,1)</f>
        <v/>
      </c>
    </row>
    <row r="1403" spans="1:28" ht="15" hidden="1" customHeight="1">
      <c r="A1403" s="72" t="s">
        <v>1731</v>
      </c>
      <c r="B1403" s="73">
        <v>42950</v>
      </c>
      <c r="C1403" s="72" t="s">
        <v>1477</v>
      </c>
      <c r="D1403" s="72" t="s">
        <v>1237</v>
      </c>
      <c r="E1403" s="72" t="s">
        <v>1479</v>
      </c>
      <c r="F1403" s="72">
        <v>1</v>
      </c>
      <c r="G1403" s="72" t="s">
        <v>395</v>
      </c>
      <c r="H1403" s="72">
        <v>1</v>
      </c>
      <c r="I1403" s="72" t="s">
        <v>395</v>
      </c>
      <c r="J1403" s="72" t="s">
        <v>1234</v>
      </c>
      <c r="K1403" s="72" t="s">
        <v>17</v>
      </c>
      <c r="L1403" s="73"/>
      <c r="M1403" s="72" t="s">
        <v>184</v>
      </c>
      <c r="N1403" s="72">
        <v>901023135</v>
      </c>
      <c r="O1403" s="74">
        <v>5453782</v>
      </c>
      <c r="P1403" s="7"/>
      <c r="Q1403" s="16">
        <f>+IF(IFERROR(VLOOKUP(Tabla3[[#This Row],[Cliente factura]],Tabla4[[NIT]:[TOTAL CREDITO]],3,FALSE),0)="",0,IFERROR(VLOOKUP(Tabla3[[#This Row],[Cliente factura]],Tabla4[[NIT]:[TOTAL CREDITO]],3,FALSE),0))</f>
        <v>22577282</v>
      </c>
      <c r="R1403" s="9">
        <f>+IFERROR(VLOOKUP(Tabla3[[#This Row],[Cliente factura]],Tabla4[[NIT]:[TOTAL CREDITO]],6,FALSE),0)</f>
        <v>0</v>
      </c>
      <c r="S1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3" s="10" t="str">
        <f>VLOOKUP(Tabla3[[#This Row],[Razón social cliente factura]]&amp;Tabla3[[#This Row],[Desc. ciudad]],'Estandar de Rutas'!$C$1:$E$553,2,FALSE)</f>
        <v>7.2</v>
      </c>
      <c r="U1403" s="130">
        <f>IFERROR(VLOOKUP(Tabla3[[#This Row],[Referencia]]&amp;Tabla3[[#This Row],[Desc detalle ext 1]],Tabla1[[Referencia-Color]:[Disponibilidad]],3,FALSE),0)</f>
        <v>0</v>
      </c>
      <c r="V1403" s="13"/>
      <c r="W1403" s="17">
        <f>+Tabla3[[#This Row],[Cant. Programada]]*Tabla3[[#This Row],[Precio unit]]</f>
        <v>0</v>
      </c>
      <c r="X1403" s="8"/>
      <c r="Y1403" s="8"/>
      <c r="Z1403" s="8" t="str">
        <f>+Tabla3[[#This Row],[Referencia]]&amp;Tabla3[[#This Row],[Desc detalle ext 1]]</f>
        <v>CB 160F STD                                       ROJO SPOR</v>
      </c>
      <c r="AA1403" s="128" t="e">
        <f>+VLOOKUP(Tabla3[[#This Row],[CODIGO2]],ESTANDAR!$B$3:$C$9,2,FALSE)</f>
        <v>#N/A</v>
      </c>
      <c r="AB1403" s="128" t="str">
        <f>+MID(Tabla3[[#This Row],['# Viaje]],10,1)</f>
        <v/>
      </c>
    </row>
    <row r="1404" spans="1:28" ht="15" hidden="1" customHeight="1">
      <c r="A1404" s="72" t="s">
        <v>1731</v>
      </c>
      <c r="B1404" s="73">
        <v>42950</v>
      </c>
      <c r="C1404" s="72" t="s">
        <v>1477</v>
      </c>
      <c r="D1404" s="72" t="s">
        <v>1237</v>
      </c>
      <c r="E1404" s="72" t="s">
        <v>1479</v>
      </c>
      <c r="F1404" s="72">
        <v>2</v>
      </c>
      <c r="G1404" s="72" t="s">
        <v>395</v>
      </c>
      <c r="H1404" s="72">
        <v>2</v>
      </c>
      <c r="I1404" s="72" t="s">
        <v>395</v>
      </c>
      <c r="J1404" s="72" t="s">
        <v>1234</v>
      </c>
      <c r="K1404" s="72" t="s">
        <v>355</v>
      </c>
      <c r="L1404" s="72"/>
      <c r="M1404" s="72" t="s">
        <v>184</v>
      </c>
      <c r="N1404" s="72">
        <v>901023135</v>
      </c>
      <c r="O1404" s="72">
        <v>5453782</v>
      </c>
      <c r="P1404" s="7"/>
      <c r="Q1404" s="16">
        <f>+IF(IFERROR(VLOOKUP(Tabla3[[#This Row],[Cliente factura]],Tabla4[[NIT]:[TOTAL CREDITO]],3,FALSE),0)="",0,IFERROR(VLOOKUP(Tabla3[[#This Row],[Cliente factura]],Tabla4[[NIT]:[TOTAL CREDITO]],3,FALSE),0))</f>
        <v>22577282</v>
      </c>
      <c r="R1404" s="9">
        <f>+IFERROR(VLOOKUP(Tabla3[[#This Row],[Cliente factura]],Tabla4[[NIT]:[TOTAL CREDITO]],6,FALSE),0)</f>
        <v>0</v>
      </c>
      <c r="S1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4" s="10" t="str">
        <f>VLOOKUP(Tabla3[[#This Row],[Razón social cliente factura]]&amp;Tabla3[[#This Row],[Desc. ciudad]],'Estandar de Rutas'!$C$1:$E$553,2,FALSE)</f>
        <v>7.2</v>
      </c>
      <c r="U1404" s="130">
        <f>IFERROR(VLOOKUP(Tabla3[[#This Row],[Referencia]]&amp;Tabla3[[#This Row],[Desc detalle ext 1]],Tabla1[[Referencia-Color]:[Disponibilidad]],3,FALSE),0)</f>
        <v>0</v>
      </c>
      <c r="V1404" s="13"/>
      <c r="W1404" s="17">
        <f>+Tabla3[[#This Row],[Cant. Programada]]*Tabla3[[#This Row],[Precio unit]]</f>
        <v>0</v>
      </c>
      <c r="X1404" s="8"/>
      <c r="Y1404" s="8"/>
      <c r="Z1404" s="8" t="str">
        <f>+Tabla3[[#This Row],[Referencia]]&amp;Tabla3[[#This Row],[Desc detalle ext 1]]</f>
        <v>CB 160F STD                                       NEGRO PER</v>
      </c>
      <c r="AA1404" s="128" t="e">
        <f>+VLOOKUP(Tabla3[[#This Row],[CODIGO2]],ESTANDAR!$B$3:$C$9,2,FALSE)</f>
        <v>#N/A</v>
      </c>
      <c r="AB1404" s="128" t="str">
        <f>+MID(Tabla3[[#This Row],['# Viaje]],10,1)</f>
        <v/>
      </c>
    </row>
    <row r="1405" spans="1:28" ht="15" hidden="1" customHeight="1">
      <c r="A1405" s="72" t="s">
        <v>1732</v>
      </c>
      <c r="B1405" s="73">
        <v>42950</v>
      </c>
      <c r="C1405" s="72" t="s">
        <v>1231</v>
      </c>
      <c r="D1405" s="72" t="s">
        <v>1237</v>
      </c>
      <c r="E1405" s="72" t="s">
        <v>1479</v>
      </c>
      <c r="F1405" s="72">
        <v>1</v>
      </c>
      <c r="G1405" s="72" t="s">
        <v>395</v>
      </c>
      <c r="H1405" s="72">
        <v>1</v>
      </c>
      <c r="I1405" s="72" t="s">
        <v>1733</v>
      </c>
      <c r="J1405" s="72" t="s">
        <v>27</v>
      </c>
      <c r="K1405" s="72" t="s">
        <v>32</v>
      </c>
      <c r="L1405" s="73"/>
      <c r="M1405" s="72" t="s">
        <v>202</v>
      </c>
      <c r="N1405" s="72">
        <v>901023135</v>
      </c>
      <c r="O1405" s="74">
        <v>5789916</v>
      </c>
      <c r="P1405" s="7"/>
      <c r="Q1405" s="16">
        <f>+IF(IFERROR(VLOOKUP(Tabla3[[#This Row],[Cliente factura]],Tabla4[[NIT]:[TOTAL CREDITO]],3,FALSE),0)="",0,IFERROR(VLOOKUP(Tabla3[[#This Row],[Cliente factura]],Tabla4[[NIT]:[TOTAL CREDITO]],3,FALSE),0))</f>
        <v>22577282</v>
      </c>
      <c r="R1405" s="9">
        <f>+IFERROR(VLOOKUP(Tabla3[[#This Row],[Cliente factura]],Tabla4[[NIT]:[TOTAL CREDITO]],6,FALSE),0)</f>
        <v>0</v>
      </c>
      <c r="S1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5" s="10" t="str">
        <f>VLOOKUP(Tabla3[[#This Row],[Razón social cliente factura]]&amp;Tabla3[[#This Row],[Desc. ciudad]],'Estandar de Rutas'!$C$1:$E$553,2,FALSE)</f>
        <v>7.2.A</v>
      </c>
      <c r="U1405" s="130">
        <f>IFERROR(VLOOKUP(Tabla3[[#This Row],[Referencia]]&amp;Tabla3[[#This Row],[Desc detalle ext 1]],Tabla1[[Referencia-Color]:[Disponibilidad]],3,FALSE),0)</f>
        <v>7</v>
      </c>
      <c r="V1405" s="13"/>
      <c r="W1405" s="17">
        <f>+Tabla3[[#This Row],[Cant. Programada]]*Tabla3[[#This Row],[Precio unit]]</f>
        <v>0</v>
      </c>
      <c r="X1405" s="8"/>
      <c r="Y1405" s="8"/>
      <c r="Z1405" s="8" t="str">
        <f>+Tabla3[[#This Row],[Referencia]]&amp;Tabla3[[#This Row],[Desc detalle ext 1]]</f>
        <v>*XR 150L                                          NEGRO ROJ</v>
      </c>
      <c r="AA1405" s="128" t="e">
        <f>+VLOOKUP(Tabla3[[#This Row],[CODIGO2]],ESTANDAR!$B$3:$C$9,2,FALSE)</f>
        <v>#N/A</v>
      </c>
      <c r="AB1405" s="128" t="str">
        <f>+MID(Tabla3[[#This Row],['# Viaje]],10,1)</f>
        <v/>
      </c>
    </row>
    <row r="1406" spans="1:28" ht="15" hidden="1" customHeight="1">
      <c r="A1406" s="72" t="s">
        <v>1732</v>
      </c>
      <c r="B1406" s="73">
        <v>42950</v>
      </c>
      <c r="C1406" s="72" t="s">
        <v>1231</v>
      </c>
      <c r="D1406" s="72" t="s">
        <v>1237</v>
      </c>
      <c r="E1406" s="72" t="s">
        <v>1479</v>
      </c>
      <c r="F1406" s="72">
        <v>1</v>
      </c>
      <c r="G1406" s="72" t="s">
        <v>395</v>
      </c>
      <c r="H1406" s="72">
        <v>1</v>
      </c>
      <c r="I1406" s="72" t="s">
        <v>1733</v>
      </c>
      <c r="J1406" s="72" t="s">
        <v>27</v>
      </c>
      <c r="K1406" s="72" t="s">
        <v>26</v>
      </c>
      <c r="L1406" s="73"/>
      <c r="M1406" s="72" t="s">
        <v>202</v>
      </c>
      <c r="N1406" s="72">
        <v>901023135</v>
      </c>
      <c r="O1406" s="74">
        <v>5789916</v>
      </c>
      <c r="P1406" s="7"/>
      <c r="Q1406" s="16">
        <f>+IF(IFERROR(VLOOKUP(Tabla3[[#This Row],[Cliente factura]],Tabla4[[NIT]:[TOTAL CREDITO]],3,FALSE),0)="",0,IFERROR(VLOOKUP(Tabla3[[#This Row],[Cliente factura]],Tabla4[[NIT]:[TOTAL CREDITO]],3,FALSE),0))</f>
        <v>22577282</v>
      </c>
      <c r="R1406" s="9">
        <f>+IFERROR(VLOOKUP(Tabla3[[#This Row],[Cliente factura]],Tabla4[[NIT]:[TOTAL CREDITO]],6,FALSE),0)</f>
        <v>0</v>
      </c>
      <c r="S1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6" s="10" t="str">
        <f>VLOOKUP(Tabla3[[#This Row],[Razón social cliente factura]]&amp;Tabla3[[#This Row],[Desc. ciudad]],'Estandar de Rutas'!$C$1:$E$553,2,FALSE)</f>
        <v>7.2.A</v>
      </c>
      <c r="U1406" s="130">
        <f>IFERROR(VLOOKUP(Tabla3[[#This Row],[Referencia]]&amp;Tabla3[[#This Row],[Desc detalle ext 1]],Tabla1[[Referencia-Color]:[Disponibilidad]],3,FALSE),0)</f>
        <v>59</v>
      </c>
      <c r="V1406" s="13"/>
      <c r="W1406" s="17">
        <f>+Tabla3[[#This Row],[Cant. Programada]]*Tabla3[[#This Row],[Precio unit]]</f>
        <v>0</v>
      </c>
      <c r="X1406" s="8"/>
      <c r="Y1406" s="8"/>
      <c r="Z1406" s="8" t="str">
        <f>+Tabla3[[#This Row],[Referencia]]&amp;Tabla3[[#This Row],[Desc detalle ext 1]]</f>
        <v>*XR 150L                                          NEGRO BLA</v>
      </c>
      <c r="AA1406" s="128" t="e">
        <f>+VLOOKUP(Tabla3[[#This Row],[CODIGO2]],ESTANDAR!$B$3:$C$9,2,FALSE)</f>
        <v>#N/A</v>
      </c>
      <c r="AB1406" s="128" t="str">
        <f>+MID(Tabla3[[#This Row],['# Viaje]],10,1)</f>
        <v/>
      </c>
    </row>
    <row r="1407" spans="1:28" ht="15" hidden="1" customHeight="1">
      <c r="A1407" s="72" t="s">
        <v>1732</v>
      </c>
      <c r="B1407" s="73">
        <v>42950</v>
      </c>
      <c r="C1407" s="72" t="s">
        <v>1231</v>
      </c>
      <c r="D1407" s="72" t="s">
        <v>1237</v>
      </c>
      <c r="E1407" s="72" t="s">
        <v>1479</v>
      </c>
      <c r="F1407" s="72">
        <v>1</v>
      </c>
      <c r="G1407" s="72" t="s">
        <v>395</v>
      </c>
      <c r="H1407" s="72">
        <v>1</v>
      </c>
      <c r="I1407" s="72" t="s">
        <v>1733</v>
      </c>
      <c r="J1407" s="72" t="s">
        <v>10</v>
      </c>
      <c r="K1407" s="72" t="s">
        <v>11</v>
      </c>
      <c r="L1407" s="73"/>
      <c r="M1407" s="72" t="s">
        <v>202</v>
      </c>
      <c r="N1407" s="72">
        <v>901023135</v>
      </c>
      <c r="O1407" s="74">
        <v>7554622</v>
      </c>
      <c r="P1407" s="7"/>
      <c r="Q1407" s="16">
        <f>+IF(IFERROR(VLOOKUP(Tabla3[[#This Row],[Cliente factura]],Tabla4[[NIT]:[TOTAL CREDITO]],3,FALSE),0)="",0,IFERROR(VLOOKUP(Tabla3[[#This Row],[Cliente factura]],Tabla4[[NIT]:[TOTAL CREDITO]],3,FALSE),0))</f>
        <v>22577282</v>
      </c>
      <c r="R1407" s="9">
        <f>+IFERROR(VLOOKUP(Tabla3[[#This Row],[Cliente factura]],Tabla4[[NIT]:[TOTAL CREDITO]],6,FALSE),0)</f>
        <v>0</v>
      </c>
      <c r="S1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7" s="10" t="str">
        <f>VLOOKUP(Tabla3[[#This Row],[Razón social cliente factura]]&amp;Tabla3[[#This Row],[Desc. ciudad]],'Estandar de Rutas'!$C$1:$E$553,2,FALSE)</f>
        <v>7.2.A</v>
      </c>
      <c r="U1407" s="130">
        <f>IFERROR(VLOOKUP(Tabla3[[#This Row],[Referencia]]&amp;Tabla3[[#This Row],[Desc detalle ext 1]],Tabla1[[Referencia-Color]:[Disponibilidad]],3,FALSE),0)</f>
        <v>0</v>
      </c>
      <c r="V1407" s="13"/>
      <c r="W1407" s="17">
        <f>+Tabla3[[#This Row],[Cant. Programada]]*Tabla3[[#This Row],[Precio unit]]</f>
        <v>0</v>
      </c>
      <c r="X1407" s="8"/>
      <c r="Y1407" s="8"/>
      <c r="Z1407" s="8" t="str">
        <f>+Tabla3[[#This Row],[Referencia]]&amp;Tabla3[[#This Row],[Desc detalle ext 1]]</f>
        <v>CB 190R                                           NEGRO ONI</v>
      </c>
      <c r="AA1407" s="128" t="e">
        <f>+VLOOKUP(Tabla3[[#This Row],[CODIGO2]],ESTANDAR!$B$3:$C$9,2,FALSE)</f>
        <v>#N/A</v>
      </c>
      <c r="AB1407" s="128" t="str">
        <f>+MID(Tabla3[[#This Row],['# Viaje]],10,1)</f>
        <v/>
      </c>
    </row>
    <row r="1408" spans="1:28" ht="15" hidden="1" customHeight="1">
      <c r="A1408" s="72" t="s">
        <v>1732</v>
      </c>
      <c r="B1408" s="73">
        <v>42950</v>
      </c>
      <c r="C1408" s="72" t="s">
        <v>1231</v>
      </c>
      <c r="D1408" s="72" t="s">
        <v>1237</v>
      </c>
      <c r="E1408" s="72" t="s">
        <v>1479</v>
      </c>
      <c r="F1408" s="72">
        <v>1</v>
      </c>
      <c r="G1408" s="72" t="s">
        <v>395</v>
      </c>
      <c r="H1408" s="72">
        <v>1</v>
      </c>
      <c r="I1408" s="72" t="s">
        <v>1733</v>
      </c>
      <c r="J1408" s="72" t="s">
        <v>1425</v>
      </c>
      <c r="K1408" s="72" t="s">
        <v>1426</v>
      </c>
      <c r="L1408" s="73"/>
      <c r="M1408" s="72" t="s">
        <v>202</v>
      </c>
      <c r="N1408" s="72">
        <v>901023135</v>
      </c>
      <c r="O1408" s="74">
        <v>7730252</v>
      </c>
      <c r="P1408" s="7"/>
      <c r="Q1408" s="16">
        <f>+IF(IFERROR(VLOOKUP(Tabla3[[#This Row],[Cliente factura]],Tabla4[[NIT]:[TOTAL CREDITO]],3,FALSE),0)="",0,IFERROR(VLOOKUP(Tabla3[[#This Row],[Cliente factura]],Tabla4[[NIT]:[TOTAL CREDITO]],3,FALSE),0))</f>
        <v>22577282</v>
      </c>
      <c r="R1408" s="9">
        <f>+IFERROR(VLOOKUP(Tabla3[[#This Row],[Cliente factura]],Tabla4[[NIT]:[TOTAL CREDITO]],6,FALSE),0)</f>
        <v>0</v>
      </c>
      <c r="S1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8" s="10" t="str">
        <f>VLOOKUP(Tabla3[[#This Row],[Razón social cliente factura]]&amp;Tabla3[[#This Row],[Desc. ciudad]],'Estandar de Rutas'!$C$1:$E$553,2,FALSE)</f>
        <v>7.2.A</v>
      </c>
      <c r="U1408" s="130">
        <f>IFERROR(VLOOKUP(Tabla3[[#This Row],[Referencia]]&amp;Tabla3[[#This Row],[Desc detalle ext 1]],Tabla1[[Referencia-Color]:[Disponibilidad]],3,FALSE),0)</f>
        <v>104</v>
      </c>
      <c r="V1408" s="13"/>
      <c r="W1408" s="17">
        <f>+Tabla3[[#This Row],[Cant. Programada]]*Tabla3[[#This Row],[Precio unit]]</f>
        <v>0</v>
      </c>
      <c r="X1408" s="8"/>
      <c r="Y1408" s="8"/>
      <c r="Z1408" s="8" t="str">
        <f>+Tabla3[[#This Row],[Referencia]]&amp;Tabla3[[#This Row],[Desc detalle ext 1]]</f>
        <v>CB 190 REPSOL                                     NARANJA B</v>
      </c>
      <c r="AA1408" s="128" t="e">
        <f>+VLOOKUP(Tabla3[[#This Row],[CODIGO2]],ESTANDAR!$B$3:$C$9,2,FALSE)</f>
        <v>#N/A</v>
      </c>
      <c r="AB1408" s="128" t="str">
        <f>+MID(Tabla3[[#This Row],['# Viaje]],10,1)</f>
        <v/>
      </c>
    </row>
    <row r="1409" spans="1:28" ht="15" hidden="1" customHeight="1">
      <c r="A1409" s="72" t="s">
        <v>1732</v>
      </c>
      <c r="B1409" s="73">
        <v>42950</v>
      </c>
      <c r="C1409" s="72" t="s">
        <v>1231</v>
      </c>
      <c r="D1409" s="72" t="s">
        <v>1237</v>
      </c>
      <c r="E1409" s="72" t="s">
        <v>1479</v>
      </c>
      <c r="F1409" s="72">
        <v>1</v>
      </c>
      <c r="G1409" s="72" t="s">
        <v>395</v>
      </c>
      <c r="H1409" s="72">
        <v>1</v>
      </c>
      <c r="I1409" s="72" t="s">
        <v>1733</v>
      </c>
      <c r="J1409" s="72" t="s">
        <v>354</v>
      </c>
      <c r="K1409" s="72" t="s">
        <v>474</v>
      </c>
      <c r="L1409" s="73"/>
      <c r="M1409" s="72" t="s">
        <v>202</v>
      </c>
      <c r="N1409" s="72">
        <v>901023135</v>
      </c>
      <c r="O1409" s="74">
        <v>6133613</v>
      </c>
      <c r="P1409" s="7"/>
      <c r="Q1409" s="16">
        <f>+IF(IFERROR(VLOOKUP(Tabla3[[#This Row],[Cliente factura]],Tabla4[[NIT]:[TOTAL CREDITO]],3,FALSE),0)="",0,IFERROR(VLOOKUP(Tabla3[[#This Row],[Cliente factura]],Tabla4[[NIT]:[TOTAL CREDITO]],3,FALSE),0))</f>
        <v>22577282</v>
      </c>
      <c r="R1409" s="9">
        <f>+IFERROR(VLOOKUP(Tabla3[[#This Row],[Cliente factura]],Tabla4[[NIT]:[TOTAL CREDITO]],6,FALSE),0)</f>
        <v>0</v>
      </c>
      <c r="S1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9" s="10" t="str">
        <f>VLOOKUP(Tabla3[[#This Row],[Razón social cliente factura]]&amp;Tabla3[[#This Row],[Desc. ciudad]],'Estandar de Rutas'!$C$1:$E$553,2,FALSE)</f>
        <v>7.2.A</v>
      </c>
      <c r="U1409" s="130">
        <f>IFERROR(VLOOKUP(Tabla3[[#This Row],[Referencia]]&amp;Tabla3[[#This Row],[Desc detalle ext 1]],Tabla1[[Referencia-Color]:[Disponibilidad]],3,FALSE),0)</f>
        <v>3</v>
      </c>
      <c r="V1409" s="13"/>
      <c r="W1409" s="17">
        <f>+Tabla3[[#This Row],[Cant. Programada]]*Tabla3[[#This Row],[Precio unit]]</f>
        <v>0</v>
      </c>
      <c r="X1409" s="8"/>
      <c r="Y1409" s="8"/>
      <c r="Z1409" s="8" t="str">
        <f>+Tabla3[[#This Row],[Referencia]]&amp;Tabla3[[#This Row],[Desc detalle ext 1]]</f>
        <v>CB 160F DLX                                       NARANJA N</v>
      </c>
      <c r="AA1409" s="128" t="e">
        <f>+VLOOKUP(Tabla3[[#This Row],[CODIGO2]],ESTANDAR!$B$3:$C$9,2,FALSE)</f>
        <v>#N/A</v>
      </c>
      <c r="AB1409" s="128" t="str">
        <f>+MID(Tabla3[[#This Row],['# Viaje]],10,1)</f>
        <v/>
      </c>
    </row>
    <row r="1410" spans="1:28" ht="15" hidden="1" customHeight="1">
      <c r="A1410" s="72" t="s">
        <v>1732</v>
      </c>
      <c r="B1410" s="73">
        <v>42950</v>
      </c>
      <c r="C1410" s="72" t="s">
        <v>1231</v>
      </c>
      <c r="D1410" s="72" t="s">
        <v>1237</v>
      </c>
      <c r="E1410" s="72" t="s">
        <v>1479</v>
      </c>
      <c r="F1410" s="72">
        <v>1</v>
      </c>
      <c r="G1410" s="72" t="s">
        <v>395</v>
      </c>
      <c r="H1410" s="72">
        <v>1</v>
      </c>
      <c r="I1410" s="72" t="s">
        <v>1733</v>
      </c>
      <c r="J1410" s="72" t="s">
        <v>354</v>
      </c>
      <c r="K1410" s="72" t="s">
        <v>355</v>
      </c>
      <c r="L1410" s="73"/>
      <c r="M1410" s="72" t="s">
        <v>202</v>
      </c>
      <c r="N1410" s="72">
        <v>901023135</v>
      </c>
      <c r="O1410" s="74">
        <v>6133613</v>
      </c>
      <c r="P1410" s="7"/>
      <c r="Q1410" s="16">
        <f>+IF(IFERROR(VLOOKUP(Tabla3[[#This Row],[Cliente factura]],Tabla4[[NIT]:[TOTAL CREDITO]],3,FALSE),0)="",0,IFERROR(VLOOKUP(Tabla3[[#This Row],[Cliente factura]],Tabla4[[NIT]:[TOTAL CREDITO]],3,FALSE),0))</f>
        <v>22577282</v>
      </c>
      <c r="R1410" s="9">
        <f>+IFERROR(VLOOKUP(Tabla3[[#This Row],[Cliente factura]],Tabla4[[NIT]:[TOTAL CREDITO]],6,FALSE),0)</f>
        <v>0</v>
      </c>
      <c r="S1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0" s="10" t="str">
        <f>VLOOKUP(Tabla3[[#This Row],[Razón social cliente factura]]&amp;Tabla3[[#This Row],[Desc. ciudad]],'Estandar de Rutas'!$C$1:$E$553,2,FALSE)</f>
        <v>7.2.A</v>
      </c>
      <c r="U1410" s="130">
        <f>IFERROR(VLOOKUP(Tabla3[[#This Row],[Referencia]]&amp;Tabla3[[#This Row],[Desc detalle ext 1]],Tabla1[[Referencia-Color]:[Disponibilidad]],3,FALSE),0)</f>
        <v>0</v>
      </c>
      <c r="V1410" s="13"/>
      <c r="W1410" s="17">
        <f>+Tabla3[[#This Row],[Cant. Programada]]*Tabla3[[#This Row],[Precio unit]]</f>
        <v>0</v>
      </c>
      <c r="X1410" s="8"/>
      <c r="Y1410" s="8"/>
      <c r="Z1410" s="8" t="str">
        <f>+Tabla3[[#This Row],[Referencia]]&amp;Tabla3[[#This Row],[Desc detalle ext 1]]</f>
        <v>CB 160F DLX                                       NEGRO PER</v>
      </c>
      <c r="AA1410" s="128" t="e">
        <f>+VLOOKUP(Tabla3[[#This Row],[CODIGO2]],ESTANDAR!$B$3:$C$9,2,FALSE)</f>
        <v>#N/A</v>
      </c>
      <c r="AB1410" s="128" t="str">
        <f>+MID(Tabla3[[#This Row],['# Viaje]],10,1)</f>
        <v/>
      </c>
    </row>
    <row r="1411" spans="1:28" ht="15" hidden="1" customHeight="1">
      <c r="A1411" s="72" t="s">
        <v>1732</v>
      </c>
      <c r="B1411" s="73">
        <v>42950</v>
      </c>
      <c r="C1411" s="72" t="s">
        <v>1231</v>
      </c>
      <c r="D1411" s="72" t="s">
        <v>1237</v>
      </c>
      <c r="E1411" s="72" t="s">
        <v>1479</v>
      </c>
      <c r="F1411" s="72">
        <v>1</v>
      </c>
      <c r="G1411" s="72" t="s">
        <v>395</v>
      </c>
      <c r="H1411" s="72">
        <v>1</v>
      </c>
      <c r="I1411" s="72" t="s">
        <v>1733</v>
      </c>
      <c r="J1411" s="72" t="s">
        <v>1433</v>
      </c>
      <c r="K1411" s="72" t="s">
        <v>1431</v>
      </c>
      <c r="L1411" s="72"/>
      <c r="M1411" s="72" t="s">
        <v>202</v>
      </c>
      <c r="N1411" s="72">
        <v>901023135</v>
      </c>
      <c r="O1411" s="72">
        <v>3521008</v>
      </c>
      <c r="P1411" s="7"/>
      <c r="Q1411" s="16">
        <f>+IF(IFERROR(VLOOKUP(Tabla3[[#This Row],[Cliente factura]],Tabla4[[NIT]:[TOTAL CREDITO]],3,FALSE),0)="",0,IFERROR(VLOOKUP(Tabla3[[#This Row],[Cliente factura]],Tabla4[[NIT]:[TOTAL CREDITO]],3,FALSE),0))</f>
        <v>22577282</v>
      </c>
      <c r="R1411" s="9">
        <f>+IFERROR(VLOOKUP(Tabla3[[#This Row],[Cliente factura]],Tabla4[[NIT]:[TOTAL CREDITO]],6,FALSE),0)</f>
        <v>0</v>
      </c>
      <c r="S1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1" s="10" t="str">
        <f>VLOOKUP(Tabla3[[#This Row],[Razón social cliente factura]]&amp;Tabla3[[#This Row],[Desc. ciudad]],'Estandar de Rutas'!$C$1:$E$553,2,FALSE)</f>
        <v>7.2.A</v>
      </c>
      <c r="U1411" s="130">
        <f>IFERROR(VLOOKUP(Tabla3[[#This Row],[Referencia]]&amp;Tabla3[[#This Row],[Desc detalle ext 1]],Tabla1[[Referencia-Color]:[Disponibilidad]],3,FALSE),0)</f>
        <v>0</v>
      </c>
      <c r="V1411" s="13"/>
      <c r="W1411" s="17">
        <f>+Tabla3[[#This Row],[Cant. Programada]]*Tabla3[[#This Row],[Precio unit]]</f>
        <v>0</v>
      </c>
      <c r="X1411" s="8"/>
      <c r="Y1411" s="8"/>
      <c r="Z1411" s="8" t="str">
        <f>+Tabla3[[#This Row],[Referencia]]&amp;Tabla3[[#This Row],[Desc detalle ext 1]]</f>
        <v xml:space="preserve">DIO  110                                          ROJO     </v>
      </c>
      <c r="AA1411" s="128" t="e">
        <f>+VLOOKUP(Tabla3[[#This Row],[CODIGO2]],ESTANDAR!$B$3:$C$9,2,FALSE)</f>
        <v>#N/A</v>
      </c>
      <c r="AB1411" s="128" t="str">
        <f>+MID(Tabla3[[#This Row],['# Viaje]],10,1)</f>
        <v/>
      </c>
    </row>
    <row r="1412" spans="1:28" ht="15" hidden="1" customHeight="1">
      <c r="A1412" s="72" t="s">
        <v>1732</v>
      </c>
      <c r="B1412" s="73">
        <v>42950</v>
      </c>
      <c r="C1412" s="72" t="s">
        <v>1231</v>
      </c>
      <c r="D1412" s="72" t="s">
        <v>1237</v>
      </c>
      <c r="E1412" s="72" t="s">
        <v>1479</v>
      </c>
      <c r="F1412" s="72">
        <v>1</v>
      </c>
      <c r="G1412" s="72" t="s">
        <v>395</v>
      </c>
      <c r="H1412" s="72">
        <v>1</v>
      </c>
      <c r="I1412" s="72" t="s">
        <v>1733</v>
      </c>
      <c r="J1412" s="72" t="s">
        <v>1234</v>
      </c>
      <c r="K1412" s="72" t="s">
        <v>17</v>
      </c>
      <c r="L1412" s="73"/>
      <c r="M1412" s="72" t="s">
        <v>202</v>
      </c>
      <c r="N1412" s="72">
        <v>901023135</v>
      </c>
      <c r="O1412" s="74">
        <v>5453782</v>
      </c>
      <c r="P1412" s="7"/>
      <c r="Q1412" s="16">
        <f>+IF(IFERROR(VLOOKUP(Tabla3[[#This Row],[Cliente factura]],Tabla4[[NIT]:[TOTAL CREDITO]],3,FALSE),0)="",0,IFERROR(VLOOKUP(Tabla3[[#This Row],[Cliente factura]],Tabla4[[NIT]:[TOTAL CREDITO]],3,FALSE),0))</f>
        <v>22577282</v>
      </c>
      <c r="R1412" s="9">
        <f>+IFERROR(VLOOKUP(Tabla3[[#This Row],[Cliente factura]],Tabla4[[NIT]:[TOTAL CREDITO]],6,FALSE),0)</f>
        <v>0</v>
      </c>
      <c r="S1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2" s="10" t="str">
        <f>VLOOKUP(Tabla3[[#This Row],[Razón social cliente factura]]&amp;Tabla3[[#This Row],[Desc. ciudad]],'Estandar de Rutas'!$C$1:$E$553,2,FALSE)</f>
        <v>7.2.A</v>
      </c>
      <c r="U1412" s="130">
        <f>IFERROR(VLOOKUP(Tabla3[[#This Row],[Referencia]]&amp;Tabla3[[#This Row],[Desc detalle ext 1]],Tabla1[[Referencia-Color]:[Disponibilidad]],3,FALSE),0)</f>
        <v>0</v>
      </c>
      <c r="V1412" s="13"/>
      <c r="W1412" s="17">
        <f>+Tabla3[[#This Row],[Cant. Programada]]*Tabla3[[#This Row],[Precio unit]]</f>
        <v>0</v>
      </c>
      <c r="X1412" s="8"/>
      <c r="Y1412" s="8"/>
      <c r="Z1412" s="8" t="str">
        <f>+Tabla3[[#This Row],[Referencia]]&amp;Tabla3[[#This Row],[Desc detalle ext 1]]</f>
        <v>CB 160F STD                                       ROJO SPOR</v>
      </c>
      <c r="AA1412" s="128" t="e">
        <f>+VLOOKUP(Tabla3[[#This Row],[CODIGO2]],ESTANDAR!$B$3:$C$9,2,FALSE)</f>
        <v>#N/A</v>
      </c>
      <c r="AB1412" s="128" t="str">
        <f>+MID(Tabla3[[#This Row],['# Viaje]],10,1)</f>
        <v/>
      </c>
    </row>
    <row r="1413" spans="1:28" ht="15" hidden="1" customHeight="1">
      <c r="A1413" s="72" t="s">
        <v>1732</v>
      </c>
      <c r="B1413" s="73">
        <v>42950</v>
      </c>
      <c r="C1413" s="72" t="s">
        <v>1231</v>
      </c>
      <c r="D1413" s="72" t="s">
        <v>1237</v>
      </c>
      <c r="E1413" s="72" t="s">
        <v>1479</v>
      </c>
      <c r="F1413" s="72">
        <v>2</v>
      </c>
      <c r="G1413" s="72" t="s">
        <v>395</v>
      </c>
      <c r="H1413" s="72">
        <v>2</v>
      </c>
      <c r="I1413" s="72" t="s">
        <v>1733</v>
      </c>
      <c r="J1413" s="72" t="s">
        <v>1234</v>
      </c>
      <c r="K1413" s="72" t="s">
        <v>355</v>
      </c>
      <c r="L1413" s="73"/>
      <c r="M1413" s="72" t="s">
        <v>202</v>
      </c>
      <c r="N1413" s="72">
        <v>901023135</v>
      </c>
      <c r="O1413" s="74">
        <v>5453782</v>
      </c>
      <c r="P1413" s="7"/>
      <c r="Q1413" s="16">
        <f>+IF(IFERROR(VLOOKUP(Tabla3[[#This Row],[Cliente factura]],Tabla4[[NIT]:[TOTAL CREDITO]],3,FALSE),0)="",0,IFERROR(VLOOKUP(Tabla3[[#This Row],[Cliente factura]],Tabla4[[NIT]:[TOTAL CREDITO]],3,FALSE),0))</f>
        <v>22577282</v>
      </c>
      <c r="R1413" s="9">
        <f>+IFERROR(VLOOKUP(Tabla3[[#This Row],[Cliente factura]],Tabla4[[NIT]:[TOTAL CREDITO]],6,FALSE),0)</f>
        <v>0</v>
      </c>
      <c r="S1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3" s="10" t="str">
        <f>VLOOKUP(Tabla3[[#This Row],[Razón social cliente factura]]&amp;Tabla3[[#This Row],[Desc. ciudad]],'Estandar de Rutas'!$C$1:$E$553,2,FALSE)</f>
        <v>7.2.A</v>
      </c>
      <c r="U1413" s="130">
        <f>IFERROR(VLOOKUP(Tabla3[[#This Row],[Referencia]]&amp;Tabla3[[#This Row],[Desc detalle ext 1]],Tabla1[[Referencia-Color]:[Disponibilidad]],3,FALSE),0)</f>
        <v>0</v>
      </c>
      <c r="V1413" s="13"/>
      <c r="W1413" s="17">
        <f>+Tabla3[[#This Row],[Cant. Programada]]*Tabla3[[#This Row],[Precio unit]]</f>
        <v>0</v>
      </c>
      <c r="X1413" s="8"/>
      <c r="Y1413" s="8"/>
      <c r="Z1413" s="8" t="str">
        <f>+Tabla3[[#This Row],[Referencia]]&amp;Tabla3[[#This Row],[Desc detalle ext 1]]</f>
        <v>CB 160F STD                                       NEGRO PER</v>
      </c>
      <c r="AA1413" s="128" t="e">
        <f>+VLOOKUP(Tabla3[[#This Row],[CODIGO2]],ESTANDAR!$B$3:$C$9,2,FALSE)</f>
        <v>#N/A</v>
      </c>
      <c r="AB1413" s="128" t="str">
        <f>+MID(Tabla3[[#This Row],['# Viaje]],10,1)</f>
        <v/>
      </c>
    </row>
    <row r="1414" spans="1:28" ht="15" hidden="1" customHeight="1">
      <c r="A1414" s="72" t="s">
        <v>1734</v>
      </c>
      <c r="B1414" s="73">
        <v>42950</v>
      </c>
      <c r="C1414" s="72" t="s">
        <v>1231</v>
      </c>
      <c r="D1414" s="72" t="s">
        <v>1237</v>
      </c>
      <c r="E1414" s="72" t="s">
        <v>1479</v>
      </c>
      <c r="F1414" s="72">
        <v>1</v>
      </c>
      <c r="G1414" s="72" t="s">
        <v>1246</v>
      </c>
      <c r="H1414" s="72">
        <v>1</v>
      </c>
      <c r="I1414" s="72" t="s">
        <v>1246</v>
      </c>
      <c r="J1414" s="72" t="s">
        <v>354</v>
      </c>
      <c r="K1414" s="72" t="s">
        <v>474</v>
      </c>
      <c r="L1414" s="73"/>
      <c r="M1414" s="72" t="s">
        <v>184</v>
      </c>
      <c r="N1414" s="72">
        <v>900872772</v>
      </c>
      <c r="O1414" s="74">
        <v>6133613</v>
      </c>
      <c r="P1414" s="7"/>
      <c r="Q1414" s="16">
        <f>+IF(IFERROR(VLOOKUP(Tabla3[[#This Row],[Cliente factura]],Tabla4[[NIT]:[TOTAL CREDITO]],3,FALSE),0)="",0,IFERROR(VLOOKUP(Tabla3[[#This Row],[Cliente factura]],Tabla4[[NIT]:[TOTAL CREDITO]],3,FALSE),0))</f>
        <v>2155795</v>
      </c>
      <c r="R1414" s="9">
        <f>+IFERROR(VLOOKUP(Tabla3[[#This Row],[Cliente factura]],Tabla4[[NIT]:[TOTAL CREDITO]],6,FALSE),0)</f>
        <v>0</v>
      </c>
      <c r="S1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4" s="10" t="str">
        <f>VLOOKUP(Tabla3[[#This Row],[Razón social cliente factura]]&amp;Tabla3[[#This Row],[Desc. ciudad]],'Estandar de Rutas'!$C$1:$E$553,2,FALSE)</f>
        <v>7.2</v>
      </c>
      <c r="U1414" s="130">
        <f>IFERROR(VLOOKUP(Tabla3[[#This Row],[Referencia]]&amp;Tabla3[[#This Row],[Desc detalle ext 1]],Tabla1[[Referencia-Color]:[Disponibilidad]],3,FALSE),0)</f>
        <v>3</v>
      </c>
      <c r="V1414" s="13"/>
      <c r="W1414" s="17">
        <f>+Tabla3[[#This Row],[Cant. Programada]]*Tabla3[[#This Row],[Precio unit]]</f>
        <v>0</v>
      </c>
      <c r="X1414" s="8"/>
      <c r="Y1414" s="8"/>
      <c r="Z1414" s="8" t="str">
        <f>+Tabla3[[#This Row],[Referencia]]&amp;Tabla3[[#This Row],[Desc detalle ext 1]]</f>
        <v>CB 160F DLX                                       NARANJA N</v>
      </c>
      <c r="AA1414" s="128" t="e">
        <f>+VLOOKUP(Tabla3[[#This Row],[CODIGO2]],ESTANDAR!$B$3:$C$9,2,FALSE)</f>
        <v>#N/A</v>
      </c>
      <c r="AB1414" s="128" t="str">
        <f>+MID(Tabla3[[#This Row],['# Viaje]],10,1)</f>
        <v/>
      </c>
    </row>
    <row r="1415" spans="1:28" ht="15" hidden="1" customHeight="1">
      <c r="A1415" s="72" t="s">
        <v>1734</v>
      </c>
      <c r="B1415" s="73">
        <v>42950</v>
      </c>
      <c r="C1415" s="72" t="s">
        <v>1231</v>
      </c>
      <c r="D1415" s="72" t="s">
        <v>1237</v>
      </c>
      <c r="E1415" s="72" t="s">
        <v>1479</v>
      </c>
      <c r="F1415" s="72">
        <v>1</v>
      </c>
      <c r="G1415" s="72" t="s">
        <v>1246</v>
      </c>
      <c r="H1415" s="72">
        <v>1</v>
      </c>
      <c r="I1415" s="72" t="s">
        <v>1246</v>
      </c>
      <c r="J1415" s="72" t="s">
        <v>354</v>
      </c>
      <c r="K1415" s="72" t="s">
        <v>355</v>
      </c>
      <c r="L1415" s="73"/>
      <c r="M1415" s="72" t="s">
        <v>184</v>
      </c>
      <c r="N1415" s="72">
        <v>900872772</v>
      </c>
      <c r="O1415" s="74">
        <v>6133613</v>
      </c>
      <c r="P1415" s="7"/>
      <c r="Q1415" s="16">
        <f>+IF(IFERROR(VLOOKUP(Tabla3[[#This Row],[Cliente factura]],Tabla4[[NIT]:[TOTAL CREDITO]],3,FALSE),0)="",0,IFERROR(VLOOKUP(Tabla3[[#This Row],[Cliente factura]],Tabla4[[NIT]:[TOTAL CREDITO]],3,FALSE),0))</f>
        <v>2155795</v>
      </c>
      <c r="R1415" s="9">
        <f>+IFERROR(VLOOKUP(Tabla3[[#This Row],[Cliente factura]],Tabla4[[NIT]:[TOTAL CREDITO]],6,FALSE),0)</f>
        <v>0</v>
      </c>
      <c r="S1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5" s="10" t="str">
        <f>VLOOKUP(Tabla3[[#This Row],[Razón social cliente factura]]&amp;Tabla3[[#This Row],[Desc. ciudad]],'Estandar de Rutas'!$C$1:$E$553,2,FALSE)</f>
        <v>7.2</v>
      </c>
      <c r="U1415" s="130">
        <f>IFERROR(VLOOKUP(Tabla3[[#This Row],[Referencia]]&amp;Tabla3[[#This Row],[Desc detalle ext 1]],Tabla1[[Referencia-Color]:[Disponibilidad]],3,FALSE),0)</f>
        <v>0</v>
      </c>
      <c r="V1415" s="13"/>
      <c r="W1415" s="17">
        <f>+Tabla3[[#This Row],[Cant. Programada]]*Tabla3[[#This Row],[Precio unit]]</f>
        <v>0</v>
      </c>
      <c r="X1415" s="8"/>
      <c r="Y1415" s="8"/>
      <c r="Z1415" s="8" t="str">
        <f>+Tabla3[[#This Row],[Referencia]]&amp;Tabla3[[#This Row],[Desc detalle ext 1]]</f>
        <v>CB 160F DLX                                       NEGRO PER</v>
      </c>
      <c r="AA1415" s="128" t="e">
        <f>+VLOOKUP(Tabla3[[#This Row],[CODIGO2]],ESTANDAR!$B$3:$C$9,2,FALSE)</f>
        <v>#N/A</v>
      </c>
      <c r="AB1415" s="128" t="str">
        <f>+MID(Tabla3[[#This Row],['# Viaje]],10,1)</f>
        <v/>
      </c>
    </row>
    <row r="1416" spans="1:28" ht="15" hidden="1" customHeight="1">
      <c r="A1416" s="72" t="s">
        <v>1735</v>
      </c>
      <c r="B1416" s="73">
        <v>42950</v>
      </c>
      <c r="C1416" s="72" t="s">
        <v>1231</v>
      </c>
      <c r="D1416" s="72" t="s">
        <v>1237</v>
      </c>
      <c r="E1416" s="72" t="s">
        <v>1479</v>
      </c>
      <c r="F1416" s="72">
        <v>1</v>
      </c>
      <c r="G1416" s="72" t="s">
        <v>258</v>
      </c>
      <c r="H1416" s="72">
        <v>1</v>
      </c>
      <c r="I1416" s="72" t="s">
        <v>258</v>
      </c>
      <c r="J1416" s="72" t="s">
        <v>27</v>
      </c>
      <c r="K1416" s="72" t="s">
        <v>32</v>
      </c>
      <c r="L1416" s="73"/>
      <c r="M1416" s="72" t="s">
        <v>259</v>
      </c>
      <c r="N1416" s="72">
        <v>60345082</v>
      </c>
      <c r="O1416" s="74">
        <v>5789916</v>
      </c>
      <c r="P1416" s="7"/>
      <c r="Q1416" s="16">
        <f>+IF(IFERROR(VLOOKUP(Tabla3[[#This Row],[Cliente factura]],Tabla4[[NIT]:[TOTAL CREDITO]],3,FALSE),0)="",0,IFERROR(VLOOKUP(Tabla3[[#This Row],[Cliente factura]],Tabla4[[NIT]:[TOTAL CREDITO]],3,FALSE),0))</f>
        <v>45161471</v>
      </c>
      <c r="R1416" s="9">
        <f>+IFERROR(VLOOKUP(Tabla3[[#This Row],[Cliente factura]],Tabla4[[NIT]:[TOTAL CREDITO]],6,FALSE),0)</f>
        <v>0</v>
      </c>
      <c r="S1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6" s="10" t="str">
        <f>VLOOKUP(Tabla3[[#This Row],[Razón social cliente factura]]&amp;Tabla3[[#This Row],[Desc. ciudad]],'Estandar de Rutas'!$C$1:$E$553,2,FALSE)</f>
        <v>7.1.A</v>
      </c>
      <c r="U1416" s="130">
        <f>IFERROR(VLOOKUP(Tabla3[[#This Row],[Referencia]]&amp;Tabla3[[#This Row],[Desc detalle ext 1]],Tabla1[[Referencia-Color]:[Disponibilidad]],3,FALSE),0)</f>
        <v>7</v>
      </c>
      <c r="V1416" s="13"/>
      <c r="W1416" s="17">
        <f>+Tabla3[[#This Row],[Cant. Programada]]*Tabla3[[#This Row],[Precio unit]]</f>
        <v>0</v>
      </c>
      <c r="X1416" s="8"/>
      <c r="Y1416" s="8"/>
      <c r="Z1416" s="8" t="str">
        <f>+Tabla3[[#This Row],[Referencia]]&amp;Tabla3[[#This Row],[Desc detalle ext 1]]</f>
        <v>*XR 150L                                          NEGRO ROJ</v>
      </c>
      <c r="AA1416" s="128" t="e">
        <f>+VLOOKUP(Tabla3[[#This Row],[CODIGO2]],ESTANDAR!$B$3:$C$9,2,FALSE)</f>
        <v>#N/A</v>
      </c>
      <c r="AB1416" s="128" t="str">
        <f>+MID(Tabla3[[#This Row],['# Viaje]],10,1)</f>
        <v/>
      </c>
    </row>
    <row r="1417" spans="1:28" ht="15" hidden="1" customHeight="1">
      <c r="A1417" s="72" t="s">
        <v>1735</v>
      </c>
      <c r="B1417" s="73">
        <v>42950</v>
      </c>
      <c r="C1417" s="72" t="s">
        <v>1231</v>
      </c>
      <c r="D1417" s="72" t="s">
        <v>1237</v>
      </c>
      <c r="E1417" s="72" t="s">
        <v>1479</v>
      </c>
      <c r="F1417" s="72">
        <v>1</v>
      </c>
      <c r="G1417" s="72" t="s">
        <v>258</v>
      </c>
      <c r="H1417" s="72">
        <v>1</v>
      </c>
      <c r="I1417" s="72" t="s">
        <v>258</v>
      </c>
      <c r="J1417" s="72" t="s">
        <v>27</v>
      </c>
      <c r="K1417" s="72" t="s">
        <v>26</v>
      </c>
      <c r="L1417" s="73"/>
      <c r="M1417" s="72" t="s">
        <v>259</v>
      </c>
      <c r="N1417" s="72">
        <v>60345082</v>
      </c>
      <c r="O1417" s="74">
        <v>5789916</v>
      </c>
      <c r="P1417" s="7"/>
      <c r="Q1417" s="16">
        <f>+IF(IFERROR(VLOOKUP(Tabla3[[#This Row],[Cliente factura]],Tabla4[[NIT]:[TOTAL CREDITO]],3,FALSE),0)="",0,IFERROR(VLOOKUP(Tabla3[[#This Row],[Cliente factura]],Tabla4[[NIT]:[TOTAL CREDITO]],3,FALSE),0))</f>
        <v>45161471</v>
      </c>
      <c r="R1417" s="9">
        <f>+IFERROR(VLOOKUP(Tabla3[[#This Row],[Cliente factura]],Tabla4[[NIT]:[TOTAL CREDITO]],6,FALSE),0)</f>
        <v>0</v>
      </c>
      <c r="S1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7" s="10" t="str">
        <f>VLOOKUP(Tabla3[[#This Row],[Razón social cliente factura]]&amp;Tabla3[[#This Row],[Desc. ciudad]],'Estandar de Rutas'!$C$1:$E$553,2,FALSE)</f>
        <v>7.1.A</v>
      </c>
      <c r="U1417" s="130">
        <f>IFERROR(VLOOKUP(Tabla3[[#This Row],[Referencia]]&amp;Tabla3[[#This Row],[Desc detalle ext 1]],Tabla1[[Referencia-Color]:[Disponibilidad]],3,FALSE),0)</f>
        <v>59</v>
      </c>
      <c r="V1417" s="13"/>
      <c r="W1417" s="17">
        <f>+Tabla3[[#This Row],[Cant. Programada]]*Tabla3[[#This Row],[Precio unit]]</f>
        <v>0</v>
      </c>
      <c r="X1417" s="8"/>
      <c r="Y1417" s="8"/>
      <c r="Z1417" s="8" t="str">
        <f>+Tabla3[[#This Row],[Referencia]]&amp;Tabla3[[#This Row],[Desc detalle ext 1]]</f>
        <v>*XR 150L                                          NEGRO BLA</v>
      </c>
      <c r="AA1417" s="128" t="e">
        <f>+VLOOKUP(Tabla3[[#This Row],[CODIGO2]],ESTANDAR!$B$3:$C$9,2,FALSE)</f>
        <v>#N/A</v>
      </c>
      <c r="AB1417" s="128" t="str">
        <f>+MID(Tabla3[[#This Row],['# Viaje]],10,1)</f>
        <v/>
      </c>
    </row>
    <row r="1418" spans="1:28" ht="15" hidden="1" customHeight="1">
      <c r="A1418" s="72" t="s">
        <v>1735</v>
      </c>
      <c r="B1418" s="73">
        <v>42950</v>
      </c>
      <c r="C1418" s="72" t="s">
        <v>1231</v>
      </c>
      <c r="D1418" s="72" t="s">
        <v>1237</v>
      </c>
      <c r="E1418" s="72" t="s">
        <v>1479</v>
      </c>
      <c r="F1418" s="72">
        <v>1</v>
      </c>
      <c r="G1418" s="72" t="s">
        <v>258</v>
      </c>
      <c r="H1418" s="72">
        <v>1</v>
      </c>
      <c r="I1418" s="72" t="s">
        <v>258</v>
      </c>
      <c r="J1418" s="72" t="s">
        <v>354</v>
      </c>
      <c r="K1418" s="72" t="s">
        <v>17</v>
      </c>
      <c r="L1418" s="73"/>
      <c r="M1418" s="72" t="s">
        <v>259</v>
      </c>
      <c r="N1418" s="72">
        <v>60345082</v>
      </c>
      <c r="O1418" s="74">
        <v>6133613</v>
      </c>
      <c r="P1418" s="7"/>
      <c r="Q1418" s="16">
        <f>+IF(IFERROR(VLOOKUP(Tabla3[[#This Row],[Cliente factura]],Tabla4[[NIT]:[TOTAL CREDITO]],3,FALSE),0)="",0,IFERROR(VLOOKUP(Tabla3[[#This Row],[Cliente factura]],Tabla4[[NIT]:[TOTAL CREDITO]],3,FALSE),0))</f>
        <v>45161471</v>
      </c>
      <c r="R1418" s="9">
        <f>+IFERROR(VLOOKUP(Tabla3[[#This Row],[Cliente factura]],Tabla4[[NIT]:[TOTAL CREDITO]],6,FALSE),0)</f>
        <v>0</v>
      </c>
      <c r="S1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8" s="10" t="str">
        <f>VLOOKUP(Tabla3[[#This Row],[Razón social cliente factura]]&amp;Tabla3[[#This Row],[Desc. ciudad]],'Estandar de Rutas'!$C$1:$E$553,2,FALSE)</f>
        <v>7.1.A</v>
      </c>
      <c r="U1418" s="130">
        <f>IFERROR(VLOOKUP(Tabla3[[#This Row],[Referencia]]&amp;Tabla3[[#This Row],[Desc detalle ext 1]],Tabla1[[Referencia-Color]:[Disponibilidad]],3,FALSE),0)</f>
        <v>48</v>
      </c>
      <c r="V1418" s="13"/>
      <c r="W1418" s="17">
        <f>+Tabla3[[#This Row],[Cant. Programada]]*Tabla3[[#This Row],[Precio unit]]</f>
        <v>0</v>
      </c>
      <c r="X1418" s="8"/>
      <c r="Y1418" s="8"/>
      <c r="Z1418" s="8" t="str">
        <f>+Tabla3[[#This Row],[Referencia]]&amp;Tabla3[[#This Row],[Desc detalle ext 1]]</f>
        <v>CB 160F DLX                                       ROJO SPOR</v>
      </c>
      <c r="AA1418" s="128" t="e">
        <f>+VLOOKUP(Tabla3[[#This Row],[CODIGO2]],ESTANDAR!$B$3:$C$9,2,FALSE)</f>
        <v>#N/A</v>
      </c>
      <c r="AB1418" s="128" t="str">
        <f>+MID(Tabla3[[#This Row],['# Viaje]],10,1)</f>
        <v/>
      </c>
    </row>
    <row r="1419" spans="1:28" ht="15" hidden="1" customHeight="1">
      <c r="A1419" s="72" t="s">
        <v>1735</v>
      </c>
      <c r="B1419" s="73">
        <v>42950</v>
      </c>
      <c r="C1419" s="72" t="s">
        <v>1231</v>
      </c>
      <c r="D1419" s="72" t="s">
        <v>1237</v>
      </c>
      <c r="E1419" s="72" t="s">
        <v>1479</v>
      </c>
      <c r="F1419" s="72">
        <v>1</v>
      </c>
      <c r="G1419" s="72" t="s">
        <v>258</v>
      </c>
      <c r="H1419" s="72">
        <v>1</v>
      </c>
      <c r="I1419" s="72" t="s">
        <v>258</v>
      </c>
      <c r="J1419" s="72" t="s">
        <v>354</v>
      </c>
      <c r="K1419" s="72" t="s">
        <v>355</v>
      </c>
      <c r="L1419" s="73"/>
      <c r="M1419" s="72" t="s">
        <v>259</v>
      </c>
      <c r="N1419" s="72">
        <v>60345082</v>
      </c>
      <c r="O1419" s="74">
        <v>6133613</v>
      </c>
      <c r="P1419" s="7"/>
      <c r="Q1419" s="16">
        <f>+IF(IFERROR(VLOOKUP(Tabla3[[#This Row],[Cliente factura]],Tabla4[[NIT]:[TOTAL CREDITO]],3,FALSE),0)="",0,IFERROR(VLOOKUP(Tabla3[[#This Row],[Cliente factura]],Tabla4[[NIT]:[TOTAL CREDITO]],3,FALSE),0))</f>
        <v>45161471</v>
      </c>
      <c r="R1419" s="9">
        <f>+IFERROR(VLOOKUP(Tabla3[[#This Row],[Cliente factura]],Tabla4[[NIT]:[TOTAL CREDITO]],6,FALSE),0)</f>
        <v>0</v>
      </c>
      <c r="S1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9" s="10" t="str">
        <f>VLOOKUP(Tabla3[[#This Row],[Razón social cliente factura]]&amp;Tabla3[[#This Row],[Desc. ciudad]],'Estandar de Rutas'!$C$1:$E$553,2,FALSE)</f>
        <v>7.1.A</v>
      </c>
      <c r="U1419" s="130">
        <f>IFERROR(VLOOKUP(Tabla3[[#This Row],[Referencia]]&amp;Tabla3[[#This Row],[Desc detalle ext 1]],Tabla1[[Referencia-Color]:[Disponibilidad]],3,FALSE),0)</f>
        <v>0</v>
      </c>
      <c r="V1419" s="13"/>
      <c r="W1419" s="17">
        <f>+Tabla3[[#This Row],[Cant. Programada]]*Tabla3[[#This Row],[Precio unit]]</f>
        <v>0</v>
      </c>
      <c r="X1419" s="8"/>
      <c r="Y1419" s="8"/>
      <c r="Z1419" s="8" t="str">
        <f>+Tabla3[[#This Row],[Referencia]]&amp;Tabla3[[#This Row],[Desc detalle ext 1]]</f>
        <v>CB 160F DLX                                       NEGRO PER</v>
      </c>
      <c r="AA1419" s="128" t="e">
        <f>+VLOOKUP(Tabla3[[#This Row],[CODIGO2]],ESTANDAR!$B$3:$C$9,2,FALSE)</f>
        <v>#N/A</v>
      </c>
      <c r="AB1419" s="128" t="str">
        <f>+MID(Tabla3[[#This Row],['# Viaje]],10,1)</f>
        <v/>
      </c>
    </row>
    <row r="1420" spans="1:28" ht="15" hidden="1" customHeight="1">
      <c r="A1420" s="72" t="s">
        <v>1735</v>
      </c>
      <c r="B1420" s="73">
        <v>42950</v>
      </c>
      <c r="C1420" s="72" t="s">
        <v>1231</v>
      </c>
      <c r="D1420" s="72" t="s">
        <v>1237</v>
      </c>
      <c r="E1420" s="72" t="s">
        <v>1479</v>
      </c>
      <c r="F1420" s="72">
        <v>1</v>
      </c>
      <c r="G1420" s="72" t="s">
        <v>258</v>
      </c>
      <c r="H1420" s="72">
        <v>1</v>
      </c>
      <c r="I1420" s="72" t="s">
        <v>258</v>
      </c>
      <c r="J1420" s="72" t="s">
        <v>1433</v>
      </c>
      <c r="K1420" s="72" t="s">
        <v>1431</v>
      </c>
      <c r="L1420" s="73"/>
      <c r="M1420" s="72" t="s">
        <v>259</v>
      </c>
      <c r="N1420" s="72">
        <v>60345082</v>
      </c>
      <c r="O1420" s="74">
        <v>3521008</v>
      </c>
      <c r="P1420" s="7"/>
      <c r="Q1420" s="16">
        <f>+IF(IFERROR(VLOOKUP(Tabla3[[#This Row],[Cliente factura]],Tabla4[[NIT]:[TOTAL CREDITO]],3,FALSE),0)="",0,IFERROR(VLOOKUP(Tabla3[[#This Row],[Cliente factura]],Tabla4[[NIT]:[TOTAL CREDITO]],3,FALSE),0))</f>
        <v>45161471</v>
      </c>
      <c r="R1420" s="9">
        <f>+IFERROR(VLOOKUP(Tabla3[[#This Row],[Cliente factura]],Tabla4[[NIT]:[TOTAL CREDITO]],6,FALSE),0)</f>
        <v>0</v>
      </c>
      <c r="S1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0" s="10" t="str">
        <f>VLOOKUP(Tabla3[[#This Row],[Razón social cliente factura]]&amp;Tabla3[[#This Row],[Desc. ciudad]],'Estandar de Rutas'!$C$1:$E$553,2,FALSE)</f>
        <v>7.1.A</v>
      </c>
      <c r="U1420" s="130">
        <f>IFERROR(VLOOKUP(Tabla3[[#This Row],[Referencia]]&amp;Tabla3[[#This Row],[Desc detalle ext 1]],Tabla1[[Referencia-Color]:[Disponibilidad]],3,FALSE),0)</f>
        <v>0</v>
      </c>
      <c r="V1420" s="13"/>
      <c r="W1420" s="17">
        <f>+Tabla3[[#This Row],[Cant. Programada]]*Tabla3[[#This Row],[Precio unit]]</f>
        <v>0</v>
      </c>
      <c r="X1420" s="8"/>
      <c r="Y1420" s="8"/>
      <c r="Z1420" s="8" t="str">
        <f>+Tabla3[[#This Row],[Referencia]]&amp;Tabla3[[#This Row],[Desc detalle ext 1]]</f>
        <v xml:space="preserve">DIO  110                                          ROJO     </v>
      </c>
      <c r="AA1420" s="128" t="e">
        <f>+VLOOKUP(Tabla3[[#This Row],[CODIGO2]],ESTANDAR!$B$3:$C$9,2,FALSE)</f>
        <v>#N/A</v>
      </c>
      <c r="AB1420" s="128" t="str">
        <f>+MID(Tabla3[[#This Row],['# Viaje]],10,1)</f>
        <v/>
      </c>
    </row>
    <row r="1421" spans="1:28" ht="15" hidden="1" customHeight="1">
      <c r="A1421" s="72" t="s">
        <v>1735</v>
      </c>
      <c r="B1421" s="73">
        <v>42950</v>
      </c>
      <c r="C1421" s="72" t="s">
        <v>1231</v>
      </c>
      <c r="D1421" s="72" t="s">
        <v>1237</v>
      </c>
      <c r="E1421" s="72" t="s">
        <v>1479</v>
      </c>
      <c r="F1421" s="72">
        <v>1</v>
      </c>
      <c r="G1421" s="72" t="s">
        <v>258</v>
      </c>
      <c r="H1421" s="72">
        <v>1</v>
      </c>
      <c r="I1421" s="72" t="s">
        <v>258</v>
      </c>
      <c r="J1421" s="72" t="s">
        <v>1451</v>
      </c>
      <c r="K1421" s="72" t="s">
        <v>16</v>
      </c>
      <c r="L1421" s="72"/>
      <c r="M1421" s="72" t="s">
        <v>259</v>
      </c>
      <c r="N1421" s="72">
        <v>60345082</v>
      </c>
      <c r="O1421" s="72">
        <v>3696639</v>
      </c>
      <c r="P1421" s="7"/>
      <c r="Q1421" s="16">
        <f>+IF(IFERROR(VLOOKUP(Tabla3[[#This Row],[Cliente factura]],Tabla4[[NIT]:[TOTAL CREDITO]],3,FALSE),0)="",0,IFERROR(VLOOKUP(Tabla3[[#This Row],[Cliente factura]],Tabla4[[NIT]:[TOTAL CREDITO]],3,FALSE),0))</f>
        <v>45161471</v>
      </c>
      <c r="R1421" s="9">
        <f>+IFERROR(VLOOKUP(Tabla3[[#This Row],[Cliente factura]],Tabla4[[NIT]:[TOTAL CREDITO]],6,FALSE),0)</f>
        <v>0</v>
      </c>
      <c r="S1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1" s="10" t="str">
        <f>VLOOKUP(Tabla3[[#This Row],[Razón social cliente factura]]&amp;Tabla3[[#This Row],[Desc. ciudad]],'Estandar de Rutas'!$C$1:$E$553,2,FALSE)</f>
        <v>7.1.A</v>
      </c>
      <c r="U1421" s="130">
        <f>IFERROR(VLOOKUP(Tabla3[[#This Row],[Referencia]]&amp;Tabla3[[#This Row],[Desc detalle ext 1]],Tabla1[[Referencia-Color]:[Disponibilidad]],3,FALSE),0)</f>
        <v>3</v>
      </c>
      <c r="V1421" s="13"/>
      <c r="W1421" s="17">
        <f>+Tabla3[[#This Row],[Cant. Programada]]*Tabla3[[#This Row],[Precio unit]]</f>
        <v>0</v>
      </c>
      <c r="X1421" s="8"/>
      <c r="Y1421" s="8"/>
      <c r="Z1421" s="8" t="str">
        <f>+Tabla3[[#This Row],[Referencia]]&amp;Tabla3[[#This Row],[Desc detalle ext 1]]</f>
        <v xml:space="preserve">CB 110 DLX                                        NEGRO    </v>
      </c>
      <c r="AA1421" s="128" t="e">
        <f>+VLOOKUP(Tabla3[[#This Row],[CODIGO2]],ESTANDAR!$B$3:$C$9,2,FALSE)</f>
        <v>#N/A</v>
      </c>
      <c r="AB1421" s="128" t="str">
        <f>+MID(Tabla3[[#This Row],['# Viaje]],10,1)</f>
        <v/>
      </c>
    </row>
    <row r="1422" spans="1:28" ht="15" hidden="1" customHeight="1">
      <c r="A1422" s="72" t="s">
        <v>1736</v>
      </c>
      <c r="B1422" s="73">
        <v>42950</v>
      </c>
      <c r="C1422" s="72" t="s">
        <v>1231</v>
      </c>
      <c r="D1422" s="72" t="s">
        <v>1487</v>
      </c>
      <c r="E1422" s="72" t="s">
        <v>1479</v>
      </c>
      <c r="F1422" s="72">
        <v>1</v>
      </c>
      <c r="G1422" s="72" t="s">
        <v>199</v>
      </c>
      <c r="H1422" s="72">
        <v>1</v>
      </c>
      <c r="I1422" s="72" t="s">
        <v>199</v>
      </c>
      <c r="J1422" s="72" t="s">
        <v>14</v>
      </c>
      <c r="K1422" s="72" t="s">
        <v>17</v>
      </c>
      <c r="L1422" s="73"/>
      <c r="M1422" s="72" t="s">
        <v>112</v>
      </c>
      <c r="N1422" s="72">
        <v>900861288</v>
      </c>
      <c r="O1422" s="74">
        <v>3360504</v>
      </c>
      <c r="P1422" s="7"/>
      <c r="Q1422" s="16">
        <f>+IF(IFERROR(VLOOKUP(Tabla3[[#This Row],[Cliente factura]],Tabla4[[NIT]:[TOTAL CREDITO]],3,FALSE),0)="",0,IFERROR(VLOOKUP(Tabla3[[#This Row],[Cliente factura]],Tabla4[[NIT]:[TOTAL CREDITO]],3,FALSE),0))</f>
        <v>21260126</v>
      </c>
      <c r="R1422" s="9">
        <f>+IFERROR(VLOOKUP(Tabla3[[#This Row],[Cliente factura]],Tabla4[[NIT]:[TOTAL CREDITO]],6,FALSE),0)</f>
        <v>0</v>
      </c>
      <c r="S1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2" s="10" t="str">
        <f>VLOOKUP(Tabla3[[#This Row],[Razón social cliente factura]]&amp;Tabla3[[#This Row],[Desc. ciudad]],'Estandar de Rutas'!$C$1:$E$553,2,FALSE)</f>
        <v>6.2.A</v>
      </c>
      <c r="U1422" s="130">
        <f>IFERROR(VLOOKUP(Tabla3[[#This Row],[Referencia]]&amp;Tabla3[[#This Row],[Desc detalle ext 1]],Tabla1[[Referencia-Color]:[Disponibilidad]],3,FALSE),0)</f>
        <v>38</v>
      </c>
      <c r="V1422" s="13"/>
      <c r="W1422" s="17">
        <f>+Tabla3[[#This Row],[Cant. Programada]]*Tabla3[[#This Row],[Precio unit]]</f>
        <v>0</v>
      </c>
      <c r="X1422" s="8"/>
      <c r="Y1422" s="8"/>
      <c r="Z1422" s="8" t="str">
        <f>+Tabla3[[#This Row],[Referencia]]&amp;Tabla3[[#This Row],[Desc detalle ext 1]]</f>
        <v>*CB-110                                           ROJO SPOR</v>
      </c>
      <c r="AA1422" s="128" t="e">
        <f>+VLOOKUP(Tabla3[[#This Row],[CODIGO2]],ESTANDAR!$B$3:$C$9,2,FALSE)</f>
        <v>#N/A</v>
      </c>
      <c r="AB1422" s="128" t="str">
        <f>+MID(Tabla3[[#This Row],['# Viaje]],10,1)</f>
        <v/>
      </c>
    </row>
    <row r="1423" spans="1:28" ht="15" hidden="1" customHeight="1">
      <c r="A1423" s="72" t="s">
        <v>1736</v>
      </c>
      <c r="B1423" s="73">
        <v>42950</v>
      </c>
      <c r="C1423" s="72" t="s">
        <v>1231</v>
      </c>
      <c r="D1423" s="72" t="s">
        <v>1487</v>
      </c>
      <c r="E1423" s="72" t="s">
        <v>1479</v>
      </c>
      <c r="F1423" s="72">
        <v>1</v>
      </c>
      <c r="G1423" s="72" t="s">
        <v>199</v>
      </c>
      <c r="H1423" s="72">
        <v>1</v>
      </c>
      <c r="I1423" s="72" t="s">
        <v>199</v>
      </c>
      <c r="J1423" s="72" t="s">
        <v>14</v>
      </c>
      <c r="K1423" s="72" t="s">
        <v>16</v>
      </c>
      <c r="L1423" s="73"/>
      <c r="M1423" s="72" t="s">
        <v>112</v>
      </c>
      <c r="N1423" s="72">
        <v>900861288</v>
      </c>
      <c r="O1423" s="74">
        <v>3360504</v>
      </c>
      <c r="P1423" s="7"/>
      <c r="Q1423" s="16">
        <f>+IF(IFERROR(VLOOKUP(Tabla3[[#This Row],[Cliente factura]],Tabla4[[NIT]:[TOTAL CREDITO]],3,FALSE),0)="",0,IFERROR(VLOOKUP(Tabla3[[#This Row],[Cliente factura]],Tabla4[[NIT]:[TOTAL CREDITO]],3,FALSE),0))</f>
        <v>21260126</v>
      </c>
      <c r="R1423" s="9">
        <f>+IFERROR(VLOOKUP(Tabla3[[#This Row],[Cliente factura]],Tabla4[[NIT]:[TOTAL CREDITO]],6,FALSE),0)</f>
        <v>0</v>
      </c>
      <c r="S1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3" s="10" t="str">
        <f>VLOOKUP(Tabla3[[#This Row],[Razón social cliente factura]]&amp;Tabla3[[#This Row],[Desc. ciudad]],'Estandar de Rutas'!$C$1:$E$553,2,FALSE)</f>
        <v>6.2.A</v>
      </c>
      <c r="U1423" s="130">
        <f>IFERROR(VLOOKUP(Tabla3[[#This Row],[Referencia]]&amp;Tabla3[[#This Row],[Desc detalle ext 1]],Tabla1[[Referencia-Color]:[Disponibilidad]],3,FALSE),0)</f>
        <v>83</v>
      </c>
      <c r="V1423" s="13"/>
      <c r="W1423" s="17">
        <f>+Tabla3[[#This Row],[Cant. Programada]]*Tabla3[[#This Row],[Precio unit]]</f>
        <v>0</v>
      </c>
      <c r="X1423" s="8"/>
      <c r="Y1423" s="8"/>
      <c r="Z1423" s="8" t="str">
        <f>+Tabla3[[#This Row],[Referencia]]&amp;Tabla3[[#This Row],[Desc detalle ext 1]]</f>
        <v xml:space="preserve">*CB-110                                           NEGRO    </v>
      </c>
      <c r="AA1423" s="128" t="e">
        <f>+VLOOKUP(Tabla3[[#This Row],[CODIGO2]],ESTANDAR!$B$3:$C$9,2,FALSE)</f>
        <v>#N/A</v>
      </c>
      <c r="AB1423" s="128" t="str">
        <f>+MID(Tabla3[[#This Row],['# Viaje]],10,1)</f>
        <v/>
      </c>
    </row>
    <row r="1424" spans="1:28" ht="15" hidden="1" customHeight="1">
      <c r="A1424" s="72" t="s">
        <v>1736</v>
      </c>
      <c r="B1424" s="73">
        <v>42950</v>
      </c>
      <c r="C1424" s="72" t="s">
        <v>1231</v>
      </c>
      <c r="D1424" s="72" t="s">
        <v>1487</v>
      </c>
      <c r="E1424" s="72" t="s">
        <v>1479</v>
      </c>
      <c r="F1424" s="72">
        <v>3</v>
      </c>
      <c r="G1424" s="72" t="s">
        <v>199</v>
      </c>
      <c r="H1424" s="72">
        <v>3</v>
      </c>
      <c r="I1424" s="72" t="s">
        <v>199</v>
      </c>
      <c r="J1424" s="72" t="s">
        <v>27</v>
      </c>
      <c r="K1424" s="72" t="s">
        <v>32</v>
      </c>
      <c r="L1424" s="73"/>
      <c r="M1424" s="72" t="s">
        <v>112</v>
      </c>
      <c r="N1424" s="72">
        <v>900861288</v>
      </c>
      <c r="O1424" s="74">
        <v>5789916</v>
      </c>
      <c r="P1424" s="7"/>
      <c r="Q1424" s="16">
        <f>+IF(IFERROR(VLOOKUP(Tabla3[[#This Row],[Cliente factura]],Tabla4[[NIT]:[TOTAL CREDITO]],3,FALSE),0)="",0,IFERROR(VLOOKUP(Tabla3[[#This Row],[Cliente factura]],Tabla4[[NIT]:[TOTAL CREDITO]],3,FALSE),0))</f>
        <v>21260126</v>
      </c>
      <c r="R1424" s="9">
        <f>+IFERROR(VLOOKUP(Tabla3[[#This Row],[Cliente factura]],Tabla4[[NIT]:[TOTAL CREDITO]],6,FALSE),0)</f>
        <v>0</v>
      </c>
      <c r="S1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4" s="10" t="str">
        <f>VLOOKUP(Tabla3[[#This Row],[Razón social cliente factura]]&amp;Tabla3[[#This Row],[Desc. ciudad]],'Estandar de Rutas'!$C$1:$E$553,2,FALSE)</f>
        <v>6.2.A</v>
      </c>
      <c r="U1424" s="130">
        <f>IFERROR(VLOOKUP(Tabla3[[#This Row],[Referencia]]&amp;Tabla3[[#This Row],[Desc detalle ext 1]],Tabla1[[Referencia-Color]:[Disponibilidad]],3,FALSE),0)</f>
        <v>7</v>
      </c>
      <c r="V1424" s="13"/>
      <c r="W1424" s="17">
        <f>+Tabla3[[#This Row],[Cant. Programada]]*Tabla3[[#This Row],[Precio unit]]</f>
        <v>0</v>
      </c>
      <c r="X1424" s="8"/>
      <c r="Y1424" s="8"/>
      <c r="Z1424" s="8" t="str">
        <f>+Tabla3[[#This Row],[Referencia]]&amp;Tabla3[[#This Row],[Desc detalle ext 1]]</f>
        <v>*XR 150L                                          NEGRO ROJ</v>
      </c>
      <c r="AA1424" s="128" t="e">
        <f>+VLOOKUP(Tabla3[[#This Row],[CODIGO2]],ESTANDAR!$B$3:$C$9,2,FALSE)</f>
        <v>#N/A</v>
      </c>
      <c r="AB1424" s="128" t="str">
        <f>+MID(Tabla3[[#This Row],['# Viaje]],10,1)</f>
        <v/>
      </c>
    </row>
    <row r="1425" spans="1:28" ht="15" hidden="1" customHeight="1">
      <c r="A1425" s="72" t="s">
        <v>1736</v>
      </c>
      <c r="B1425" s="73">
        <v>42950</v>
      </c>
      <c r="C1425" s="72" t="s">
        <v>1231</v>
      </c>
      <c r="D1425" s="72" t="s">
        <v>1487</v>
      </c>
      <c r="E1425" s="72" t="s">
        <v>1479</v>
      </c>
      <c r="F1425" s="72">
        <v>2</v>
      </c>
      <c r="G1425" s="72" t="s">
        <v>199</v>
      </c>
      <c r="H1425" s="72">
        <v>2</v>
      </c>
      <c r="I1425" s="72" t="s">
        <v>199</v>
      </c>
      <c r="J1425" s="72" t="s">
        <v>27</v>
      </c>
      <c r="K1425" s="72" t="s">
        <v>26</v>
      </c>
      <c r="L1425" s="73"/>
      <c r="M1425" s="72" t="s">
        <v>112</v>
      </c>
      <c r="N1425" s="72">
        <v>900861288</v>
      </c>
      <c r="O1425" s="74">
        <v>5789916</v>
      </c>
      <c r="P1425" s="7"/>
      <c r="Q1425" s="16">
        <f>+IF(IFERROR(VLOOKUP(Tabla3[[#This Row],[Cliente factura]],Tabla4[[NIT]:[TOTAL CREDITO]],3,FALSE),0)="",0,IFERROR(VLOOKUP(Tabla3[[#This Row],[Cliente factura]],Tabla4[[NIT]:[TOTAL CREDITO]],3,FALSE),0))</f>
        <v>21260126</v>
      </c>
      <c r="R1425" s="9">
        <f>+IFERROR(VLOOKUP(Tabla3[[#This Row],[Cliente factura]],Tabla4[[NIT]:[TOTAL CREDITO]],6,FALSE),0)</f>
        <v>0</v>
      </c>
      <c r="S1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5" s="10" t="str">
        <f>VLOOKUP(Tabla3[[#This Row],[Razón social cliente factura]]&amp;Tabla3[[#This Row],[Desc. ciudad]],'Estandar de Rutas'!$C$1:$E$553,2,FALSE)</f>
        <v>6.2.A</v>
      </c>
      <c r="U1425" s="130">
        <f>IFERROR(VLOOKUP(Tabla3[[#This Row],[Referencia]]&amp;Tabla3[[#This Row],[Desc detalle ext 1]],Tabla1[[Referencia-Color]:[Disponibilidad]],3,FALSE),0)</f>
        <v>59</v>
      </c>
      <c r="V1425" s="13"/>
      <c r="W1425" s="17">
        <f>+Tabla3[[#This Row],[Cant. Programada]]*Tabla3[[#This Row],[Precio unit]]</f>
        <v>0</v>
      </c>
      <c r="X1425" s="8"/>
      <c r="Y1425" s="8"/>
      <c r="Z1425" s="8" t="str">
        <f>+Tabla3[[#This Row],[Referencia]]&amp;Tabla3[[#This Row],[Desc detalle ext 1]]</f>
        <v>*XR 150L                                          NEGRO BLA</v>
      </c>
      <c r="AA1425" s="128" t="e">
        <f>+VLOOKUP(Tabla3[[#This Row],[CODIGO2]],ESTANDAR!$B$3:$C$9,2,FALSE)</f>
        <v>#N/A</v>
      </c>
      <c r="AB1425" s="128" t="str">
        <f>+MID(Tabla3[[#This Row],['# Viaje]],10,1)</f>
        <v/>
      </c>
    </row>
    <row r="1426" spans="1:28" ht="15" hidden="1" customHeight="1">
      <c r="A1426" s="72" t="s">
        <v>1736</v>
      </c>
      <c r="B1426" s="73">
        <v>42950</v>
      </c>
      <c r="C1426" s="72" t="s">
        <v>1231</v>
      </c>
      <c r="D1426" s="72" t="s">
        <v>1487</v>
      </c>
      <c r="E1426" s="72" t="s">
        <v>1479</v>
      </c>
      <c r="F1426" s="72">
        <v>1</v>
      </c>
      <c r="G1426" s="72" t="s">
        <v>199</v>
      </c>
      <c r="H1426" s="72">
        <v>1</v>
      </c>
      <c r="I1426" s="72" t="s">
        <v>199</v>
      </c>
      <c r="J1426" s="72" t="s">
        <v>27</v>
      </c>
      <c r="K1426" s="72" t="s">
        <v>16</v>
      </c>
      <c r="L1426" s="73"/>
      <c r="M1426" s="72" t="s">
        <v>112</v>
      </c>
      <c r="N1426" s="72">
        <v>900861288</v>
      </c>
      <c r="O1426" s="74">
        <v>5789916</v>
      </c>
      <c r="P1426" s="7"/>
      <c r="Q1426" s="16">
        <f>+IF(IFERROR(VLOOKUP(Tabla3[[#This Row],[Cliente factura]],Tabla4[[NIT]:[TOTAL CREDITO]],3,FALSE),0)="",0,IFERROR(VLOOKUP(Tabla3[[#This Row],[Cliente factura]],Tabla4[[NIT]:[TOTAL CREDITO]],3,FALSE),0))</f>
        <v>21260126</v>
      </c>
      <c r="R1426" s="9">
        <f>+IFERROR(VLOOKUP(Tabla3[[#This Row],[Cliente factura]],Tabla4[[NIT]:[TOTAL CREDITO]],6,FALSE),0)</f>
        <v>0</v>
      </c>
      <c r="S1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6" s="10" t="str">
        <f>VLOOKUP(Tabla3[[#This Row],[Razón social cliente factura]]&amp;Tabla3[[#This Row],[Desc. ciudad]],'Estandar de Rutas'!$C$1:$E$553,2,FALSE)</f>
        <v>6.2.A</v>
      </c>
      <c r="U1426" s="130">
        <f>IFERROR(VLOOKUP(Tabla3[[#This Row],[Referencia]]&amp;Tabla3[[#This Row],[Desc detalle ext 1]],Tabla1[[Referencia-Color]:[Disponibilidad]],3,FALSE),0)</f>
        <v>3</v>
      </c>
      <c r="V1426" s="13"/>
      <c r="W1426" s="17">
        <f>+Tabla3[[#This Row],[Cant. Programada]]*Tabla3[[#This Row],[Precio unit]]</f>
        <v>0</v>
      </c>
      <c r="X1426" s="8"/>
      <c r="Y1426" s="8"/>
      <c r="Z1426" s="8" t="str">
        <f>+Tabla3[[#This Row],[Referencia]]&amp;Tabla3[[#This Row],[Desc detalle ext 1]]</f>
        <v xml:space="preserve">*XR 150L                                          NEGRO    </v>
      </c>
      <c r="AA1426" s="128" t="e">
        <f>+VLOOKUP(Tabla3[[#This Row],[CODIGO2]],ESTANDAR!$B$3:$C$9,2,FALSE)</f>
        <v>#N/A</v>
      </c>
      <c r="AB1426" s="128" t="str">
        <f>+MID(Tabla3[[#This Row],['# Viaje]],10,1)</f>
        <v/>
      </c>
    </row>
    <row r="1427" spans="1:28" ht="15" hidden="1" customHeight="1">
      <c r="A1427" s="72" t="s">
        <v>1737</v>
      </c>
      <c r="B1427" s="73">
        <v>42950</v>
      </c>
      <c r="C1427" s="72" t="s">
        <v>1231</v>
      </c>
      <c r="D1427" s="72" t="s">
        <v>1487</v>
      </c>
      <c r="E1427" s="72" t="s">
        <v>1479</v>
      </c>
      <c r="F1427" s="72">
        <v>1</v>
      </c>
      <c r="G1427" s="72" t="s">
        <v>163</v>
      </c>
      <c r="H1427" s="72">
        <v>1</v>
      </c>
      <c r="I1427" s="72" t="s">
        <v>1738</v>
      </c>
      <c r="J1427" s="72" t="s">
        <v>1414</v>
      </c>
      <c r="K1427" s="72" t="s">
        <v>1415</v>
      </c>
      <c r="L1427" s="73"/>
      <c r="M1427" s="72" t="s">
        <v>164</v>
      </c>
      <c r="N1427" s="72">
        <v>900086154</v>
      </c>
      <c r="O1427" s="74">
        <v>3588235</v>
      </c>
      <c r="P1427" s="7"/>
      <c r="Q1427" s="16">
        <f>+IF(IFERROR(VLOOKUP(Tabla3[[#This Row],[Cliente factura]],Tabla4[[NIT]:[TOTAL CREDITO]],3,FALSE),0)="",0,IFERROR(VLOOKUP(Tabla3[[#This Row],[Cliente factura]],Tabla4[[NIT]:[TOTAL CREDITO]],3,FALSE),0))</f>
        <v>27045038</v>
      </c>
      <c r="R1427" s="9">
        <f>+IFERROR(VLOOKUP(Tabla3[[#This Row],[Cliente factura]],Tabla4[[NIT]:[TOTAL CREDITO]],6,FALSE),0)</f>
        <v>0</v>
      </c>
      <c r="S1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7" s="10" t="str">
        <f>VLOOKUP(Tabla3[[#This Row],[Razón social cliente factura]]&amp;Tabla3[[#This Row],[Desc. ciudad]],'Estandar de Rutas'!$C$1:$E$553,2,FALSE)</f>
        <v>8.1.A</v>
      </c>
      <c r="U1427" s="130">
        <f>IFERROR(VLOOKUP(Tabla3[[#This Row],[Referencia]]&amp;Tabla3[[#This Row],[Desc detalle ext 1]],Tabla1[[Referencia-Color]:[Disponibilidad]],3,FALSE),0)</f>
        <v>14</v>
      </c>
      <c r="V1427" s="13"/>
      <c r="W1427" s="17">
        <f>+Tabla3[[#This Row],[Cant. Programada]]*Tabla3[[#This Row],[Precio unit]]</f>
        <v>0</v>
      </c>
      <c r="X1427" s="8"/>
      <c r="Y1427" s="8"/>
      <c r="Z1427" s="8" t="str">
        <f>+Tabla3[[#This Row],[Referencia]]&amp;Tabla3[[#This Row],[Desc detalle ext 1]]</f>
        <v>*CB1 PRO                                          PEARL PRO</v>
      </c>
      <c r="AA1427" s="128" t="e">
        <f>+VLOOKUP(Tabla3[[#This Row],[CODIGO2]],ESTANDAR!$B$3:$C$9,2,FALSE)</f>
        <v>#N/A</v>
      </c>
      <c r="AB1427" s="128" t="str">
        <f>+MID(Tabla3[[#This Row],['# Viaje]],10,1)</f>
        <v/>
      </c>
    </row>
    <row r="1428" spans="1:28" ht="15" hidden="1" customHeight="1">
      <c r="A1428" s="72" t="s">
        <v>1737</v>
      </c>
      <c r="B1428" s="73">
        <v>42950</v>
      </c>
      <c r="C1428" s="72" t="s">
        <v>1231</v>
      </c>
      <c r="D1428" s="72" t="s">
        <v>1487</v>
      </c>
      <c r="E1428" s="72" t="s">
        <v>1479</v>
      </c>
      <c r="F1428" s="72">
        <v>1</v>
      </c>
      <c r="G1428" s="72" t="s">
        <v>163</v>
      </c>
      <c r="H1428" s="72">
        <v>1</v>
      </c>
      <c r="I1428" s="72" t="s">
        <v>1738</v>
      </c>
      <c r="J1428" s="72" t="s">
        <v>10</v>
      </c>
      <c r="K1428" s="72" t="s">
        <v>11</v>
      </c>
      <c r="L1428" s="73"/>
      <c r="M1428" s="72" t="s">
        <v>164</v>
      </c>
      <c r="N1428" s="72">
        <v>900086154</v>
      </c>
      <c r="O1428" s="74">
        <v>7554622</v>
      </c>
      <c r="P1428" s="7"/>
      <c r="Q1428" s="16">
        <f>+IF(IFERROR(VLOOKUP(Tabla3[[#This Row],[Cliente factura]],Tabla4[[NIT]:[TOTAL CREDITO]],3,FALSE),0)="",0,IFERROR(VLOOKUP(Tabla3[[#This Row],[Cliente factura]],Tabla4[[NIT]:[TOTAL CREDITO]],3,FALSE),0))</f>
        <v>27045038</v>
      </c>
      <c r="R1428" s="9">
        <f>+IFERROR(VLOOKUP(Tabla3[[#This Row],[Cliente factura]],Tabla4[[NIT]:[TOTAL CREDITO]],6,FALSE),0)</f>
        <v>0</v>
      </c>
      <c r="S1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8" s="10" t="str">
        <f>VLOOKUP(Tabla3[[#This Row],[Razón social cliente factura]]&amp;Tabla3[[#This Row],[Desc. ciudad]],'Estandar de Rutas'!$C$1:$E$553,2,FALSE)</f>
        <v>8.1.A</v>
      </c>
      <c r="U1428" s="130">
        <f>IFERROR(VLOOKUP(Tabla3[[#This Row],[Referencia]]&amp;Tabla3[[#This Row],[Desc detalle ext 1]],Tabla1[[Referencia-Color]:[Disponibilidad]],3,FALSE),0)</f>
        <v>0</v>
      </c>
      <c r="V1428" s="13"/>
      <c r="W1428" s="17">
        <f>+Tabla3[[#This Row],[Cant. Programada]]*Tabla3[[#This Row],[Precio unit]]</f>
        <v>0</v>
      </c>
      <c r="X1428" s="8"/>
      <c r="Y1428" s="8"/>
      <c r="Z1428" s="8" t="str">
        <f>+Tabla3[[#This Row],[Referencia]]&amp;Tabla3[[#This Row],[Desc detalle ext 1]]</f>
        <v>CB 190R                                           NEGRO ONI</v>
      </c>
      <c r="AA1428" s="128" t="e">
        <f>+VLOOKUP(Tabla3[[#This Row],[CODIGO2]],ESTANDAR!$B$3:$C$9,2,FALSE)</f>
        <v>#N/A</v>
      </c>
      <c r="AB1428" s="128" t="str">
        <f>+MID(Tabla3[[#This Row],['# Viaje]],10,1)</f>
        <v/>
      </c>
    </row>
    <row r="1429" spans="1:28" ht="15" hidden="1" customHeight="1">
      <c r="A1429" s="72" t="s">
        <v>1737</v>
      </c>
      <c r="B1429" s="73">
        <v>42950</v>
      </c>
      <c r="C1429" s="72" t="s">
        <v>1231</v>
      </c>
      <c r="D1429" s="72" t="s">
        <v>1487</v>
      </c>
      <c r="E1429" s="72" t="s">
        <v>1479</v>
      </c>
      <c r="F1429" s="72">
        <v>1</v>
      </c>
      <c r="G1429" s="72" t="s">
        <v>163</v>
      </c>
      <c r="H1429" s="72">
        <v>1</v>
      </c>
      <c r="I1429" s="72" t="s">
        <v>1738</v>
      </c>
      <c r="J1429" s="72" t="s">
        <v>354</v>
      </c>
      <c r="K1429" s="72" t="s">
        <v>474</v>
      </c>
      <c r="L1429" s="73"/>
      <c r="M1429" s="72" t="s">
        <v>164</v>
      </c>
      <c r="N1429" s="72">
        <v>900086154</v>
      </c>
      <c r="O1429" s="74">
        <v>6133613</v>
      </c>
      <c r="P1429" s="7"/>
      <c r="Q1429" s="16">
        <f>+IF(IFERROR(VLOOKUP(Tabla3[[#This Row],[Cliente factura]],Tabla4[[NIT]:[TOTAL CREDITO]],3,FALSE),0)="",0,IFERROR(VLOOKUP(Tabla3[[#This Row],[Cliente factura]],Tabla4[[NIT]:[TOTAL CREDITO]],3,FALSE),0))</f>
        <v>27045038</v>
      </c>
      <c r="R1429" s="9">
        <f>+IFERROR(VLOOKUP(Tabla3[[#This Row],[Cliente factura]],Tabla4[[NIT]:[TOTAL CREDITO]],6,FALSE),0)</f>
        <v>0</v>
      </c>
      <c r="S1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9" s="10" t="str">
        <f>VLOOKUP(Tabla3[[#This Row],[Razón social cliente factura]]&amp;Tabla3[[#This Row],[Desc. ciudad]],'Estandar de Rutas'!$C$1:$E$553,2,FALSE)</f>
        <v>8.1.A</v>
      </c>
      <c r="U1429" s="130">
        <f>IFERROR(VLOOKUP(Tabla3[[#This Row],[Referencia]]&amp;Tabla3[[#This Row],[Desc detalle ext 1]],Tabla1[[Referencia-Color]:[Disponibilidad]],3,FALSE),0)</f>
        <v>3</v>
      </c>
      <c r="V1429" s="13"/>
      <c r="W1429" s="17">
        <f>+Tabla3[[#This Row],[Cant. Programada]]*Tabla3[[#This Row],[Precio unit]]</f>
        <v>0</v>
      </c>
      <c r="X1429" s="8"/>
      <c r="Y1429" s="8"/>
      <c r="Z1429" s="8" t="str">
        <f>+Tabla3[[#This Row],[Referencia]]&amp;Tabla3[[#This Row],[Desc detalle ext 1]]</f>
        <v>CB 160F DLX                                       NARANJA N</v>
      </c>
      <c r="AA1429" s="128" t="e">
        <f>+VLOOKUP(Tabla3[[#This Row],[CODIGO2]],ESTANDAR!$B$3:$C$9,2,FALSE)</f>
        <v>#N/A</v>
      </c>
      <c r="AB1429" s="128" t="str">
        <f>+MID(Tabla3[[#This Row],['# Viaje]],10,1)</f>
        <v/>
      </c>
    </row>
    <row r="1430" spans="1:28" ht="15" hidden="1" customHeight="1">
      <c r="A1430" s="72" t="s">
        <v>1737</v>
      </c>
      <c r="B1430" s="73">
        <v>42950</v>
      </c>
      <c r="C1430" s="72" t="s">
        <v>1231</v>
      </c>
      <c r="D1430" s="72" t="s">
        <v>1487</v>
      </c>
      <c r="E1430" s="72" t="s">
        <v>1479</v>
      </c>
      <c r="F1430" s="72">
        <v>1</v>
      </c>
      <c r="G1430" s="72" t="s">
        <v>163</v>
      </c>
      <c r="H1430" s="72">
        <v>1</v>
      </c>
      <c r="I1430" s="72" t="s">
        <v>1738</v>
      </c>
      <c r="J1430" s="72" t="s">
        <v>354</v>
      </c>
      <c r="K1430" s="72" t="s">
        <v>44</v>
      </c>
      <c r="L1430" s="73"/>
      <c r="M1430" s="72" t="s">
        <v>164</v>
      </c>
      <c r="N1430" s="72">
        <v>900086154</v>
      </c>
      <c r="O1430" s="74">
        <v>6133613</v>
      </c>
      <c r="P1430" s="7"/>
      <c r="Q1430" s="16">
        <f>+IF(IFERROR(VLOOKUP(Tabla3[[#This Row],[Cliente factura]],Tabla4[[NIT]:[TOTAL CREDITO]],3,FALSE),0)="",0,IFERROR(VLOOKUP(Tabla3[[#This Row],[Cliente factura]],Tabla4[[NIT]:[TOTAL CREDITO]],3,FALSE),0))</f>
        <v>27045038</v>
      </c>
      <c r="R1430" s="9">
        <f>+IFERROR(VLOOKUP(Tabla3[[#This Row],[Cliente factura]],Tabla4[[NIT]:[TOTAL CREDITO]],6,FALSE),0)</f>
        <v>0</v>
      </c>
      <c r="S1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0" s="10" t="str">
        <f>VLOOKUP(Tabla3[[#This Row],[Razón social cliente factura]]&amp;Tabla3[[#This Row],[Desc. ciudad]],'Estandar de Rutas'!$C$1:$E$553,2,FALSE)</f>
        <v>8.1.A</v>
      </c>
      <c r="U1430" s="130">
        <f>IFERROR(VLOOKUP(Tabla3[[#This Row],[Referencia]]&amp;Tabla3[[#This Row],[Desc detalle ext 1]],Tabla1[[Referencia-Color]:[Disponibilidad]],3,FALSE),0)</f>
        <v>6</v>
      </c>
      <c r="V1430" s="13"/>
      <c r="W1430" s="17">
        <f>+Tabla3[[#This Row],[Cant. Programada]]*Tabla3[[#This Row],[Precio unit]]</f>
        <v>0</v>
      </c>
      <c r="X1430" s="8"/>
      <c r="Y1430" s="8"/>
      <c r="Z1430" s="8" t="str">
        <f>+Tabla3[[#This Row],[Referencia]]&amp;Tabla3[[#This Row],[Desc detalle ext 1]]</f>
        <v>CB 160F DLX                                       BLANCO PE</v>
      </c>
      <c r="AA1430" s="128" t="e">
        <f>+VLOOKUP(Tabla3[[#This Row],[CODIGO2]],ESTANDAR!$B$3:$C$9,2,FALSE)</f>
        <v>#N/A</v>
      </c>
      <c r="AB1430" s="128" t="str">
        <f>+MID(Tabla3[[#This Row],['# Viaje]],10,1)</f>
        <v/>
      </c>
    </row>
    <row r="1431" spans="1:28" ht="15" hidden="1" customHeight="1">
      <c r="A1431" s="72" t="s">
        <v>1737</v>
      </c>
      <c r="B1431" s="73">
        <v>42950</v>
      </c>
      <c r="C1431" s="72" t="s">
        <v>1231</v>
      </c>
      <c r="D1431" s="72" t="s">
        <v>1487</v>
      </c>
      <c r="E1431" s="72" t="s">
        <v>1479</v>
      </c>
      <c r="F1431" s="72">
        <v>1</v>
      </c>
      <c r="G1431" s="72" t="s">
        <v>163</v>
      </c>
      <c r="H1431" s="72">
        <v>1</v>
      </c>
      <c r="I1431" s="72" t="s">
        <v>1738</v>
      </c>
      <c r="J1431" s="72" t="s">
        <v>1430</v>
      </c>
      <c r="K1431" s="72" t="s">
        <v>16</v>
      </c>
      <c r="L1431" s="73"/>
      <c r="M1431" s="72" t="s">
        <v>164</v>
      </c>
      <c r="N1431" s="72">
        <v>900086154</v>
      </c>
      <c r="O1431" s="74">
        <v>3941176</v>
      </c>
      <c r="P1431" s="7"/>
      <c r="Q1431" s="16">
        <f>+IF(IFERROR(VLOOKUP(Tabla3[[#This Row],[Cliente factura]],Tabla4[[NIT]:[TOTAL CREDITO]],3,FALSE),0)="",0,IFERROR(VLOOKUP(Tabla3[[#This Row],[Cliente factura]],Tabla4[[NIT]:[TOTAL CREDITO]],3,FALSE),0))</f>
        <v>27045038</v>
      </c>
      <c r="R1431" s="9">
        <f>+IFERROR(VLOOKUP(Tabla3[[#This Row],[Cliente factura]],Tabla4[[NIT]:[TOTAL CREDITO]],6,FALSE),0)</f>
        <v>0</v>
      </c>
      <c r="S1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1" s="10" t="str">
        <f>VLOOKUP(Tabla3[[#This Row],[Razón social cliente factura]]&amp;Tabla3[[#This Row],[Desc. ciudad]],'Estandar de Rutas'!$C$1:$E$553,2,FALSE)</f>
        <v>8.1.A</v>
      </c>
      <c r="U1431" s="130">
        <f>IFERROR(VLOOKUP(Tabla3[[#This Row],[Referencia]]&amp;Tabla3[[#This Row],[Desc detalle ext 1]],Tabla1[[Referencia-Color]:[Disponibilidad]],3,FALSE),0)</f>
        <v>0</v>
      </c>
      <c r="V1431" s="13"/>
      <c r="W1431" s="17">
        <f>+Tabla3[[#This Row],[Cant. Programada]]*Tabla3[[#This Row],[Precio unit]]</f>
        <v>0</v>
      </c>
      <c r="X1431" s="8"/>
      <c r="Y1431" s="8"/>
      <c r="Z1431" s="8" t="str">
        <f>+Tabla3[[#This Row],[Referencia]]&amp;Tabla3[[#This Row],[Desc detalle ext 1]]</f>
        <v xml:space="preserve">WAVE 110S                                         NEGRO    </v>
      </c>
      <c r="AA1431" s="128" t="e">
        <f>+VLOOKUP(Tabla3[[#This Row],[CODIGO2]],ESTANDAR!$B$3:$C$9,2,FALSE)</f>
        <v>#N/A</v>
      </c>
      <c r="AB1431" s="128" t="str">
        <f>+MID(Tabla3[[#This Row],['# Viaje]],10,1)</f>
        <v/>
      </c>
    </row>
    <row r="1432" spans="1:28" ht="15" hidden="1" customHeight="1">
      <c r="A1432" s="72" t="s">
        <v>1737</v>
      </c>
      <c r="B1432" s="73">
        <v>42950</v>
      </c>
      <c r="C1432" s="72" t="s">
        <v>1231</v>
      </c>
      <c r="D1432" s="72" t="s">
        <v>1487</v>
      </c>
      <c r="E1432" s="72" t="s">
        <v>1479</v>
      </c>
      <c r="F1432" s="72">
        <v>1</v>
      </c>
      <c r="G1432" s="72" t="s">
        <v>163</v>
      </c>
      <c r="H1432" s="72">
        <v>1</v>
      </c>
      <c r="I1432" s="72" t="s">
        <v>1738</v>
      </c>
      <c r="J1432" s="72" t="s">
        <v>1451</v>
      </c>
      <c r="K1432" s="72" t="s">
        <v>1431</v>
      </c>
      <c r="L1432" s="73"/>
      <c r="M1432" s="72" t="s">
        <v>164</v>
      </c>
      <c r="N1432" s="72">
        <v>900086154</v>
      </c>
      <c r="O1432" s="74">
        <v>3696639</v>
      </c>
      <c r="P1432" s="7"/>
      <c r="Q1432" s="16">
        <f>+IF(IFERROR(VLOOKUP(Tabla3[[#This Row],[Cliente factura]],Tabla4[[NIT]:[TOTAL CREDITO]],3,FALSE),0)="",0,IFERROR(VLOOKUP(Tabla3[[#This Row],[Cliente factura]],Tabla4[[NIT]:[TOTAL CREDITO]],3,FALSE),0))</f>
        <v>27045038</v>
      </c>
      <c r="R1432" s="9">
        <f>+IFERROR(VLOOKUP(Tabla3[[#This Row],[Cliente factura]],Tabla4[[NIT]:[TOTAL CREDITO]],6,FALSE),0)</f>
        <v>0</v>
      </c>
      <c r="S1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2" s="10" t="str">
        <f>VLOOKUP(Tabla3[[#This Row],[Razón social cliente factura]]&amp;Tabla3[[#This Row],[Desc. ciudad]],'Estandar de Rutas'!$C$1:$E$553,2,FALSE)</f>
        <v>8.1.A</v>
      </c>
      <c r="U1432" s="130">
        <f>IFERROR(VLOOKUP(Tabla3[[#This Row],[Referencia]]&amp;Tabla3[[#This Row],[Desc detalle ext 1]],Tabla1[[Referencia-Color]:[Disponibilidad]],3,FALSE),0)</f>
        <v>21</v>
      </c>
      <c r="V1432" s="13"/>
      <c r="W1432" s="17">
        <f>+Tabla3[[#This Row],[Cant. Programada]]*Tabla3[[#This Row],[Precio unit]]</f>
        <v>0</v>
      </c>
      <c r="X1432" s="8"/>
      <c r="Y1432" s="8"/>
      <c r="Z1432" s="8" t="str">
        <f>+Tabla3[[#This Row],[Referencia]]&amp;Tabla3[[#This Row],[Desc detalle ext 1]]</f>
        <v xml:space="preserve">CB 110 DLX                                        ROJO     </v>
      </c>
      <c r="AA1432" s="128" t="e">
        <f>+VLOOKUP(Tabla3[[#This Row],[CODIGO2]],ESTANDAR!$B$3:$C$9,2,FALSE)</f>
        <v>#N/A</v>
      </c>
      <c r="AB1432" s="128" t="str">
        <f>+MID(Tabla3[[#This Row],['# Viaje]],10,1)</f>
        <v/>
      </c>
    </row>
    <row r="1433" spans="1:28" ht="15" hidden="1" customHeight="1">
      <c r="A1433" s="72" t="s">
        <v>1737</v>
      </c>
      <c r="B1433" s="73">
        <v>42950</v>
      </c>
      <c r="C1433" s="72" t="s">
        <v>1231</v>
      </c>
      <c r="D1433" s="72" t="s">
        <v>1487</v>
      </c>
      <c r="E1433" s="72" t="s">
        <v>1479</v>
      </c>
      <c r="F1433" s="72">
        <v>1</v>
      </c>
      <c r="G1433" s="72" t="s">
        <v>163</v>
      </c>
      <c r="H1433" s="72">
        <v>1</v>
      </c>
      <c r="I1433" s="72" t="s">
        <v>1738</v>
      </c>
      <c r="J1433" s="72" t="s">
        <v>1451</v>
      </c>
      <c r="K1433" s="72" t="s">
        <v>16</v>
      </c>
      <c r="L1433" s="73"/>
      <c r="M1433" s="72" t="s">
        <v>164</v>
      </c>
      <c r="N1433" s="72">
        <v>900086154</v>
      </c>
      <c r="O1433" s="74">
        <v>3696639</v>
      </c>
      <c r="P1433" s="7"/>
      <c r="Q1433" s="16">
        <f>+IF(IFERROR(VLOOKUP(Tabla3[[#This Row],[Cliente factura]],Tabla4[[NIT]:[TOTAL CREDITO]],3,FALSE),0)="",0,IFERROR(VLOOKUP(Tabla3[[#This Row],[Cliente factura]],Tabla4[[NIT]:[TOTAL CREDITO]],3,FALSE),0))</f>
        <v>27045038</v>
      </c>
      <c r="R1433" s="9">
        <f>+IFERROR(VLOOKUP(Tabla3[[#This Row],[Cliente factura]],Tabla4[[NIT]:[TOTAL CREDITO]],6,FALSE),0)</f>
        <v>0</v>
      </c>
      <c r="S1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3" s="10" t="str">
        <f>VLOOKUP(Tabla3[[#This Row],[Razón social cliente factura]]&amp;Tabla3[[#This Row],[Desc. ciudad]],'Estandar de Rutas'!$C$1:$E$553,2,FALSE)</f>
        <v>8.1.A</v>
      </c>
      <c r="U1433" s="130">
        <f>IFERROR(VLOOKUP(Tabla3[[#This Row],[Referencia]]&amp;Tabla3[[#This Row],[Desc detalle ext 1]],Tabla1[[Referencia-Color]:[Disponibilidad]],3,FALSE),0)</f>
        <v>3</v>
      </c>
      <c r="V1433" s="13"/>
      <c r="W1433" s="17">
        <f>+Tabla3[[#This Row],[Cant. Programada]]*Tabla3[[#This Row],[Precio unit]]</f>
        <v>0</v>
      </c>
      <c r="X1433" s="8"/>
      <c r="Y1433" s="8"/>
      <c r="Z1433" s="8" t="str">
        <f>+Tabla3[[#This Row],[Referencia]]&amp;Tabla3[[#This Row],[Desc detalle ext 1]]</f>
        <v xml:space="preserve">CB 110 DLX                                        NEGRO    </v>
      </c>
      <c r="AA1433" s="128" t="e">
        <f>+VLOOKUP(Tabla3[[#This Row],[CODIGO2]],ESTANDAR!$B$3:$C$9,2,FALSE)</f>
        <v>#N/A</v>
      </c>
      <c r="AB1433" s="128" t="str">
        <f>+MID(Tabla3[[#This Row],['# Viaje]],10,1)</f>
        <v/>
      </c>
    </row>
    <row r="1434" spans="1:28" ht="15" hidden="1" customHeight="1">
      <c r="A1434" s="72" t="s">
        <v>1739</v>
      </c>
      <c r="B1434" s="73">
        <v>42950</v>
      </c>
      <c r="C1434" s="72" t="s">
        <v>1477</v>
      </c>
      <c r="D1434" s="72" t="s">
        <v>1237</v>
      </c>
      <c r="E1434" s="72" t="s">
        <v>1479</v>
      </c>
      <c r="F1434" s="72">
        <v>2</v>
      </c>
      <c r="G1434" s="72" t="s">
        <v>61</v>
      </c>
      <c r="H1434" s="72">
        <v>2</v>
      </c>
      <c r="I1434" s="72" t="s">
        <v>1740</v>
      </c>
      <c r="J1434" s="72" t="s">
        <v>27</v>
      </c>
      <c r="K1434" s="72" t="s">
        <v>32</v>
      </c>
      <c r="L1434" s="73"/>
      <c r="M1434" s="72" t="s">
        <v>64</v>
      </c>
      <c r="N1434" s="72">
        <v>800186618</v>
      </c>
      <c r="O1434" s="74">
        <v>5789916</v>
      </c>
      <c r="P1434" s="7"/>
      <c r="Q143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4" s="9">
        <f>+IFERROR(VLOOKUP(Tabla3[[#This Row],[Cliente factura]],Tabla4[[NIT]:[TOTAL CREDITO]],6,FALSE),0)</f>
        <v>0</v>
      </c>
      <c r="S1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4" s="10" t="str">
        <f>VLOOKUP(Tabla3[[#This Row],[Razón social cliente factura]]&amp;Tabla3[[#This Row],[Desc. ciudad]],'Estandar de Rutas'!$C$1:$E$553,2,FALSE)</f>
        <v>7.2.C</v>
      </c>
      <c r="U1434" s="130">
        <f>IFERROR(VLOOKUP(Tabla3[[#This Row],[Referencia]]&amp;Tabla3[[#This Row],[Desc detalle ext 1]],Tabla1[[Referencia-Color]:[Disponibilidad]],3,FALSE),0)</f>
        <v>7</v>
      </c>
      <c r="V1434" s="13"/>
      <c r="W1434" s="17">
        <f>+Tabla3[[#This Row],[Cant. Programada]]*Tabla3[[#This Row],[Precio unit]]</f>
        <v>0</v>
      </c>
      <c r="X1434" s="8"/>
      <c r="Y1434" s="8"/>
      <c r="Z1434" s="8" t="str">
        <f>+Tabla3[[#This Row],[Referencia]]&amp;Tabla3[[#This Row],[Desc detalle ext 1]]</f>
        <v>*XR 150L                                          NEGRO ROJ</v>
      </c>
      <c r="AA1434" s="128" t="e">
        <f>+VLOOKUP(Tabla3[[#This Row],[CODIGO2]],ESTANDAR!$B$3:$C$9,2,FALSE)</f>
        <v>#N/A</v>
      </c>
      <c r="AB1434" s="128" t="str">
        <f>+MID(Tabla3[[#This Row],['# Viaje]],10,1)</f>
        <v/>
      </c>
    </row>
    <row r="1435" spans="1:28" ht="15" hidden="1" customHeight="1">
      <c r="A1435" s="72" t="s">
        <v>1739</v>
      </c>
      <c r="B1435" s="73">
        <v>42950</v>
      </c>
      <c r="C1435" s="72" t="s">
        <v>1477</v>
      </c>
      <c r="D1435" s="72" t="s">
        <v>1237</v>
      </c>
      <c r="E1435" s="72" t="s">
        <v>1479</v>
      </c>
      <c r="F1435" s="72">
        <v>2</v>
      </c>
      <c r="G1435" s="72" t="s">
        <v>61</v>
      </c>
      <c r="H1435" s="72">
        <v>2</v>
      </c>
      <c r="I1435" s="72" t="s">
        <v>1740</v>
      </c>
      <c r="J1435" s="72" t="s">
        <v>27</v>
      </c>
      <c r="K1435" s="72" t="s">
        <v>26</v>
      </c>
      <c r="L1435" s="73"/>
      <c r="M1435" s="72" t="s">
        <v>64</v>
      </c>
      <c r="N1435" s="72">
        <v>800186618</v>
      </c>
      <c r="O1435" s="74">
        <v>5789916</v>
      </c>
      <c r="P1435" s="7"/>
      <c r="Q14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5" s="9">
        <f>+IFERROR(VLOOKUP(Tabla3[[#This Row],[Cliente factura]],Tabla4[[NIT]:[TOTAL CREDITO]],6,FALSE),0)</f>
        <v>0</v>
      </c>
      <c r="S1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5" s="10" t="str">
        <f>VLOOKUP(Tabla3[[#This Row],[Razón social cliente factura]]&amp;Tabla3[[#This Row],[Desc. ciudad]],'Estandar de Rutas'!$C$1:$E$553,2,FALSE)</f>
        <v>7.2.C</v>
      </c>
      <c r="U1435" s="130">
        <f>IFERROR(VLOOKUP(Tabla3[[#This Row],[Referencia]]&amp;Tabla3[[#This Row],[Desc detalle ext 1]],Tabla1[[Referencia-Color]:[Disponibilidad]],3,FALSE),0)</f>
        <v>59</v>
      </c>
      <c r="V1435" s="13"/>
      <c r="W1435" s="17">
        <f>+Tabla3[[#This Row],[Cant. Programada]]*Tabla3[[#This Row],[Precio unit]]</f>
        <v>0</v>
      </c>
      <c r="X1435" s="8"/>
      <c r="Y1435" s="8"/>
      <c r="Z1435" s="8" t="str">
        <f>+Tabla3[[#This Row],[Referencia]]&amp;Tabla3[[#This Row],[Desc detalle ext 1]]</f>
        <v>*XR 150L                                          NEGRO BLA</v>
      </c>
      <c r="AA1435" s="128" t="e">
        <f>+VLOOKUP(Tabla3[[#This Row],[CODIGO2]],ESTANDAR!$B$3:$C$9,2,FALSE)</f>
        <v>#N/A</v>
      </c>
      <c r="AB1435" s="128" t="str">
        <f>+MID(Tabla3[[#This Row],['# Viaje]],10,1)</f>
        <v/>
      </c>
    </row>
    <row r="1436" spans="1:28" ht="15" hidden="1" customHeight="1">
      <c r="A1436" s="72" t="s">
        <v>1739</v>
      </c>
      <c r="B1436" s="73">
        <v>42950</v>
      </c>
      <c r="C1436" s="72" t="s">
        <v>1477</v>
      </c>
      <c r="D1436" s="72" t="s">
        <v>1237</v>
      </c>
      <c r="E1436" s="72" t="s">
        <v>1479</v>
      </c>
      <c r="F1436" s="72">
        <v>2</v>
      </c>
      <c r="G1436" s="72" t="s">
        <v>61</v>
      </c>
      <c r="H1436" s="72">
        <v>2</v>
      </c>
      <c r="I1436" s="72" t="s">
        <v>1740</v>
      </c>
      <c r="J1436" s="72" t="s">
        <v>27</v>
      </c>
      <c r="K1436" s="72" t="s">
        <v>16</v>
      </c>
      <c r="L1436" s="73"/>
      <c r="M1436" s="72" t="s">
        <v>64</v>
      </c>
      <c r="N1436" s="72">
        <v>800186618</v>
      </c>
      <c r="O1436" s="74">
        <v>5789916</v>
      </c>
      <c r="P1436" s="7"/>
      <c r="Q14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6" s="9">
        <f>+IFERROR(VLOOKUP(Tabla3[[#This Row],[Cliente factura]],Tabla4[[NIT]:[TOTAL CREDITO]],6,FALSE),0)</f>
        <v>0</v>
      </c>
      <c r="S1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6" s="10" t="str">
        <f>VLOOKUP(Tabla3[[#This Row],[Razón social cliente factura]]&amp;Tabla3[[#This Row],[Desc. ciudad]],'Estandar de Rutas'!$C$1:$E$553,2,FALSE)</f>
        <v>7.2.C</v>
      </c>
      <c r="U1436" s="130">
        <f>IFERROR(VLOOKUP(Tabla3[[#This Row],[Referencia]]&amp;Tabla3[[#This Row],[Desc detalle ext 1]],Tabla1[[Referencia-Color]:[Disponibilidad]],3,FALSE),0)</f>
        <v>3</v>
      </c>
      <c r="V1436" s="13"/>
      <c r="W1436" s="17">
        <f>+Tabla3[[#This Row],[Cant. Programada]]*Tabla3[[#This Row],[Precio unit]]</f>
        <v>0</v>
      </c>
      <c r="X1436" s="8"/>
      <c r="Y1436" s="8"/>
      <c r="Z1436" s="8" t="str">
        <f>+Tabla3[[#This Row],[Referencia]]&amp;Tabla3[[#This Row],[Desc detalle ext 1]]</f>
        <v xml:space="preserve">*XR 150L                                          NEGRO    </v>
      </c>
      <c r="AA1436" s="128" t="e">
        <f>+VLOOKUP(Tabla3[[#This Row],[CODIGO2]],ESTANDAR!$B$3:$C$9,2,FALSE)</f>
        <v>#N/A</v>
      </c>
      <c r="AB1436" s="128" t="str">
        <f>+MID(Tabla3[[#This Row],['# Viaje]],10,1)</f>
        <v/>
      </c>
    </row>
    <row r="1437" spans="1:28" ht="15" hidden="1" customHeight="1">
      <c r="A1437" s="72" t="s">
        <v>1739</v>
      </c>
      <c r="B1437" s="73">
        <v>42950</v>
      </c>
      <c r="C1437" s="72" t="s">
        <v>1477</v>
      </c>
      <c r="D1437" s="72" t="s">
        <v>1237</v>
      </c>
      <c r="E1437" s="72" t="s">
        <v>1479</v>
      </c>
      <c r="F1437" s="72">
        <v>1</v>
      </c>
      <c r="G1437" s="72" t="s">
        <v>61</v>
      </c>
      <c r="H1437" s="72">
        <v>1</v>
      </c>
      <c r="I1437" s="72" t="s">
        <v>1740</v>
      </c>
      <c r="J1437" s="72" t="s">
        <v>10</v>
      </c>
      <c r="K1437" s="72" t="s">
        <v>11</v>
      </c>
      <c r="L1437" s="73"/>
      <c r="M1437" s="72" t="s">
        <v>64</v>
      </c>
      <c r="N1437" s="72">
        <v>800186618</v>
      </c>
      <c r="O1437" s="74">
        <v>7554622</v>
      </c>
      <c r="P1437" s="7"/>
      <c r="Q14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7" s="9">
        <f>+IFERROR(VLOOKUP(Tabla3[[#This Row],[Cliente factura]],Tabla4[[NIT]:[TOTAL CREDITO]],6,FALSE),0)</f>
        <v>0</v>
      </c>
      <c r="S1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7" s="10" t="str">
        <f>VLOOKUP(Tabla3[[#This Row],[Razón social cliente factura]]&amp;Tabla3[[#This Row],[Desc. ciudad]],'Estandar de Rutas'!$C$1:$E$553,2,FALSE)</f>
        <v>7.2.C</v>
      </c>
      <c r="U1437" s="130">
        <f>IFERROR(VLOOKUP(Tabla3[[#This Row],[Referencia]]&amp;Tabla3[[#This Row],[Desc detalle ext 1]],Tabla1[[Referencia-Color]:[Disponibilidad]],3,FALSE),0)</f>
        <v>0</v>
      </c>
      <c r="V1437" s="13"/>
      <c r="W1437" s="17">
        <f>+Tabla3[[#This Row],[Cant. Programada]]*Tabla3[[#This Row],[Precio unit]]</f>
        <v>0</v>
      </c>
      <c r="X1437" s="8"/>
      <c r="Y1437" s="8"/>
      <c r="Z1437" s="8" t="str">
        <f>+Tabla3[[#This Row],[Referencia]]&amp;Tabla3[[#This Row],[Desc detalle ext 1]]</f>
        <v>CB 190R                                           NEGRO ONI</v>
      </c>
      <c r="AA1437" s="128" t="e">
        <f>+VLOOKUP(Tabla3[[#This Row],[CODIGO2]],ESTANDAR!$B$3:$C$9,2,FALSE)</f>
        <v>#N/A</v>
      </c>
      <c r="AB1437" s="128" t="str">
        <f>+MID(Tabla3[[#This Row],['# Viaje]],10,1)</f>
        <v/>
      </c>
    </row>
    <row r="1438" spans="1:28" ht="15" hidden="1" customHeight="1">
      <c r="A1438" s="72" t="s">
        <v>1739</v>
      </c>
      <c r="B1438" s="73">
        <v>42950</v>
      </c>
      <c r="C1438" s="72" t="s">
        <v>1477</v>
      </c>
      <c r="D1438" s="72" t="s">
        <v>1237</v>
      </c>
      <c r="E1438" s="72" t="s">
        <v>1479</v>
      </c>
      <c r="F1438" s="72">
        <v>1</v>
      </c>
      <c r="G1438" s="72" t="s">
        <v>61</v>
      </c>
      <c r="H1438" s="72">
        <v>1</v>
      </c>
      <c r="I1438" s="72" t="s">
        <v>1740</v>
      </c>
      <c r="J1438" s="72" t="s">
        <v>1430</v>
      </c>
      <c r="K1438" s="72" t="s">
        <v>1431</v>
      </c>
      <c r="L1438" s="73"/>
      <c r="M1438" s="72" t="s">
        <v>64</v>
      </c>
      <c r="N1438" s="72">
        <v>800186618</v>
      </c>
      <c r="O1438" s="74">
        <v>3941176</v>
      </c>
      <c r="P1438" s="7"/>
      <c r="Q14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8" s="9">
        <f>+IFERROR(VLOOKUP(Tabla3[[#This Row],[Cliente factura]],Tabla4[[NIT]:[TOTAL CREDITO]],6,FALSE),0)</f>
        <v>0</v>
      </c>
      <c r="S1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8" s="10" t="str">
        <f>VLOOKUP(Tabla3[[#This Row],[Razón social cliente factura]]&amp;Tabla3[[#This Row],[Desc. ciudad]],'Estandar de Rutas'!$C$1:$E$553,2,FALSE)</f>
        <v>7.2.C</v>
      </c>
      <c r="U1438" s="130">
        <f>IFERROR(VLOOKUP(Tabla3[[#This Row],[Referencia]]&amp;Tabla3[[#This Row],[Desc detalle ext 1]],Tabla1[[Referencia-Color]:[Disponibilidad]],3,FALSE),0)</f>
        <v>0</v>
      </c>
      <c r="V1438" s="13"/>
      <c r="W1438" s="17">
        <f>+Tabla3[[#This Row],[Cant. Programada]]*Tabla3[[#This Row],[Precio unit]]</f>
        <v>0</v>
      </c>
      <c r="X1438" s="8"/>
      <c r="Y1438" s="8"/>
      <c r="Z1438" s="8" t="str">
        <f>+Tabla3[[#This Row],[Referencia]]&amp;Tabla3[[#This Row],[Desc detalle ext 1]]</f>
        <v xml:space="preserve">WAVE 110S                                         ROJO     </v>
      </c>
      <c r="AA1438" s="128" t="e">
        <f>+VLOOKUP(Tabla3[[#This Row],[CODIGO2]],ESTANDAR!$B$3:$C$9,2,FALSE)</f>
        <v>#N/A</v>
      </c>
      <c r="AB1438" s="128" t="str">
        <f>+MID(Tabla3[[#This Row],['# Viaje]],10,1)</f>
        <v/>
      </c>
    </row>
    <row r="1439" spans="1:28" ht="15" hidden="1" customHeight="1">
      <c r="A1439" s="62" t="s">
        <v>1739</v>
      </c>
      <c r="B1439" s="63">
        <v>42950</v>
      </c>
      <c r="C1439" s="62" t="s">
        <v>1477</v>
      </c>
      <c r="D1439" s="62" t="s">
        <v>1237</v>
      </c>
      <c r="E1439" s="62" t="s">
        <v>1479</v>
      </c>
      <c r="F1439" s="62">
        <v>1</v>
      </c>
      <c r="G1439" s="62" t="s">
        <v>61</v>
      </c>
      <c r="H1439" s="62">
        <v>1</v>
      </c>
      <c r="I1439" s="62" t="s">
        <v>1740</v>
      </c>
      <c r="J1439" s="62" t="s">
        <v>1430</v>
      </c>
      <c r="K1439" s="62" t="s">
        <v>16</v>
      </c>
      <c r="L1439" s="63"/>
      <c r="M1439" s="62" t="s">
        <v>64</v>
      </c>
      <c r="N1439" s="62">
        <v>800186618</v>
      </c>
      <c r="O1439" s="64">
        <v>3941176</v>
      </c>
      <c r="P1439" s="7"/>
      <c r="Q14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9" s="9">
        <f>+IFERROR(VLOOKUP(Tabla3[[#This Row],[Cliente factura]],Tabla4[[NIT]:[TOTAL CREDITO]],6,FALSE),0)</f>
        <v>0</v>
      </c>
      <c r="S1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9" s="10" t="str">
        <f>VLOOKUP(Tabla3[[#This Row],[Razón social cliente factura]]&amp;Tabla3[[#This Row],[Desc. ciudad]],'Estandar de Rutas'!$C$1:$E$553,2,FALSE)</f>
        <v>7.2.C</v>
      </c>
      <c r="U1439" s="130">
        <f>IFERROR(VLOOKUP(Tabla3[[#This Row],[Referencia]]&amp;Tabla3[[#This Row],[Desc detalle ext 1]],Tabla1[[Referencia-Color]:[Disponibilidad]],3,FALSE),0)</f>
        <v>0</v>
      </c>
      <c r="V1439" s="13"/>
      <c r="W1439" s="17">
        <f>+Tabla3[[#This Row],[Cant. Programada]]*Tabla3[[#This Row],[Precio unit]]</f>
        <v>0</v>
      </c>
      <c r="X1439" s="8"/>
      <c r="Y1439" s="8"/>
      <c r="Z1439" s="8" t="str">
        <f>+Tabla3[[#This Row],[Referencia]]&amp;Tabla3[[#This Row],[Desc detalle ext 1]]</f>
        <v xml:space="preserve">WAVE 110S                                         NEGRO    </v>
      </c>
      <c r="AA1439" s="128" t="e">
        <f>+VLOOKUP(Tabla3[[#This Row],[CODIGO2]],ESTANDAR!$B$3:$C$9,2,FALSE)</f>
        <v>#N/A</v>
      </c>
      <c r="AB1439" s="128" t="str">
        <f>+MID(Tabla3[[#This Row],['# Viaje]],10,1)</f>
        <v/>
      </c>
    </row>
    <row r="1440" spans="1:28" ht="15" hidden="1" customHeight="1">
      <c r="A1440" s="62" t="s">
        <v>1739</v>
      </c>
      <c r="B1440" s="63">
        <v>42950</v>
      </c>
      <c r="C1440" s="62" t="s">
        <v>1477</v>
      </c>
      <c r="D1440" s="62" t="s">
        <v>1237</v>
      </c>
      <c r="E1440" s="62" t="s">
        <v>1479</v>
      </c>
      <c r="F1440" s="62">
        <v>2</v>
      </c>
      <c r="G1440" s="62" t="s">
        <v>61</v>
      </c>
      <c r="H1440" s="62">
        <v>2</v>
      </c>
      <c r="I1440" s="62" t="s">
        <v>1740</v>
      </c>
      <c r="J1440" s="62" t="s">
        <v>1451</v>
      </c>
      <c r="K1440" s="62" t="s">
        <v>1452</v>
      </c>
      <c r="L1440" s="63"/>
      <c r="M1440" s="62" t="s">
        <v>64</v>
      </c>
      <c r="N1440" s="62">
        <v>800186618</v>
      </c>
      <c r="O1440" s="64">
        <v>3696639</v>
      </c>
      <c r="P1440" s="7"/>
      <c r="Q14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0" s="9">
        <f>+IFERROR(VLOOKUP(Tabla3[[#This Row],[Cliente factura]],Tabla4[[NIT]:[TOTAL CREDITO]],6,FALSE),0)</f>
        <v>0</v>
      </c>
      <c r="S1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0" s="10" t="str">
        <f>VLOOKUP(Tabla3[[#This Row],[Razón social cliente factura]]&amp;Tabla3[[#This Row],[Desc. ciudad]],'Estandar de Rutas'!$C$1:$E$553,2,FALSE)</f>
        <v>7.2.C</v>
      </c>
      <c r="U1440" s="130">
        <f>IFERROR(VLOOKUP(Tabla3[[#This Row],[Referencia]]&amp;Tabla3[[#This Row],[Desc detalle ext 1]],Tabla1[[Referencia-Color]:[Disponibilidad]],3,FALSE),0)</f>
        <v>21</v>
      </c>
      <c r="V1440" s="13"/>
      <c r="W1440" s="17">
        <f>+Tabla3[[#This Row],[Cant. Programada]]*Tabla3[[#This Row],[Precio unit]]</f>
        <v>0</v>
      </c>
      <c r="X1440" s="8"/>
      <c r="Y1440" s="8"/>
      <c r="Z1440" s="8" t="str">
        <f>+Tabla3[[#This Row],[Referencia]]&amp;Tabla3[[#This Row],[Desc detalle ext 1]]</f>
        <v xml:space="preserve">CB 110 DLX                                        AZUL     </v>
      </c>
      <c r="AA1440" s="128" t="e">
        <f>+VLOOKUP(Tabla3[[#This Row],[CODIGO2]],ESTANDAR!$B$3:$C$9,2,FALSE)</f>
        <v>#N/A</v>
      </c>
      <c r="AB1440" s="128" t="str">
        <f>+MID(Tabla3[[#This Row],['# Viaje]],10,1)</f>
        <v/>
      </c>
    </row>
    <row r="1441" spans="1:28" ht="15" hidden="1" customHeight="1">
      <c r="A1441" s="62" t="s">
        <v>1739</v>
      </c>
      <c r="B1441" s="63">
        <v>42950</v>
      </c>
      <c r="C1441" s="62" t="s">
        <v>1477</v>
      </c>
      <c r="D1441" s="62" t="s">
        <v>1237</v>
      </c>
      <c r="E1441" s="62" t="s">
        <v>1479</v>
      </c>
      <c r="F1441" s="62">
        <v>1</v>
      </c>
      <c r="G1441" s="62" t="s">
        <v>61</v>
      </c>
      <c r="H1441" s="62">
        <v>1</v>
      </c>
      <c r="I1441" s="62" t="s">
        <v>1740</v>
      </c>
      <c r="J1441" s="62" t="s">
        <v>1451</v>
      </c>
      <c r="K1441" s="62" t="s">
        <v>1431</v>
      </c>
      <c r="L1441" s="63"/>
      <c r="M1441" s="62" t="s">
        <v>64</v>
      </c>
      <c r="N1441" s="62">
        <v>800186618</v>
      </c>
      <c r="O1441" s="64">
        <v>3696639</v>
      </c>
      <c r="P1441" s="7"/>
      <c r="Q14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1" s="9">
        <f>+IFERROR(VLOOKUP(Tabla3[[#This Row],[Cliente factura]],Tabla4[[NIT]:[TOTAL CREDITO]],6,FALSE),0)</f>
        <v>0</v>
      </c>
      <c r="S1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1" s="10" t="str">
        <f>VLOOKUP(Tabla3[[#This Row],[Razón social cliente factura]]&amp;Tabla3[[#This Row],[Desc. ciudad]],'Estandar de Rutas'!$C$1:$E$553,2,FALSE)</f>
        <v>7.2.C</v>
      </c>
      <c r="U1441" s="130">
        <f>IFERROR(VLOOKUP(Tabla3[[#This Row],[Referencia]]&amp;Tabla3[[#This Row],[Desc detalle ext 1]],Tabla1[[Referencia-Color]:[Disponibilidad]],3,FALSE),0)</f>
        <v>21</v>
      </c>
      <c r="V1441" s="13"/>
      <c r="W1441" s="17">
        <f>+Tabla3[[#This Row],[Cant. Programada]]*Tabla3[[#This Row],[Precio unit]]</f>
        <v>0</v>
      </c>
      <c r="X1441" s="8"/>
      <c r="Y1441" s="8"/>
      <c r="Z1441" s="8" t="str">
        <f>+Tabla3[[#This Row],[Referencia]]&amp;Tabla3[[#This Row],[Desc detalle ext 1]]</f>
        <v xml:space="preserve">CB 110 DLX                                        ROJO     </v>
      </c>
      <c r="AA1441" s="128" t="e">
        <f>+VLOOKUP(Tabla3[[#This Row],[CODIGO2]],ESTANDAR!$B$3:$C$9,2,FALSE)</f>
        <v>#N/A</v>
      </c>
      <c r="AB1441" s="128" t="str">
        <f>+MID(Tabla3[[#This Row],['# Viaje]],10,1)</f>
        <v/>
      </c>
    </row>
    <row r="1442" spans="1:28" ht="15" hidden="1" customHeight="1">
      <c r="A1442" s="62" t="s">
        <v>1741</v>
      </c>
      <c r="B1442" s="63">
        <v>42950</v>
      </c>
      <c r="C1442" s="62" t="s">
        <v>1477</v>
      </c>
      <c r="D1442" s="62" t="s">
        <v>1237</v>
      </c>
      <c r="E1442" s="62" t="s">
        <v>1479</v>
      </c>
      <c r="F1442" s="62">
        <v>1</v>
      </c>
      <c r="G1442" s="62" t="s">
        <v>61</v>
      </c>
      <c r="H1442" s="62">
        <v>1</v>
      </c>
      <c r="I1442" s="62" t="s">
        <v>1742</v>
      </c>
      <c r="J1442" s="62" t="s">
        <v>1421</v>
      </c>
      <c r="K1442" s="62" t="s">
        <v>16</v>
      </c>
      <c r="L1442" s="63"/>
      <c r="M1442" s="62" t="s">
        <v>62</v>
      </c>
      <c r="N1442" s="62">
        <v>800186618</v>
      </c>
      <c r="O1442" s="64">
        <v>11496063</v>
      </c>
      <c r="P1442" s="7"/>
      <c r="Q14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2" s="9">
        <f>+IFERROR(VLOOKUP(Tabla3[[#This Row],[Cliente factura]],Tabla4[[NIT]:[TOTAL CREDITO]],6,FALSE),0)</f>
        <v>0</v>
      </c>
      <c r="S1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2" s="10" t="str">
        <f>VLOOKUP(Tabla3[[#This Row],[Razón social cliente factura]]&amp;Tabla3[[#This Row],[Desc. ciudad]],'Estandar de Rutas'!$C$1:$E$553,2,FALSE)</f>
        <v>7.2.C</v>
      </c>
      <c r="U1442" s="130">
        <f>IFERROR(VLOOKUP(Tabla3[[#This Row],[Referencia]]&amp;Tabla3[[#This Row],[Desc detalle ext 1]],Tabla1[[Referencia-Color]:[Disponibilidad]],3,FALSE),0)</f>
        <v>0</v>
      </c>
      <c r="V1442" s="13"/>
      <c r="W1442" s="17">
        <f>+Tabla3[[#This Row],[Cant. Programada]]*Tabla3[[#This Row],[Precio unit]]</f>
        <v>0</v>
      </c>
      <c r="X1442" s="8"/>
      <c r="Y1442" s="8"/>
      <c r="Z1442" s="8" t="str">
        <f>+Tabla3[[#This Row],[Referencia]]&amp;Tabla3[[#This Row],[Desc detalle ext 1]]</f>
        <v xml:space="preserve">*XR-250 TORNADO pt MD34                           NEGRO    </v>
      </c>
      <c r="AA1442" s="128" t="e">
        <f>+VLOOKUP(Tabla3[[#This Row],[CODIGO2]],ESTANDAR!$B$3:$C$9,2,FALSE)</f>
        <v>#N/A</v>
      </c>
      <c r="AB1442" s="128" t="str">
        <f>+MID(Tabla3[[#This Row],['# Viaje]],10,1)</f>
        <v/>
      </c>
    </row>
    <row r="1443" spans="1:28" ht="15" hidden="1" customHeight="1">
      <c r="A1443" s="62" t="s">
        <v>1741</v>
      </c>
      <c r="B1443" s="63">
        <v>42950</v>
      </c>
      <c r="C1443" s="62" t="s">
        <v>1477</v>
      </c>
      <c r="D1443" s="62" t="s">
        <v>1237</v>
      </c>
      <c r="E1443" s="62" t="s">
        <v>1479</v>
      </c>
      <c r="F1443" s="62">
        <v>2</v>
      </c>
      <c r="G1443" s="62" t="s">
        <v>61</v>
      </c>
      <c r="H1443" s="62">
        <v>2</v>
      </c>
      <c r="I1443" s="62" t="s">
        <v>1742</v>
      </c>
      <c r="J1443" s="62" t="s">
        <v>27</v>
      </c>
      <c r="K1443" s="62" t="s">
        <v>32</v>
      </c>
      <c r="L1443" s="63"/>
      <c r="M1443" s="62" t="s">
        <v>62</v>
      </c>
      <c r="N1443" s="62">
        <v>800186618</v>
      </c>
      <c r="O1443" s="64">
        <v>5789916</v>
      </c>
      <c r="P1443" s="7"/>
      <c r="Q14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3" s="9">
        <f>+IFERROR(VLOOKUP(Tabla3[[#This Row],[Cliente factura]],Tabla4[[NIT]:[TOTAL CREDITO]],6,FALSE),0)</f>
        <v>0</v>
      </c>
      <c r="S1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3" s="10" t="str">
        <f>VLOOKUP(Tabla3[[#This Row],[Razón social cliente factura]]&amp;Tabla3[[#This Row],[Desc. ciudad]],'Estandar de Rutas'!$C$1:$E$553,2,FALSE)</f>
        <v>7.2.C</v>
      </c>
      <c r="U1443" s="130">
        <f>IFERROR(VLOOKUP(Tabla3[[#This Row],[Referencia]]&amp;Tabla3[[#This Row],[Desc detalle ext 1]],Tabla1[[Referencia-Color]:[Disponibilidad]],3,FALSE),0)</f>
        <v>7</v>
      </c>
      <c r="V1443" s="13"/>
      <c r="W1443" s="17">
        <f>+Tabla3[[#This Row],[Cant. Programada]]*Tabla3[[#This Row],[Precio unit]]</f>
        <v>0</v>
      </c>
      <c r="X1443" s="8"/>
      <c r="Y1443" s="8"/>
      <c r="Z1443" s="8" t="str">
        <f>+Tabla3[[#This Row],[Referencia]]&amp;Tabla3[[#This Row],[Desc detalle ext 1]]</f>
        <v>*XR 150L                                          NEGRO ROJ</v>
      </c>
      <c r="AA1443" s="128" t="e">
        <f>+VLOOKUP(Tabla3[[#This Row],[CODIGO2]],ESTANDAR!$B$3:$C$9,2,FALSE)</f>
        <v>#N/A</v>
      </c>
      <c r="AB1443" s="128" t="str">
        <f>+MID(Tabla3[[#This Row],['# Viaje]],10,1)</f>
        <v/>
      </c>
    </row>
    <row r="1444" spans="1:28" ht="15" hidden="1" customHeight="1">
      <c r="A1444" s="62" t="s">
        <v>1741</v>
      </c>
      <c r="B1444" s="63">
        <v>42950</v>
      </c>
      <c r="C1444" s="62" t="s">
        <v>1477</v>
      </c>
      <c r="D1444" s="62" t="s">
        <v>1237</v>
      </c>
      <c r="E1444" s="62" t="s">
        <v>1479</v>
      </c>
      <c r="F1444" s="62">
        <v>2</v>
      </c>
      <c r="G1444" s="62" t="s">
        <v>61</v>
      </c>
      <c r="H1444" s="62">
        <v>2</v>
      </c>
      <c r="I1444" s="62" t="s">
        <v>1742</v>
      </c>
      <c r="J1444" s="62" t="s">
        <v>27</v>
      </c>
      <c r="K1444" s="62" t="s">
        <v>26</v>
      </c>
      <c r="L1444" s="63"/>
      <c r="M1444" s="62" t="s">
        <v>62</v>
      </c>
      <c r="N1444" s="62">
        <v>800186618</v>
      </c>
      <c r="O1444" s="64">
        <v>5789916</v>
      </c>
      <c r="P1444" s="7"/>
      <c r="Q14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4" s="9">
        <f>+IFERROR(VLOOKUP(Tabla3[[#This Row],[Cliente factura]],Tabla4[[NIT]:[TOTAL CREDITO]],6,FALSE),0)</f>
        <v>0</v>
      </c>
      <c r="S1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4" s="10" t="str">
        <f>VLOOKUP(Tabla3[[#This Row],[Razón social cliente factura]]&amp;Tabla3[[#This Row],[Desc. ciudad]],'Estandar de Rutas'!$C$1:$E$553,2,FALSE)</f>
        <v>7.2.C</v>
      </c>
      <c r="U1444" s="130">
        <f>IFERROR(VLOOKUP(Tabla3[[#This Row],[Referencia]]&amp;Tabla3[[#This Row],[Desc detalle ext 1]],Tabla1[[Referencia-Color]:[Disponibilidad]],3,FALSE),0)</f>
        <v>59</v>
      </c>
      <c r="V1444" s="13"/>
      <c r="W1444" s="17">
        <f>+Tabla3[[#This Row],[Cant. Programada]]*Tabla3[[#This Row],[Precio unit]]</f>
        <v>0</v>
      </c>
      <c r="X1444" s="8"/>
      <c r="Y1444" s="8"/>
      <c r="Z1444" s="8" t="str">
        <f>+Tabla3[[#This Row],[Referencia]]&amp;Tabla3[[#This Row],[Desc detalle ext 1]]</f>
        <v>*XR 150L                                          NEGRO BLA</v>
      </c>
      <c r="AA1444" s="128" t="e">
        <f>+VLOOKUP(Tabla3[[#This Row],[CODIGO2]],ESTANDAR!$B$3:$C$9,2,FALSE)</f>
        <v>#N/A</v>
      </c>
      <c r="AB1444" s="128" t="str">
        <f>+MID(Tabla3[[#This Row],['# Viaje]],10,1)</f>
        <v/>
      </c>
    </row>
    <row r="1445" spans="1:28" ht="15" hidden="1" customHeight="1">
      <c r="A1445" s="62" t="s">
        <v>1741</v>
      </c>
      <c r="B1445" s="63">
        <v>42950</v>
      </c>
      <c r="C1445" s="62" t="s">
        <v>1477</v>
      </c>
      <c r="D1445" s="62" t="s">
        <v>1237</v>
      </c>
      <c r="E1445" s="62" t="s">
        <v>1479</v>
      </c>
      <c r="F1445" s="62">
        <v>2</v>
      </c>
      <c r="G1445" s="62" t="s">
        <v>61</v>
      </c>
      <c r="H1445" s="62">
        <v>2</v>
      </c>
      <c r="I1445" s="62" t="s">
        <v>1742</v>
      </c>
      <c r="J1445" s="62" t="s">
        <v>27</v>
      </c>
      <c r="K1445" s="62" t="s">
        <v>16</v>
      </c>
      <c r="L1445" s="63"/>
      <c r="M1445" s="62" t="s">
        <v>62</v>
      </c>
      <c r="N1445" s="62">
        <v>800186618</v>
      </c>
      <c r="O1445" s="64">
        <v>5789916</v>
      </c>
      <c r="P1445" s="7"/>
      <c r="Q14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5" s="9">
        <f>+IFERROR(VLOOKUP(Tabla3[[#This Row],[Cliente factura]],Tabla4[[NIT]:[TOTAL CREDITO]],6,FALSE),0)</f>
        <v>0</v>
      </c>
      <c r="S1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5" s="10" t="str">
        <f>VLOOKUP(Tabla3[[#This Row],[Razón social cliente factura]]&amp;Tabla3[[#This Row],[Desc. ciudad]],'Estandar de Rutas'!$C$1:$E$553,2,FALSE)</f>
        <v>7.2.C</v>
      </c>
      <c r="U1445" s="130">
        <f>IFERROR(VLOOKUP(Tabla3[[#This Row],[Referencia]]&amp;Tabla3[[#This Row],[Desc detalle ext 1]],Tabla1[[Referencia-Color]:[Disponibilidad]],3,FALSE),0)</f>
        <v>3</v>
      </c>
      <c r="V1445" s="13"/>
      <c r="W1445" s="17">
        <f>+Tabla3[[#This Row],[Cant. Programada]]*Tabla3[[#This Row],[Precio unit]]</f>
        <v>0</v>
      </c>
      <c r="X1445" s="8"/>
      <c r="Y1445" s="8"/>
      <c r="Z1445" s="8" t="str">
        <f>+Tabla3[[#This Row],[Referencia]]&amp;Tabla3[[#This Row],[Desc detalle ext 1]]</f>
        <v xml:space="preserve">*XR 150L                                          NEGRO    </v>
      </c>
      <c r="AA1445" s="128" t="e">
        <f>+VLOOKUP(Tabla3[[#This Row],[CODIGO2]],ESTANDAR!$B$3:$C$9,2,FALSE)</f>
        <v>#N/A</v>
      </c>
      <c r="AB1445" s="128" t="str">
        <f>+MID(Tabla3[[#This Row],['# Viaje]],10,1)</f>
        <v/>
      </c>
    </row>
    <row r="1446" spans="1:28" ht="15" hidden="1" customHeight="1">
      <c r="A1446" s="62" t="s">
        <v>1741</v>
      </c>
      <c r="B1446" s="63">
        <v>42950</v>
      </c>
      <c r="C1446" s="62" t="s">
        <v>1477</v>
      </c>
      <c r="D1446" s="62" t="s">
        <v>1237</v>
      </c>
      <c r="E1446" s="62" t="s">
        <v>1479</v>
      </c>
      <c r="F1446" s="62">
        <v>1</v>
      </c>
      <c r="G1446" s="62" t="s">
        <v>61</v>
      </c>
      <c r="H1446" s="62">
        <v>1</v>
      </c>
      <c r="I1446" s="62" t="s">
        <v>1742</v>
      </c>
      <c r="J1446" s="62" t="s">
        <v>1430</v>
      </c>
      <c r="K1446" s="62" t="s">
        <v>1431</v>
      </c>
      <c r="L1446" s="63"/>
      <c r="M1446" s="62" t="s">
        <v>62</v>
      </c>
      <c r="N1446" s="62">
        <v>800186618</v>
      </c>
      <c r="O1446" s="64">
        <v>3941176</v>
      </c>
      <c r="P1446" s="7"/>
      <c r="Q14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6" s="9">
        <f>+IFERROR(VLOOKUP(Tabla3[[#This Row],[Cliente factura]],Tabla4[[NIT]:[TOTAL CREDITO]],6,FALSE),0)</f>
        <v>0</v>
      </c>
      <c r="S1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6" s="10" t="str">
        <f>VLOOKUP(Tabla3[[#This Row],[Razón social cliente factura]]&amp;Tabla3[[#This Row],[Desc. ciudad]],'Estandar de Rutas'!$C$1:$E$553,2,FALSE)</f>
        <v>7.2.C</v>
      </c>
      <c r="U1446" s="130">
        <f>IFERROR(VLOOKUP(Tabla3[[#This Row],[Referencia]]&amp;Tabla3[[#This Row],[Desc detalle ext 1]],Tabla1[[Referencia-Color]:[Disponibilidad]],3,FALSE),0)</f>
        <v>0</v>
      </c>
      <c r="V1446" s="13"/>
      <c r="W1446" s="17">
        <f>+Tabla3[[#This Row],[Cant. Programada]]*Tabla3[[#This Row],[Precio unit]]</f>
        <v>0</v>
      </c>
      <c r="X1446" s="8"/>
      <c r="Y1446" s="8"/>
      <c r="Z1446" s="8" t="str">
        <f>+Tabla3[[#This Row],[Referencia]]&amp;Tabla3[[#This Row],[Desc detalle ext 1]]</f>
        <v xml:space="preserve">WAVE 110S                                         ROJO     </v>
      </c>
      <c r="AA1446" s="128" t="e">
        <f>+VLOOKUP(Tabla3[[#This Row],[CODIGO2]],ESTANDAR!$B$3:$C$9,2,FALSE)</f>
        <v>#N/A</v>
      </c>
      <c r="AB1446" s="128" t="str">
        <f>+MID(Tabla3[[#This Row],['# Viaje]],10,1)</f>
        <v/>
      </c>
    </row>
    <row r="1447" spans="1:28" ht="15" hidden="1" customHeight="1">
      <c r="A1447" s="62" t="s">
        <v>1741</v>
      </c>
      <c r="B1447" s="63">
        <v>42950</v>
      </c>
      <c r="C1447" s="62" t="s">
        <v>1477</v>
      </c>
      <c r="D1447" s="62" t="s">
        <v>1237</v>
      </c>
      <c r="E1447" s="62" t="s">
        <v>1479</v>
      </c>
      <c r="F1447" s="62">
        <v>1</v>
      </c>
      <c r="G1447" s="62" t="s">
        <v>61</v>
      </c>
      <c r="H1447" s="62">
        <v>1</v>
      </c>
      <c r="I1447" s="62" t="s">
        <v>1742</v>
      </c>
      <c r="J1447" s="62" t="s">
        <v>1430</v>
      </c>
      <c r="K1447" s="62" t="s">
        <v>16</v>
      </c>
      <c r="L1447" s="63"/>
      <c r="M1447" s="62" t="s">
        <v>62</v>
      </c>
      <c r="N1447" s="62">
        <v>800186618</v>
      </c>
      <c r="O1447" s="64">
        <v>3941176</v>
      </c>
      <c r="P1447" s="7"/>
      <c r="Q14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7" s="9">
        <f>+IFERROR(VLOOKUP(Tabla3[[#This Row],[Cliente factura]],Tabla4[[NIT]:[TOTAL CREDITO]],6,FALSE),0)</f>
        <v>0</v>
      </c>
      <c r="S1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7" s="10" t="str">
        <f>VLOOKUP(Tabla3[[#This Row],[Razón social cliente factura]]&amp;Tabla3[[#This Row],[Desc. ciudad]],'Estandar de Rutas'!$C$1:$E$553,2,FALSE)</f>
        <v>7.2.C</v>
      </c>
      <c r="U1447" s="130">
        <f>IFERROR(VLOOKUP(Tabla3[[#This Row],[Referencia]]&amp;Tabla3[[#This Row],[Desc detalle ext 1]],Tabla1[[Referencia-Color]:[Disponibilidad]],3,FALSE),0)</f>
        <v>0</v>
      </c>
      <c r="V1447" s="13"/>
      <c r="W1447" s="17">
        <f>+Tabla3[[#This Row],[Cant. Programada]]*Tabla3[[#This Row],[Precio unit]]</f>
        <v>0</v>
      </c>
      <c r="X1447" s="8"/>
      <c r="Y1447" s="8"/>
      <c r="Z1447" s="8" t="str">
        <f>+Tabla3[[#This Row],[Referencia]]&amp;Tabla3[[#This Row],[Desc detalle ext 1]]</f>
        <v xml:space="preserve">WAVE 110S                                         NEGRO    </v>
      </c>
      <c r="AA1447" s="128" t="e">
        <f>+VLOOKUP(Tabla3[[#This Row],[CODIGO2]],ESTANDAR!$B$3:$C$9,2,FALSE)</f>
        <v>#N/A</v>
      </c>
      <c r="AB1447" s="128" t="str">
        <f>+MID(Tabla3[[#This Row],['# Viaje]],10,1)</f>
        <v/>
      </c>
    </row>
    <row r="1448" spans="1:28" ht="15" hidden="1" customHeight="1">
      <c r="A1448" s="62" t="s">
        <v>1741</v>
      </c>
      <c r="B1448" s="63">
        <v>42950</v>
      </c>
      <c r="C1448" s="62" t="s">
        <v>1477</v>
      </c>
      <c r="D1448" s="62" t="s">
        <v>1237</v>
      </c>
      <c r="E1448" s="62" t="s">
        <v>1479</v>
      </c>
      <c r="F1448" s="62">
        <v>2</v>
      </c>
      <c r="G1448" s="62" t="s">
        <v>61</v>
      </c>
      <c r="H1448" s="62">
        <v>2</v>
      </c>
      <c r="I1448" s="62" t="s">
        <v>1742</v>
      </c>
      <c r="J1448" s="62" t="s">
        <v>1451</v>
      </c>
      <c r="K1448" s="62" t="s">
        <v>1452</v>
      </c>
      <c r="L1448" s="63"/>
      <c r="M1448" s="62" t="s">
        <v>62</v>
      </c>
      <c r="N1448" s="62">
        <v>800186618</v>
      </c>
      <c r="O1448" s="64">
        <v>3696639</v>
      </c>
      <c r="P1448" s="7"/>
      <c r="Q14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8" s="9">
        <f>+IFERROR(VLOOKUP(Tabla3[[#This Row],[Cliente factura]],Tabla4[[NIT]:[TOTAL CREDITO]],6,FALSE),0)</f>
        <v>0</v>
      </c>
      <c r="S1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8" s="10" t="str">
        <f>VLOOKUP(Tabla3[[#This Row],[Razón social cliente factura]]&amp;Tabla3[[#This Row],[Desc. ciudad]],'Estandar de Rutas'!$C$1:$E$553,2,FALSE)</f>
        <v>7.2.C</v>
      </c>
      <c r="U1448" s="130">
        <f>IFERROR(VLOOKUP(Tabla3[[#This Row],[Referencia]]&amp;Tabla3[[#This Row],[Desc detalle ext 1]],Tabla1[[Referencia-Color]:[Disponibilidad]],3,FALSE),0)</f>
        <v>21</v>
      </c>
      <c r="V1448" s="13"/>
      <c r="W1448" s="17">
        <f>+Tabla3[[#This Row],[Cant. Programada]]*Tabla3[[#This Row],[Precio unit]]</f>
        <v>0</v>
      </c>
      <c r="X1448" s="8"/>
      <c r="Y1448" s="8"/>
      <c r="Z1448" s="8" t="str">
        <f>+Tabla3[[#This Row],[Referencia]]&amp;Tabla3[[#This Row],[Desc detalle ext 1]]</f>
        <v xml:space="preserve">CB 110 DLX                                        AZUL     </v>
      </c>
      <c r="AA1448" s="128" t="e">
        <f>+VLOOKUP(Tabla3[[#This Row],[CODIGO2]],ESTANDAR!$B$3:$C$9,2,FALSE)</f>
        <v>#N/A</v>
      </c>
      <c r="AB1448" s="128" t="str">
        <f>+MID(Tabla3[[#This Row],['# Viaje]],10,1)</f>
        <v/>
      </c>
    </row>
    <row r="1449" spans="1:28" ht="15" hidden="1" customHeight="1">
      <c r="A1449" s="62" t="s">
        <v>1741</v>
      </c>
      <c r="B1449" s="63">
        <v>42950</v>
      </c>
      <c r="C1449" s="62" t="s">
        <v>1477</v>
      </c>
      <c r="D1449" s="62" t="s">
        <v>1237</v>
      </c>
      <c r="E1449" s="62" t="s">
        <v>1479</v>
      </c>
      <c r="F1449" s="62">
        <v>1</v>
      </c>
      <c r="G1449" s="62" t="s">
        <v>61</v>
      </c>
      <c r="H1449" s="62">
        <v>1</v>
      </c>
      <c r="I1449" s="62" t="s">
        <v>1742</v>
      </c>
      <c r="J1449" s="62" t="s">
        <v>1451</v>
      </c>
      <c r="K1449" s="62" t="s">
        <v>1431</v>
      </c>
      <c r="L1449" s="63"/>
      <c r="M1449" s="62" t="s">
        <v>62</v>
      </c>
      <c r="N1449" s="62">
        <v>800186618</v>
      </c>
      <c r="O1449" s="64">
        <v>3696639</v>
      </c>
      <c r="P1449" s="7"/>
      <c r="Q14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9" s="9">
        <f>+IFERROR(VLOOKUP(Tabla3[[#This Row],[Cliente factura]],Tabla4[[NIT]:[TOTAL CREDITO]],6,FALSE),0)</f>
        <v>0</v>
      </c>
      <c r="S1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9" s="10" t="str">
        <f>VLOOKUP(Tabla3[[#This Row],[Razón social cliente factura]]&amp;Tabla3[[#This Row],[Desc. ciudad]],'Estandar de Rutas'!$C$1:$E$553,2,FALSE)</f>
        <v>7.2.C</v>
      </c>
      <c r="U1449" s="130">
        <f>IFERROR(VLOOKUP(Tabla3[[#This Row],[Referencia]]&amp;Tabla3[[#This Row],[Desc detalle ext 1]],Tabla1[[Referencia-Color]:[Disponibilidad]],3,FALSE),0)</f>
        <v>21</v>
      </c>
      <c r="V1449" s="13"/>
      <c r="W1449" s="17">
        <f>+Tabla3[[#This Row],[Cant. Programada]]*Tabla3[[#This Row],[Precio unit]]</f>
        <v>0</v>
      </c>
      <c r="X1449" s="8"/>
      <c r="Y1449" s="8"/>
      <c r="Z1449" s="8" t="str">
        <f>+Tabla3[[#This Row],[Referencia]]&amp;Tabla3[[#This Row],[Desc detalle ext 1]]</f>
        <v xml:space="preserve">CB 110 DLX                                        ROJO     </v>
      </c>
      <c r="AA1449" s="128" t="e">
        <f>+VLOOKUP(Tabla3[[#This Row],[CODIGO2]],ESTANDAR!$B$3:$C$9,2,FALSE)</f>
        <v>#N/A</v>
      </c>
      <c r="AB1449" s="128" t="str">
        <f>+MID(Tabla3[[#This Row],['# Viaje]],10,1)</f>
        <v/>
      </c>
    </row>
    <row r="1450" spans="1:28" ht="15" hidden="1" customHeight="1">
      <c r="A1450" s="62" t="s">
        <v>1741</v>
      </c>
      <c r="B1450" s="63">
        <v>42950</v>
      </c>
      <c r="C1450" s="62" t="s">
        <v>1477</v>
      </c>
      <c r="D1450" s="62" t="s">
        <v>1237</v>
      </c>
      <c r="E1450" s="62" t="s">
        <v>1479</v>
      </c>
      <c r="F1450" s="62">
        <v>1</v>
      </c>
      <c r="G1450" s="62" t="s">
        <v>61</v>
      </c>
      <c r="H1450" s="62">
        <v>1</v>
      </c>
      <c r="I1450" s="62" t="s">
        <v>1742</v>
      </c>
      <c r="J1450" s="62" t="s">
        <v>1451</v>
      </c>
      <c r="K1450" s="62" t="s">
        <v>16</v>
      </c>
      <c r="L1450" s="63"/>
      <c r="M1450" s="62" t="s">
        <v>62</v>
      </c>
      <c r="N1450" s="62">
        <v>800186618</v>
      </c>
      <c r="O1450" s="64">
        <v>3696639</v>
      </c>
      <c r="P1450" s="7"/>
      <c r="Q14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0" s="9">
        <f>+IFERROR(VLOOKUP(Tabla3[[#This Row],[Cliente factura]],Tabla4[[NIT]:[TOTAL CREDITO]],6,FALSE),0)</f>
        <v>0</v>
      </c>
      <c r="S1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0" s="10" t="str">
        <f>VLOOKUP(Tabla3[[#This Row],[Razón social cliente factura]]&amp;Tabla3[[#This Row],[Desc. ciudad]],'Estandar de Rutas'!$C$1:$E$553,2,FALSE)</f>
        <v>7.2.C</v>
      </c>
      <c r="U1450" s="130">
        <f>IFERROR(VLOOKUP(Tabla3[[#This Row],[Referencia]]&amp;Tabla3[[#This Row],[Desc detalle ext 1]],Tabla1[[Referencia-Color]:[Disponibilidad]],3,FALSE),0)</f>
        <v>3</v>
      </c>
      <c r="V1450" s="13"/>
      <c r="W1450" s="17">
        <f>+Tabla3[[#This Row],[Cant. Programada]]*Tabla3[[#This Row],[Precio unit]]</f>
        <v>0</v>
      </c>
      <c r="X1450" s="8"/>
      <c r="Y1450" s="8"/>
      <c r="Z1450" s="8" t="str">
        <f>+Tabla3[[#This Row],[Referencia]]&amp;Tabla3[[#This Row],[Desc detalle ext 1]]</f>
        <v xml:space="preserve">CB 110 DLX                                        NEGRO    </v>
      </c>
      <c r="AA1450" s="128" t="e">
        <f>+VLOOKUP(Tabla3[[#This Row],[CODIGO2]],ESTANDAR!$B$3:$C$9,2,FALSE)</f>
        <v>#N/A</v>
      </c>
      <c r="AB1450" s="128" t="str">
        <f>+MID(Tabla3[[#This Row],['# Viaje]],10,1)</f>
        <v/>
      </c>
    </row>
    <row r="1451" spans="1:28" ht="15" hidden="1" customHeight="1">
      <c r="A1451" s="62" t="s">
        <v>1743</v>
      </c>
      <c r="B1451" s="63">
        <v>42950</v>
      </c>
      <c r="C1451" s="62" t="s">
        <v>1477</v>
      </c>
      <c r="D1451" s="62" t="s">
        <v>1237</v>
      </c>
      <c r="E1451" s="62" t="s">
        <v>1479</v>
      </c>
      <c r="F1451" s="62">
        <v>1</v>
      </c>
      <c r="G1451" s="62" t="s">
        <v>61</v>
      </c>
      <c r="H1451" s="62">
        <v>1</v>
      </c>
      <c r="I1451" s="62" t="s">
        <v>1744</v>
      </c>
      <c r="J1451" s="62" t="s">
        <v>14</v>
      </c>
      <c r="K1451" s="62" t="s">
        <v>1418</v>
      </c>
      <c r="L1451" s="63"/>
      <c r="M1451" s="62" t="s">
        <v>63</v>
      </c>
      <c r="N1451" s="62">
        <v>800186618</v>
      </c>
      <c r="O1451" s="64">
        <v>3360504</v>
      </c>
      <c r="P1451" s="7"/>
      <c r="Q145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1" s="9">
        <f>+IFERROR(VLOOKUP(Tabla3[[#This Row],[Cliente factura]],Tabla4[[NIT]:[TOTAL CREDITO]],6,FALSE),0)</f>
        <v>0</v>
      </c>
      <c r="S1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1" s="10" t="str">
        <f>VLOOKUP(Tabla3[[#This Row],[Razón social cliente factura]]&amp;Tabla3[[#This Row],[Desc. ciudad]],'Estandar de Rutas'!$C$1:$E$553,2,FALSE)</f>
        <v>7.2.C</v>
      </c>
      <c r="U1451" s="130">
        <f>IFERROR(VLOOKUP(Tabla3[[#This Row],[Referencia]]&amp;Tabla3[[#This Row],[Desc detalle ext 1]],Tabla1[[Referencia-Color]:[Disponibilidad]],3,FALSE),0)</f>
        <v>0</v>
      </c>
      <c r="V1451" s="13"/>
      <c r="W1451" s="17">
        <f>+Tabla3[[#This Row],[Cant. Programada]]*Tabla3[[#This Row],[Precio unit]]</f>
        <v>0</v>
      </c>
      <c r="X1451" s="8"/>
      <c r="Y1451" s="8"/>
      <c r="Z1451" s="8" t="str">
        <f>+Tabla3[[#This Row],[Referencia]]&amp;Tabla3[[#This Row],[Desc detalle ext 1]]</f>
        <v>*CB-110                                           VERDE CAN</v>
      </c>
      <c r="AA1451" s="128" t="e">
        <f>+VLOOKUP(Tabla3[[#This Row],[CODIGO2]],ESTANDAR!$B$3:$C$9,2,FALSE)</f>
        <v>#N/A</v>
      </c>
      <c r="AB1451" s="128" t="str">
        <f>+MID(Tabla3[[#This Row],['# Viaje]],10,1)</f>
        <v/>
      </c>
    </row>
    <row r="1452" spans="1:28" ht="15" hidden="1" customHeight="1">
      <c r="A1452" s="62" t="s">
        <v>1743</v>
      </c>
      <c r="B1452" s="63">
        <v>42950</v>
      </c>
      <c r="C1452" s="62" t="s">
        <v>1477</v>
      </c>
      <c r="D1452" s="62" t="s">
        <v>1237</v>
      </c>
      <c r="E1452" s="62" t="s">
        <v>1479</v>
      </c>
      <c r="F1452" s="62">
        <v>2</v>
      </c>
      <c r="G1452" s="62" t="s">
        <v>61</v>
      </c>
      <c r="H1452" s="62">
        <v>2</v>
      </c>
      <c r="I1452" s="62" t="s">
        <v>1744</v>
      </c>
      <c r="J1452" s="62" t="s">
        <v>27</v>
      </c>
      <c r="K1452" s="62" t="s">
        <v>32</v>
      </c>
      <c r="L1452" s="63"/>
      <c r="M1452" s="62" t="s">
        <v>63</v>
      </c>
      <c r="N1452" s="62">
        <v>800186618</v>
      </c>
      <c r="O1452" s="64">
        <v>5789916</v>
      </c>
      <c r="P1452" s="7"/>
      <c r="Q145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2" s="9">
        <f>+IFERROR(VLOOKUP(Tabla3[[#This Row],[Cliente factura]],Tabla4[[NIT]:[TOTAL CREDITO]],6,FALSE),0)</f>
        <v>0</v>
      </c>
      <c r="S1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2" s="10" t="str">
        <f>VLOOKUP(Tabla3[[#This Row],[Razón social cliente factura]]&amp;Tabla3[[#This Row],[Desc. ciudad]],'Estandar de Rutas'!$C$1:$E$553,2,FALSE)</f>
        <v>7.2.C</v>
      </c>
      <c r="U1452" s="130">
        <f>IFERROR(VLOOKUP(Tabla3[[#This Row],[Referencia]]&amp;Tabla3[[#This Row],[Desc detalle ext 1]],Tabla1[[Referencia-Color]:[Disponibilidad]],3,FALSE),0)</f>
        <v>7</v>
      </c>
      <c r="V1452" s="13"/>
      <c r="W1452" s="17">
        <f>+Tabla3[[#This Row],[Cant. Programada]]*Tabla3[[#This Row],[Precio unit]]</f>
        <v>0</v>
      </c>
      <c r="X1452" s="8"/>
      <c r="Y1452" s="8"/>
      <c r="Z1452" s="8" t="str">
        <f>+Tabla3[[#This Row],[Referencia]]&amp;Tabla3[[#This Row],[Desc detalle ext 1]]</f>
        <v>*XR 150L                                          NEGRO ROJ</v>
      </c>
      <c r="AA1452" s="128" t="e">
        <f>+VLOOKUP(Tabla3[[#This Row],[CODIGO2]],ESTANDAR!$B$3:$C$9,2,FALSE)</f>
        <v>#N/A</v>
      </c>
      <c r="AB1452" s="128" t="str">
        <f>+MID(Tabla3[[#This Row],['# Viaje]],10,1)</f>
        <v/>
      </c>
    </row>
    <row r="1453" spans="1:28" ht="15" hidden="1" customHeight="1">
      <c r="A1453" s="62" t="s">
        <v>1743</v>
      </c>
      <c r="B1453" s="63">
        <v>42950</v>
      </c>
      <c r="C1453" s="62" t="s">
        <v>1477</v>
      </c>
      <c r="D1453" s="62" t="s">
        <v>1237</v>
      </c>
      <c r="E1453" s="62" t="s">
        <v>1479</v>
      </c>
      <c r="F1453" s="62">
        <v>2</v>
      </c>
      <c r="G1453" s="62" t="s">
        <v>61</v>
      </c>
      <c r="H1453" s="62">
        <v>2</v>
      </c>
      <c r="I1453" s="62" t="s">
        <v>1744</v>
      </c>
      <c r="J1453" s="62" t="s">
        <v>27</v>
      </c>
      <c r="K1453" s="62" t="s">
        <v>26</v>
      </c>
      <c r="L1453" s="63"/>
      <c r="M1453" s="62" t="s">
        <v>63</v>
      </c>
      <c r="N1453" s="62">
        <v>800186618</v>
      </c>
      <c r="O1453" s="64">
        <v>5789916</v>
      </c>
      <c r="P1453" s="7"/>
      <c r="Q145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3" s="9">
        <f>+IFERROR(VLOOKUP(Tabla3[[#This Row],[Cliente factura]],Tabla4[[NIT]:[TOTAL CREDITO]],6,FALSE),0)</f>
        <v>0</v>
      </c>
      <c r="S1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3" s="10" t="str">
        <f>VLOOKUP(Tabla3[[#This Row],[Razón social cliente factura]]&amp;Tabla3[[#This Row],[Desc. ciudad]],'Estandar de Rutas'!$C$1:$E$553,2,FALSE)</f>
        <v>7.2.C</v>
      </c>
      <c r="U1453" s="130">
        <f>IFERROR(VLOOKUP(Tabla3[[#This Row],[Referencia]]&amp;Tabla3[[#This Row],[Desc detalle ext 1]],Tabla1[[Referencia-Color]:[Disponibilidad]],3,FALSE),0)</f>
        <v>59</v>
      </c>
      <c r="V1453" s="13"/>
      <c r="W1453" s="17">
        <f>+Tabla3[[#This Row],[Cant. Programada]]*Tabla3[[#This Row],[Precio unit]]</f>
        <v>0</v>
      </c>
      <c r="X1453" s="8"/>
      <c r="Y1453" s="8"/>
      <c r="Z1453" s="8" t="str">
        <f>+Tabla3[[#This Row],[Referencia]]&amp;Tabla3[[#This Row],[Desc detalle ext 1]]</f>
        <v>*XR 150L                                          NEGRO BLA</v>
      </c>
      <c r="AA1453" s="128" t="e">
        <f>+VLOOKUP(Tabla3[[#This Row],[CODIGO2]],ESTANDAR!$B$3:$C$9,2,FALSE)</f>
        <v>#N/A</v>
      </c>
      <c r="AB1453" s="128" t="str">
        <f>+MID(Tabla3[[#This Row],['# Viaje]],10,1)</f>
        <v/>
      </c>
    </row>
    <row r="1454" spans="1:28" ht="15" hidden="1" customHeight="1">
      <c r="A1454" s="62" t="s">
        <v>1743</v>
      </c>
      <c r="B1454" s="63">
        <v>42950</v>
      </c>
      <c r="C1454" s="62" t="s">
        <v>1477</v>
      </c>
      <c r="D1454" s="62" t="s">
        <v>1237</v>
      </c>
      <c r="E1454" s="62" t="s">
        <v>1479</v>
      </c>
      <c r="F1454" s="62">
        <v>2</v>
      </c>
      <c r="G1454" s="62" t="s">
        <v>61</v>
      </c>
      <c r="H1454" s="62">
        <v>2</v>
      </c>
      <c r="I1454" s="62" t="s">
        <v>1744</v>
      </c>
      <c r="J1454" s="62" t="s">
        <v>27</v>
      </c>
      <c r="K1454" s="62" t="s">
        <v>16</v>
      </c>
      <c r="L1454" s="63"/>
      <c r="M1454" s="62" t="s">
        <v>63</v>
      </c>
      <c r="N1454" s="62">
        <v>800186618</v>
      </c>
      <c r="O1454" s="64">
        <v>5789916</v>
      </c>
      <c r="P1454" s="7"/>
      <c r="Q145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4" s="9">
        <f>+IFERROR(VLOOKUP(Tabla3[[#This Row],[Cliente factura]],Tabla4[[NIT]:[TOTAL CREDITO]],6,FALSE),0)</f>
        <v>0</v>
      </c>
      <c r="S1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4" s="10" t="str">
        <f>VLOOKUP(Tabla3[[#This Row],[Razón social cliente factura]]&amp;Tabla3[[#This Row],[Desc. ciudad]],'Estandar de Rutas'!$C$1:$E$553,2,FALSE)</f>
        <v>7.2.C</v>
      </c>
      <c r="U1454" s="130">
        <f>IFERROR(VLOOKUP(Tabla3[[#This Row],[Referencia]]&amp;Tabla3[[#This Row],[Desc detalle ext 1]],Tabla1[[Referencia-Color]:[Disponibilidad]],3,FALSE),0)</f>
        <v>3</v>
      </c>
      <c r="V1454" s="13"/>
      <c r="W1454" s="17">
        <f>+Tabla3[[#This Row],[Cant. Programada]]*Tabla3[[#This Row],[Precio unit]]</f>
        <v>0</v>
      </c>
      <c r="X1454" s="8"/>
      <c r="Y1454" s="8"/>
      <c r="Z1454" s="8" t="str">
        <f>+Tabla3[[#This Row],[Referencia]]&amp;Tabla3[[#This Row],[Desc detalle ext 1]]</f>
        <v xml:space="preserve">*XR 150L                                          NEGRO    </v>
      </c>
      <c r="AA1454" s="128" t="e">
        <f>+VLOOKUP(Tabla3[[#This Row],[CODIGO2]],ESTANDAR!$B$3:$C$9,2,FALSE)</f>
        <v>#N/A</v>
      </c>
      <c r="AB1454" s="128" t="str">
        <f>+MID(Tabla3[[#This Row],['# Viaje]],10,1)</f>
        <v/>
      </c>
    </row>
    <row r="1455" spans="1:28" ht="15" hidden="1" customHeight="1">
      <c r="A1455" s="62" t="s">
        <v>1743</v>
      </c>
      <c r="B1455" s="63">
        <v>42950</v>
      </c>
      <c r="C1455" s="62" t="s">
        <v>1477</v>
      </c>
      <c r="D1455" s="62" t="s">
        <v>1237</v>
      </c>
      <c r="E1455" s="62" t="s">
        <v>1479</v>
      </c>
      <c r="F1455" s="62">
        <v>1</v>
      </c>
      <c r="G1455" s="62" t="s">
        <v>61</v>
      </c>
      <c r="H1455" s="62">
        <v>1</v>
      </c>
      <c r="I1455" s="62" t="s">
        <v>1744</v>
      </c>
      <c r="J1455" s="62" t="s">
        <v>1430</v>
      </c>
      <c r="K1455" s="62" t="s">
        <v>1431</v>
      </c>
      <c r="L1455" s="63"/>
      <c r="M1455" s="62" t="s">
        <v>63</v>
      </c>
      <c r="N1455" s="62">
        <v>800186618</v>
      </c>
      <c r="O1455" s="64">
        <v>3941176</v>
      </c>
      <c r="P1455" s="7"/>
      <c r="Q145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5" s="9">
        <f>+IFERROR(VLOOKUP(Tabla3[[#This Row],[Cliente factura]],Tabla4[[NIT]:[TOTAL CREDITO]],6,FALSE),0)</f>
        <v>0</v>
      </c>
      <c r="S1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5" s="10" t="str">
        <f>VLOOKUP(Tabla3[[#This Row],[Razón social cliente factura]]&amp;Tabla3[[#This Row],[Desc. ciudad]],'Estandar de Rutas'!$C$1:$E$553,2,FALSE)</f>
        <v>7.2.C</v>
      </c>
      <c r="U1455" s="130">
        <f>IFERROR(VLOOKUP(Tabla3[[#This Row],[Referencia]]&amp;Tabla3[[#This Row],[Desc detalle ext 1]],Tabla1[[Referencia-Color]:[Disponibilidad]],3,FALSE),0)</f>
        <v>0</v>
      </c>
      <c r="V1455" s="13"/>
      <c r="W1455" s="17">
        <f>+Tabla3[[#This Row],[Cant. Programada]]*Tabla3[[#This Row],[Precio unit]]</f>
        <v>0</v>
      </c>
      <c r="X1455" s="8"/>
      <c r="Y1455" s="8"/>
      <c r="Z1455" s="8" t="str">
        <f>+Tabla3[[#This Row],[Referencia]]&amp;Tabla3[[#This Row],[Desc detalle ext 1]]</f>
        <v xml:space="preserve">WAVE 110S                                         ROJO     </v>
      </c>
      <c r="AA1455" s="128" t="e">
        <f>+VLOOKUP(Tabla3[[#This Row],[CODIGO2]],ESTANDAR!$B$3:$C$9,2,FALSE)</f>
        <v>#N/A</v>
      </c>
      <c r="AB1455" s="128" t="str">
        <f>+MID(Tabla3[[#This Row],['# Viaje]],10,1)</f>
        <v/>
      </c>
    </row>
    <row r="1456" spans="1:28" ht="15" hidden="1" customHeight="1">
      <c r="A1456" s="62" t="s">
        <v>1743</v>
      </c>
      <c r="B1456" s="63">
        <v>42950</v>
      </c>
      <c r="C1456" s="62" t="s">
        <v>1477</v>
      </c>
      <c r="D1456" s="62" t="s">
        <v>1237</v>
      </c>
      <c r="E1456" s="62" t="s">
        <v>1479</v>
      </c>
      <c r="F1456" s="62">
        <v>1</v>
      </c>
      <c r="G1456" s="62" t="s">
        <v>61</v>
      </c>
      <c r="H1456" s="62">
        <v>1</v>
      </c>
      <c r="I1456" s="62" t="s">
        <v>1744</v>
      </c>
      <c r="J1456" s="62" t="s">
        <v>1430</v>
      </c>
      <c r="K1456" s="62" t="s">
        <v>16</v>
      </c>
      <c r="L1456" s="63"/>
      <c r="M1456" s="62" t="s">
        <v>63</v>
      </c>
      <c r="N1456" s="62">
        <v>800186618</v>
      </c>
      <c r="O1456" s="64">
        <v>3941176</v>
      </c>
      <c r="P1456" s="7"/>
      <c r="Q145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6" s="9">
        <f>+IFERROR(VLOOKUP(Tabla3[[#This Row],[Cliente factura]],Tabla4[[NIT]:[TOTAL CREDITO]],6,FALSE),0)</f>
        <v>0</v>
      </c>
      <c r="S1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6" s="10" t="str">
        <f>VLOOKUP(Tabla3[[#This Row],[Razón social cliente factura]]&amp;Tabla3[[#This Row],[Desc. ciudad]],'Estandar de Rutas'!$C$1:$E$553,2,FALSE)</f>
        <v>7.2.C</v>
      </c>
      <c r="U1456" s="130">
        <f>IFERROR(VLOOKUP(Tabla3[[#This Row],[Referencia]]&amp;Tabla3[[#This Row],[Desc detalle ext 1]],Tabla1[[Referencia-Color]:[Disponibilidad]],3,FALSE),0)</f>
        <v>0</v>
      </c>
      <c r="V1456" s="13"/>
      <c r="W1456" s="17">
        <f>+Tabla3[[#This Row],[Cant. Programada]]*Tabla3[[#This Row],[Precio unit]]</f>
        <v>0</v>
      </c>
      <c r="X1456" s="8"/>
      <c r="Y1456" s="8"/>
      <c r="Z1456" s="8" t="str">
        <f>+Tabla3[[#This Row],[Referencia]]&amp;Tabla3[[#This Row],[Desc detalle ext 1]]</f>
        <v xml:space="preserve">WAVE 110S                                         NEGRO    </v>
      </c>
      <c r="AA1456" s="128" t="e">
        <f>+VLOOKUP(Tabla3[[#This Row],[CODIGO2]],ESTANDAR!$B$3:$C$9,2,FALSE)</f>
        <v>#N/A</v>
      </c>
      <c r="AB1456" s="128" t="str">
        <f>+MID(Tabla3[[#This Row],['# Viaje]],10,1)</f>
        <v/>
      </c>
    </row>
    <row r="1457" spans="1:28" ht="15" hidden="1" customHeight="1">
      <c r="A1457" s="62" t="s">
        <v>1743</v>
      </c>
      <c r="B1457" s="63">
        <v>42950</v>
      </c>
      <c r="C1457" s="62" t="s">
        <v>1477</v>
      </c>
      <c r="D1457" s="62" t="s">
        <v>1237</v>
      </c>
      <c r="E1457" s="62" t="s">
        <v>1479</v>
      </c>
      <c r="F1457" s="62">
        <v>1</v>
      </c>
      <c r="G1457" s="62" t="s">
        <v>61</v>
      </c>
      <c r="H1457" s="62">
        <v>1</v>
      </c>
      <c r="I1457" s="62" t="s">
        <v>1744</v>
      </c>
      <c r="J1457" s="62" t="s">
        <v>1451</v>
      </c>
      <c r="K1457" s="62" t="s">
        <v>1431</v>
      </c>
      <c r="L1457" s="63"/>
      <c r="M1457" s="62" t="s">
        <v>63</v>
      </c>
      <c r="N1457" s="62">
        <v>800186618</v>
      </c>
      <c r="O1457" s="64">
        <v>3696639</v>
      </c>
      <c r="P1457" s="7"/>
      <c r="Q145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7" s="9">
        <f>+IFERROR(VLOOKUP(Tabla3[[#This Row],[Cliente factura]],Tabla4[[NIT]:[TOTAL CREDITO]],6,FALSE),0)</f>
        <v>0</v>
      </c>
      <c r="S1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7" s="10" t="str">
        <f>VLOOKUP(Tabla3[[#This Row],[Razón social cliente factura]]&amp;Tabla3[[#This Row],[Desc. ciudad]],'Estandar de Rutas'!$C$1:$E$553,2,FALSE)</f>
        <v>7.2.C</v>
      </c>
      <c r="U1457" s="130">
        <f>IFERROR(VLOOKUP(Tabla3[[#This Row],[Referencia]]&amp;Tabla3[[#This Row],[Desc detalle ext 1]],Tabla1[[Referencia-Color]:[Disponibilidad]],3,FALSE),0)</f>
        <v>21</v>
      </c>
      <c r="V1457" s="13"/>
      <c r="W1457" s="17">
        <f>+Tabla3[[#This Row],[Cant. Programada]]*Tabla3[[#This Row],[Precio unit]]</f>
        <v>0</v>
      </c>
      <c r="X1457" s="8"/>
      <c r="Y1457" s="8"/>
      <c r="Z1457" s="8" t="str">
        <f>+Tabla3[[#This Row],[Referencia]]&amp;Tabla3[[#This Row],[Desc detalle ext 1]]</f>
        <v xml:space="preserve">CB 110 DLX                                        ROJO     </v>
      </c>
      <c r="AA1457" s="128" t="e">
        <f>+VLOOKUP(Tabla3[[#This Row],[CODIGO2]],ESTANDAR!$B$3:$C$9,2,FALSE)</f>
        <v>#N/A</v>
      </c>
      <c r="AB1457" s="128" t="str">
        <f>+MID(Tabla3[[#This Row],['# Viaje]],10,1)</f>
        <v/>
      </c>
    </row>
    <row r="1458" spans="1:28" ht="15" hidden="1" customHeight="1">
      <c r="A1458" s="62" t="s">
        <v>1743</v>
      </c>
      <c r="B1458" s="63">
        <v>42950</v>
      </c>
      <c r="C1458" s="62" t="s">
        <v>1477</v>
      </c>
      <c r="D1458" s="62" t="s">
        <v>1237</v>
      </c>
      <c r="E1458" s="62" t="s">
        <v>1479</v>
      </c>
      <c r="F1458" s="62">
        <v>1</v>
      </c>
      <c r="G1458" s="62" t="s">
        <v>61</v>
      </c>
      <c r="H1458" s="62">
        <v>1</v>
      </c>
      <c r="I1458" s="62" t="s">
        <v>1744</v>
      </c>
      <c r="J1458" s="62" t="s">
        <v>1451</v>
      </c>
      <c r="K1458" s="62" t="s">
        <v>1452</v>
      </c>
      <c r="L1458" s="63"/>
      <c r="M1458" s="62" t="s">
        <v>63</v>
      </c>
      <c r="N1458" s="62">
        <v>800186618</v>
      </c>
      <c r="O1458" s="64">
        <v>3696639</v>
      </c>
      <c r="P1458" s="7"/>
      <c r="Q145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8" s="9">
        <f>+IFERROR(VLOOKUP(Tabla3[[#This Row],[Cliente factura]],Tabla4[[NIT]:[TOTAL CREDITO]],6,FALSE),0)</f>
        <v>0</v>
      </c>
      <c r="S1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8" s="10" t="str">
        <f>VLOOKUP(Tabla3[[#This Row],[Razón social cliente factura]]&amp;Tabla3[[#This Row],[Desc. ciudad]],'Estandar de Rutas'!$C$1:$E$553,2,FALSE)</f>
        <v>7.2.C</v>
      </c>
      <c r="U1458" s="130">
        <f>IFERROR(VLOOKUP(Tabla3[[#This Row],[Referencia]]&amp;Tabla3[[#This Row],[Desc detalle ext 1]],Tabla1[[Referencia-Color]:[Disponibilidad]],3,FALSE),0)</f>
        <v>21</v>
      </c>
      <c r="V1458" s="13"/>
      <c r="W1458" s="17">
        <f>+Tabla3[[#This Row],[Cant. Programada]]*Tabla3[[#This Row],[Precio unit]]</f>
        <v>0</v>
      </c>
      <c r="X1458" s="8"/>
      <c r="Y1458" s="8"/>
      <c r="Z1458" s="8" t="str">
        <f>+Tabla3[[#This Row],[Referencia]]&amp;Tabla3[[#This Row],[Desc detalle ext 1]]</f>
        <v xml:space="preserve">CB 110 DLX                                        AZUL     </v>
      </c>
      <c r="AA1458" s="128" t="e">
        <f>+VLOOKUP(Tabla3[[#This Row],[CODIGO2]],ESTANDAR!$B$3:$C$9,2,FALSE)</f>
        <v>#N/A</v>
      </c>
      <c r="AB1458" s="128" t="str">
        <f>+MID(Tabla3[[#This Row],['# Viaje]],10,1)</f>
        <v/>
      </c>
    </row>
    <row r="1459" spans="1:28" ht="15" hidden="1" customHeight="1">
      <c r="A1459" s="62" t="s">
        <v>1745</v>
      </c>
      <c r="B1459" s="63">
        <v>42950</v>
      </c>
      <c r="C1459" s="62" t="s">
        <v>1477</v>
      </c>
      <c r="D1459" s="62" t="s">
        <v>1237</v>
      </c>
      <c r="E1459" s="62" t="s">
        <v>1479</v>
      </c>
      <c r="F1459" s="62">
        <v>3</v>
      </c>
      <c r="G1459" s="62" t="s">
        <v>61</v>
      </c>
      <c r="H1459" s="62">
        <v>3</v>
      </c>
      <c r="I1459" s="62" t="s">
        <v>1746</v>
      </c>
      <c r="J1459" s="62" t="s">
        <v>27</v>
      </c>
      <c r="K1459" s="62" t="s">
        <v>32</v>
      </c>
      <c r="L1459" s="63"/>
      <c r="M1459" s="62" t="s">
        <v>65</v>
      </c>
      <c r="N1459" s="62">
        <v>800186618</v>
      </c>
      <c r="O1459" s="64">
        <v>5789916</v>
      </c>
      <c r="P1459" s="7"/>
      <c r="Q145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9" s="9">
        <f>+IFERROR(VLOOKUP(Tabla3[[#This Row],[Cliente factura]],Tabla4[[NIT]:[TOTAL CREDITO]],6,FALSE),0)</f>
        <v>0</v>
      </c>
      <c r="S1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9" s="10" t="str">
        <f>VLOOKUP(Tabla3[[#This Row],[Razón social cliente factura]]&amp;Tabla3[[#This Row],[Desc. ciudad]],'Estandar de Rutas'!$C$1:$E$553,2,FALSE)</f>
        <v>7.2.C</v>
      </c>
      <c r="U1459" s="130">
        <f>IFERROR(VLOOKUP(Tabla3[[#This Row],[Referencia]]&amp;Tabla3[[#This Row],[Desc detalle ext 1]],Tabla1[[Referencia-Color]:[Disponibilidad]],3,FALSE),0)</f>
        <v>7</v>
      </c>
      <c r="V1459" s="13"/>
      <c r="W1459" s="17">
        <f>+Tabla3[[#This Row],[Cant. Programada]]*Tabla3[[#This Row],[Precio unit]]</f>
        <v>0</v>
      </c>
      <c r="X1459" s="8"/>
      <c r="Y1459" s="8"/>
      <c r="Z1459" s="8" t="str">
        <f>+Tabla3[[#This Row],[Referencia]]&amp;Tabla3[[#This Row],[Desc detalle ext 1]]</f>
        <v>*XR 150L                                          NEGRO ROJ</v>
      </c>
      <c r="AA1459" s="128" t="e">
        <f>+VLOOKUP(Tabla3[[#This Row],[CODIGO2]],ESTANDAR!$B$3:$C$9,2,FALSE)</f>
        <v>#N/A</v>
      </c>
      <c r="AB1459" s="128" t="str">
        <f>+MID(Tabla3[[#This Row],['# Viaje]],10,1)</f>
        <v/>
      </c>
    </row>
    <row r="1460" spans="1:28" ht="15" hidden="1" customHeight="1">
      <c r="A1460" s="62" t="s">
        <v>1745</v>
      </c>
      <c r="B1460" s="63">
        <v>42950</v>
      </c>
      <c r="C1460" s="62" t="s">
        <v>1477</v>
      </c>
      <c r="D1460" s="62" t="s">
        <v>1237</v>
      </c>
      <c r="E1460" s="62" t="s">
        <v>1479</v>
      </c>
      <c r="F1460" s="62">
        <v>2</v>
      </c>
      <c r="G1460" s="62" t="s">
        <v>61</v>
      </c>
      <c r="H1460" s="62">
        <v>2</v>
      </c>
      <c r="I1460" s="62" t="s">
        <v>1746</v>
      </c>
      <c r="J1460" s="62" t="s">
        <v>27</v>
      </c>
      <c r="K1460" s="62" t="s">
        <v>26</v>
      </c>
      <c r="L1460" s="63"/>
      <c r="M1460" s="62" t="s">
        <v>65</v>
      </c>
      <c r="N1460" s="62">
        <v>800186618</v>
      </c>
      <c r="O1460" s="64">
        <v>5789916</v>
      </c>
      <c r="P1460" s="7"/>
      <c r="Q146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0" s="9">
        <f>+IFERROR(VLOOKUP(Tabla3[[#This Row],[Cliente factura]],Tabla4[[NIT]:[TOTAL CREDITO]],6,FALSE),0)</f>
        <v>0</v>
      </c>
      <c r="S1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0" s="10" t="str">
        <f>VLOOKUP(Tabla3[[#This Row],[Razón social cliente factura]]&amp;Tabla3[[#This Row],[Desc. ciudad]],'Estandar de Rutas'!$C$1:$E$553,2,FALSE)</f>
        <v>7.2.C</v>
      </c>
      <c r="U1460" s="130">
        <f>IFERROR(VLOOKUP(Tabla3[[#This Row],[Referencia]]&amp;Tabla3[[#This Row],[Desc detalle ext 1]],Tabla1[[Referencia-Color]:[Disponibilidad]],3,FALSE),0)</f>
        <v>59</v>
      </c>
      <c r="V1460" s="13"/>
      <c r="W1460" s="17">
        <f>+Tabla3[[#This Row],[Cant. Programada]]*Tabla3[[#This Row],[Precio unit]]</f>
        <v>0</v>
      </c>
      <c r="X1460" s="8"/>
      <c r="Y1460" s="8"/>
      <c r="Z1460" s="8" t="str">
        <f>+Tabla3[[#This Row],[Referencia]]&amp;Tabla3[[#This Row],[Desc detalle ext 1]]</f>
        <v>*XR 150L                                          NEGRO BLA</v>
      </c>
      <c r="AA1460" s="128" t="e">
        <f>+VLOOKUP(Tabla3[[#This Row],[CODIGO2]],ESTANDAR!$B$3:$C$9,2,FALSE)</f>
        <v>#N/A</v>
      </c>
      <c r="AB1460" s="128" t="str">
        <f>+MID(Tabla3[[#This Row],['# Viaje]],10,1)</f>
        <v/>
      </c>
    </row>
    <row r="1461" spans="1:28" ht="15" hidden="1" customHeight="1">
      <c r="A1461" s="62" t="s">
        <v>1745</v>
      </c>
      <c r="B1461" s="63">
        <v>42950</v>
      </c>
      <c r="C1461" s="62" t="s">
        <v>1477</v>
      </c>
      <c r="D1461" s="62" t="s">
        <v>1237</v>
      </c>
      <c r="E1461" s="62" t="s">
        <v>1479</v>
      </c>
      <c r="F1461" s="62">
        <v>3</v>
      </c>
      <c r="G1461" s="62" t="s">
        <v>61</v>
      </c>
      <c r="H1461" s="62">
        <v>3</v>
      </c>
      <c r="I1461" s="62" t="s">
        <v>1746</v>
      </c>
      <c r="J1461" s="62" t="s">
        <v>27</v>
      </c>
      <c r="K1461" s="62" t="s">
        <v>16</v>
      </c>
      <c r="L1461" s="63"/>
      <c r="M1461" s="62" t="s">
        <v>65</v>
      </c>
      <c r="N1461" s="62">
        <v>800186618</v>
      </c>
      <c r="O1461" s="64">
        <v>5789916</v>
      </c>
      <c r="P1461" s="7"/>
      <c r="Q146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1" s="9">
        <f>+IFERROR(VLOOKUP(Tabla3[[#This Row],[Cliente factura]],Tabla4[[NIT]:[TOTAL CREDITO]],6,FALSE),0)</f>
        <v>0</v>
      </c>
      <c r="S1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1" s="10" t="str">
        <f>VLOOKUP(Tabla3[[#This Row],[Razón social cliente factura]]&amp;Tabla3[[#This Row],[Desc. ciudad]],'Estandar de Rutas'!$C$1:$E$553,2,FALSE)</f>
        <v>7.2.C</v>
      </c>
      <c r="U1461" s="130">
        <f>IFERROR(VLOOKUP(Tabla3[[#This Row],[Referencia]]&amp;Tabla3[[#This Row],[Desc detalle ext 1]],Tabla1[[Referencia-Color]:[Disponibilidad]],3,FALSE),0)</f>
        <v>3</v>
      </c>
      <c r="V1461" s="13"/>
      <c r="W1461" s="17">
        <f>+Tabla3[[#This Row],[Cant. Programada]]*Tabla3[[#This Row],[Precio unit]]</f>
        <v>0</v>
      </c>
      <c r="X1461" s="8"/>
      <c r="Y1461" s="8"/>
      <c r="Z1461" s="8" t="str">
        <f>+Tabla3[[#This Row],[Referencia]]&amp;Tabla3[[#This Row],[Desc detalle ext 1]]</f>
        <v xml:space="preserve">*XR 150L                                          NEGRO    </v>
      </c>
      <c r="AA1461" s="128" t="e">
        <f>+VLOOKUP(Tabla3[[#This Row],[CODIGO2]],ESTANDAR!$B$3:$C$9,2,FALSE)</f>
        <v>#N/A</v>
      </c>
      <c r="AB1461" s="128" t="str">
        <f>+MID(Tabla3[[#This Row],['# Viaje]],10,1)</f>
        <v/>
      </c>
    </row>
    <row r="1462" spans="1:28" ht="15" hidden="1" customHeight="1">
      <c r="A1462" s="62" t="s">
        <v>1745</v>
      </c>
      <c r="B1462" s="63">
        <v>42950</v>
      </c>
      <c r="C1462" s="62" t="s">
        <v>1477</v>
      </c>
      <c r="D1462" s="62" t="s">
        <v>1237</v>
      </c>
      <c r="E1462" s="62" t="s">
        <v>1479</v>
      </c>
      <c r="F1462" s="62">
        <v>1</v>
      </c>
      <c r="G1462" s="62" t="s">
        <v>61</v>
      </c>
      <c r="H1462" s="62">
        <v>1</v>
      </c>
      <c r="I1462" s="62" t="s">
        <v>1746</v>
      </c>
      <c r="J1462" s="62" t="s">
        <v>1430</v>
      </c>
      <c r="K1462" s="62" t="s">
        <v>1431</v>
      </c>
      <c r="L1462" s="63"/>
      <c r="M1462" s="62" t="s">
        <v>65</v>
      </c>
      <c r="N1462" s="62">
        <v>800186618</v>
      </c>
      <c r="O1462" s="64">
        <v>3941176</v>
      </c>
      <c r="P1462" s="7"/>
      <c r="Q146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2" s="9">
        <f>+IFERROR(VLOOKUP(Tabla3[[#This Row],[Cliente factura]],Tabla4[[NIT]:[TOTAL CREDITO]],6,FALSE),0)</f>
        <v>0</v>
      </c>
      <c r="S1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2" s="10" t="str">
        <f>VLOOKUP(Tabla3[[#This Row],[Razón social cliente factura]]&amp;Tabla3[[#This Row],[Desc. ciudad]],'Estandar de Rutas'!$C$1:$E$553,2,FALSE)</f>
        <v>7.2.C</v>
      </c>
      <c r="U1462" s="130">
        <f>IFERROR(VLOOKUP(Tabla3[[#This Row],[Referencia]]&amp;Tabla3[[#This Row],[Desc detalle ext 1]],Tabla1[[Referencia-Color]:[Disponibilidad]],3,FALSE),0)</f>
        <v>0</v>
      </c>
      <c r="V1462" s="13"/>
      <c r="W1462" s="17">
        <f>+Tabla3[[#This Row],[Cant. Programada]]*Tabla3[[#This Row],[Precio unit]]</f>
        <v>0</v>
      </c>
      <c r="X1462" s="8"/>
      <c r="Y1462" s="8"/>
      <c r="Z1462" s="8" t="str">
        <f>+Tabla3[[#This Row],[Referencia]]&amp;Tabla3[[#This Row],[Desc detalle ext 1]]</f>
        <v xml:space="preserve">WAVE 110S                                         ROJO     </v>
      </c>
      <c r="AA1462" s="128" t="e">
        <f>+VLOOKUP(Tabla3[[#This Row],[CODIGO2]],ESTANDAR!$B$3:$C$9,2,FALSE)</f>
        <v>#N/A</v>
      </c>
      <c r="AB1462" s="128" t="str">
        <f>+MID(Tabla3[[#This Row],['# Viaje]],10,1)</f>
        <v/>
      </c>
    </row>
    <row r="1463" spans="1:28" ht="15" hidden="1" customHeight="1">
      <c r="A1463" s="62" t="s">
        <v>1745</v>
      </c>
      <c r="B1463" s="63">
        <v>42950</v>
      </c>
      <c r="C1463" s="62" t="s">
        <v>1477</v>
      </c>
      <c r="D1463" s="62" t="s">
        <v>1237</v>
      </c>
      <c r="E1463" s="62" t="s">
        <v>1479</v>
      </c>
      <c r="F1463" s="62">
        <v>1</v>
      </c>
      <c r="G1463" s="62" t="s">
        <v>61</v>
      </c>
      <c r="H1463" s="62">
        <v>1</v>
      </c>
      <c r="I1463" s="62" t="s">
        <v>1746</v>
      </c>
      <c r="J1463" s="62" t="s">
        <v>1430</v>
      </c>
      <c r="K1463" s="62" t="s">
        <v>16</v>
      </c>
      <c r="L1463" s="63"/>
      <c r="M1463" s="62" t="s">
        <v>65</v>
      </c>
      <c r="N1463" s="62">
        <v>800186618</v>
      </c>
      <c r="O1463" s="64">
        <v>3941176</v>
      </c>
      <c r="P1463" s="7"/>
      <c r="Q146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3" s="9">
        <f>+IFERROR(VLOOKUP(Tabla3[[#This Row],[Cliente factura]],Tabla4[[NIT]:[TOTAL CREDITO]],6,FALSE),0)</f>
        <v>0</v>
      </c>
      <c r="S1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3" s="10" t="str">
        <f>VLOOKUP(Tabla3[[#This Row],[Razón social cliente factura]]&amp;Tabla3[[#This Row],[Desc. ciudad]],'Estandar de Rutas'!$C$1:$E$553,2,FALSE)</f>
        <v>7.2.C</v>
      </c>
      <c r="U1463" s="130">
        <f>IFERROR(VLOOKUP(Tabla3[[#This Row],[Referencia]]&amp;Tabla3[[#This Row],[Desc detalle ext 1]],Tabla1[[Referencia-Color]:[Disponibilidad]],3,FALSE),0)</f>
        <v>0</v>
      </c>
      <c r="V1463" s="13"/>
      <c r="W1463" s="17">
        <f>+Tabla3[[#This Row],[Cant. Programada]]*Tabla3[[#This Row],[Precio unit]]</f>
        <v>0</v>
      </c>
      <c r="X1463" s="8"/>
      <c r="Y1463" s="8"/>
      <c r="Z1463" s="8" t="str">
        <f>+Tabla3[[#This Row],[Referencia]]&amp;Tabla3[[#This Row],[Desc detalle ext 1]]</f>
        <v xml:space="preserve">WAVE 110S                                         NEGRO    </v>
      </c>
      <c r="AA1463" s="128" t="e">
        <f>+VLOOKUP(Tabla3[[#This Row],[CODIGO2]],ESTANDAR!$B$3:$C$9,2,FALSE)</f>
        <v>#N/A</v>
      </c>
      <c r="AB1463" s="128" t="str">
        <f>+MID(Tabla3[[#This Row],['# Viaje]],10,1)</f>
        <v/>
      </c>
    </row>
    <row r="1464" spans="1:28" ht="15" hidden="1" customHeight="1">
      <c r="A1464" s="62" t="s">
        <v>1745</v>
      </c>
      <c r="B1464" s="63">
        <v>42950</v>
      </c>
      <c r="C1464" s="62" t="s">
        <v>1477</v>
      </c>
      <c r="D1464" s="62" t="s">
        <v>1237</v>
      </c>
      <c r="E1464" s="62" t="s">
        <v>1479</v>
      </c>
      <c r="F1464" s="62">
        <v>1</v>
      </c>
      <c r="G1464" s="62" t="s">
        <v>61</v>
      </c>
      <c r="H1464" s="62">
        <v>1</v>
      </c>
      <c r="I1464" s="62" t="s">
        <v>1746</v>
      </c>
      <c r="J1464" s="62" t="s">
        <v>1451</v>
      </c>
      <c r="K1464" s="62" t="s">
        <v>1452</v>
      </c>
      <c r="L1464" s="63"/>
      <c r="M1464" s="62" t="s">
        <v>65</v>
      </c>
      <c r="N1464" s="62">
        <v>800186618</v>
      </c>
      <c r="O1464" s="64">
        <v>3696639</v>
      </c>
      <c r="P1464" s="7"/>
      <c r="Q146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4" s="9">
        <f>+IFERROR(VLOOKUP(Tabla3[[#This Row],[Cliente factura]],Tabla4[[NIT]:[TOTAL CREDITO]],6,FALSE),0)</f>
        <v>0</v>
      </c>
      <c r="S1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4" s="10" t="str">
        <f>VLOOKUP(Tabla3[[#This Row],[Razón social cliente factura]]&amp;Tabla3[[#This Row],[Desc. ciudad]],'Estandar de Rutas'!$C$1:$E$553,2,FALSE)</f>
        <v>7.2.C</v>
      </c>
      <c r="U1464" s="130">
        <f>IFERROR(VLOOKUP(Tabla3[[#This Row],[Referencia]]&amp;Tabla3[[#This Row],[Desc detalle ext 1]],Tabla1[[Referencia-Color]:[Disponibilidad]],3,FALSE),0)</f>
        <v>21</v>
      </c>
      <c r="V1464" s="13"/>
      <c r="W1464" s="17">
        <f>+Tabla3[[#This Row],[Cant. Programada]]*Tabla3[[#This Row],[Precio unit]]</f>
        <v>0</v>
      </c>
      <c r="X1464" s="8"/>
      <c r="Y1464" s="8"/>
      <c r="Z1464" s="8" t="str">
        <f>+Tabla3[[#This Row],[Referencia]]&amp;Tabla3[[#This Row],[Desc detalle ext 1]]</f>
        <v xml:space="preserve">CB 110 DLX                                        AZUL     </v>
      </c>
      <c r="AA1464" s="128" t="e">
        <f>+VLOOKUP(Tabla3[[#This Row],[CODIGO2]],ESTANDAR!$B$3:$C$9,2,FALSE)</f>
        <v>#N/A</v>
      </c>
      <c r="AB1464" s="128" t="str">
        <f>+MID(Tabla3[[#This Row],['# Viaje]],10,1)</f>
        <v/>
      </c>
    </row>
    <row r="1465" spans="1:28" ht="15" hidden="1" customHeight="1">
      <c r="A1465" s="62" t="s">
        <v>1745</v>
      </c>
      <c r="B1465" s="63">
        <v>42950</v>
      </c>
      <c r="C1465" s="62" t="s">
        <v>1477</v>
      </c>
      <c r="D1465" s="62" t="s">
        <v>1237</v>
      </c>
      <c r="E1465" s="62" t="s">
        <v>1479</v>
      </c>
      <c r="F1465" s="62">
        <v>2</v>
      </c>
      <c r="G1465" s="62" t="s">
        <v>61</v>
      </c>
      <c r="H1465" s="62">
        <v>2</v>
      </c>
      <c r="I1465" s="62" t="s">
        <v>1746</v>
      </c>
      <c r="J1465" s="62" t="s">
        <v>1451</v>
      </c>
      <c r="K1465" s="62" t="s">
        <v>1431</v>
      </c>
      <c r="L1465" s="63"/>
      <c r="M1465" s="62" t="s">
        <v>65</v>
      </c>
      <c r="N1465" s="62">
        <v>800186618</v>
      </c>
      <c r="O1465" s="64">
        <v>3696639</v>
      </c>
      <c r="P1465" s="7"/>
      <c r="Q146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5" s="9">
        <f>+IFERROR(VLOOKUP(Tabla3[[#This Row],[Cliente factura]],Tabla4[[NIT]:[TOTAL CREDITO]],6,FALSE),0)</f>
        <v>0</v>
      </c>
      <c r="S1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5" s="10" t="str">
        <f>VLOOKUP(Tabla3[[#This Row],[Razón social cliente factura]]&amp;Tabla3[[#This Row],[Desc. ciudad]],'Estandar de Rutas'!$C$1:$E$553,2,FALSE)</f>
        <v>7.2.C</v>
      </c>
      <c r="U1465" s="130">
        <f>IFERROR(VLOOKUP(Tabla3[[#This Row],[Referencia]]&amp;Tabla3[[#This Row],[Desc detalle ext 1]],Tabla1[[Referencia-Color]:[Disponibilidad]],3,FALSE),0)</f>
        <v>21</v>
      </c>
      <c r="V1465" s="13"/>
      <c r="W1465" s="17">
        <f>+Tabla3[[#This Row],[Cant. Programada]]*Tabla3[[#This Row],[Precio unit]]</f>
        <v>0</v>
      </c>
      <c r="X1465" s="8"/>
      <c r="Y1465" s="8"/>
      <c r="Z1465" s="8" t="str">
        <f>+Tabla3[[#This Row],[Referencia]]&amp;Tabla3[[#This Row],[Desc detalle ext 1]]</f>
        <v xml:space="preserve">CB 110 DLX                                        ROJO     </v>
      </c>
      <c r="AA1465" s="128" t="e">
        <f>+VLOOKUP(Tabla3[[#This Row],[CODIGO2]],ESTANDAR!$B$3:$C$9,2,FALSE)</f>
        <v>#N/A</v>
      </c>
      <c r="AB1465" s="128" t="str">
        <f>+MID(Tabla3[[#This Row],['# Viaje]],10,1)</f>
        <v/>
      </c>
    </row>
    <row r="1466" spans="1:28" ht="15" hidden="1" customHeight="1">
      <c r="A1466" s="62" t="s">
        <v>1745</v>
      </c>
      <c r="B1466" s="63">
        <v>42950</v>
      </c>
      <c r="C1466" s="62" t="s">
        <v>1477</v>
      </c>
      <c r="D1466" s="62" t="s">
        <v>1237</v>
      </c>
      <c r="E1466" s="62" t="s">
        <v>1479</v>
      </c>
      <c r="F1466" s="62">
        <v>1</v>
      </c>
      <c r="G1466" s="62" t="s">
        <v>61</v>
      </c>
      <c r="H1466" s="62">
        <v>1</v>
      </c>
      <c r="I1466" s="62" t="s">
        <v>1746</v>
      </c>
      <c r="J1466" s="62" t="s">
        <v>1451</v>
      </c>
      <c r="K1466" s="62" t="s">
        <v>16</v>
      </c>
      <c r="L1466" s="63"/>
      <c r="M1466" s="62" t="s">
        <v>65</v>
      </c>
      <c r="N1466" s="62">
        <v>800186618</v>
      </c>
      <c r="O1466" s="64">
        <v>3696639</v>
      </c>
      <c r="P1466" s="7"/>
      <c r="Q146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6" s="9">
        <f>+IFERROR(VLOOKUP(Tabla3[[#This Row],[Cliente factura]],Tabla4[[NIT]:[TOTAL CREDITO]],6,FALSE),0)</f>
        <v>0</v>
      </c>
      <c r="S1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6" s="10" t="str">
        <f>VLOOKUP(Tabla3[[#This Row],[Razón social cliente factura]]&amp;Tabla3[[#This Row],[Desc. ciudad]],'Estandar de Rutas'!$C$1:$E$553,2,FALSE)</f>
        <v>7.2.C</v>
      </c>
      <c r="U1466" s="130">
        <f>IFERROR(VLOOKUP(Tabla3[[#This Row],[Referencia]]&amp;Tabla3[[#This Row],[Desc detalle ext 1]],Tabla1[[Referencia-Color]:[Disponibilidad]],3,FALSE),0)</f>
        <v>3</v>
      </c>
      <c r="V1466" s="13"/>
      <c r="W1466" s="17">
        <f>+Tabla3[[#This Row],[Cant. Programada]]*Tabla3[[#This Row],[Precio unit]]</f>
        <v>0</v>
      </c>
      <c r="X1466" s="8"/>
      <c r="Y1466" s="8"/>
      <c r="Z1466" s="8" t="str">
        <f>+Tabla3[[#This Row],[Referencia]]&amp;Tabla3[[#This Row],[Desc detalle ext 1]]</f>
        <v xml:space="preserve">CB 110 DLX                                        NEGRO    </v>
      </c>
      <c r="AA1466" s="128" t="e">
        <f>+VLOOKUP(Tabla3[[#This Row],[CODIGO2]],ESTANDAR!$B$3:$C$9,2,FALSE)</f>
        <v>#N/A</v>
      </c>
      <c r="AB1466" s="128" t="str">
        <f>+MID(Tabla3[[#This Row],['# Viaje]],10,1)</f>
        <v/>
      </c>
    </row>
    <row r="1467" spans="1:28" ht="15" hidden="1" customHeight="1">
      <c r="A1467" s="62" t="s">
        <v>1747</v>
      </c>
      <c r="B1467" s="63">
        <v>42950</v>
      </c>
      <c r="C1467" s="62" t="s">
        <v>1231</v>
      </c>
      <c r="D1467" s="62" t="s">
        <v>1487</v>
      </c>
      <c r="E1467" s="62" t="s">
        <v>1479</v>
      </c>
      <c r="F1467" s="62">
        <v>3</v>
      </c>
      <c r="G1467" s="62" t="s">
        <v>91</v>
      </c>
      <c r="H1467" s="62">
        <v>3</v>
      </c>
      <c r="I1467" s="62" t="s">
        <v>91</v>
      </c>
      <c r="J1467" s="62" t="s">
        <v>27</v>
      </c>
      <c r="K1467" s="62" t="s">
        <v>16</v>
      </c>
      <c r="L1467" s="63"/>
      <c r="M1467" s="62" t="s">
        <v>92</v>
      </c>
      <c r="N1467" s="62">
        <v>85166081</v>
      </c>
      <c r="O1467" s="64">
        <v>5789916</v>
      </c>
      <c r="P1467" s="7"/>
      <c r="Q1467" s="16">
        <f>+IF(IFERROR(VLOOKUP(Tabla3[[#This Row],[Cliente factura]],Tabla4[[NIT]:[TOTAL CREDITO]],3,FALSE),0)="",0,IFERROR(VLOOKUP(Tabla3[[#This Row],[Cliente factura]],Tabla4[[NIT]:[TOTAL CREDITO]],3,FALSE),0))</f>
        <v>38000000</v>
      </c>
      <c r="R1467" s="9">
        <f>+IFERROR(VLOOKUP(Tabla3[[#This Row],[Cliente factura]],Tabla4[[NIT]:[TOTAL CREDITO]],6,FALSE),0)</f>
        <v>107000000</v>
      </c>
      <c r="S1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7" s="10" t="str">
        <f>VLOOKUP(Tabla3[[#This Row],[Razón social cliente factura]]&amp;Tabla3[[#This Row],[Desc. ciudad]],'Estandar de Rutas'!$C$1:$E$553,2,FALSE)</f>
        <v>10.2</v>
      </c>
      <c r="U1467" s="130">
        <f>IFERROR(VLOOKUP(Tabla3[[#This Row],[Referencia]]&amp;Tabla3[[#This Row],[Desc detalle ext 1]],Tabla1[[Referencia-Color]:[Disponibilidad]],3,FALSE),0)</f>
        <v>3</v>
      </c>
      <c r="V1467" s="13"/>
      <c r="W1467" s="17">
        <f>+Tabla3[[#This Row],[Cant. Programada]]*Tabla3[[#This Row],[Precio unit]]</f>
        <v>0</v>
      </c>
      <c r="X1467" s="8"/>
      <c r="Y1467" s="8"/>
      <c r="Z1467" s="8" t="str">
        <f>+Tabla3[[#This Row],[Referencia]]&amp;Tabla3[[#This Row],[Desc detalle ext 1]]</f>
        <v xml:space="preserve">*XR 150L                                          NEGRO    </v>
      </c>
      <c r="AA1467" s="128" t="e">
        <f>+VLOOKUP(Tabla3[[#This Row],[CODIGO2]],ESTANDAR!$B$3:$C$9,2,FALSE)</f>
        <v>#N/A</v>
      </c>
      <c r="AB1467" s="128" t="str">
        <f>+MID(Tabla3[[#This Row],['# Viaje]],10,1)</f>
        <v/>
      </c>
    </row>
    <row r="1468" spans="1:28" ht="15" hidden="1" customHeight="1">
      <c r="A1468" s="62" t="s">
        <v>1747</v>
      </c>
      <c r="B1468" s="63">
        <v>42950</v>
      </c>
      <c r="C1468" s="62" t="s">
        <v>1231</v>
      </c>
      <c r="D1468" s="62" t="s">
        <v>1487</v>
      </c>
      <c r="E1468" s="62" t="s">
        <v>1479</v>
      </c>
      <c r="F1468" s="62">
        <v>1</v>
      </c>
      <c r="G1468" s="62" t="s">
        <v>91</v>
      </c>
      <c r="H1468" s="62">
        <v>1</v>
      </c>
      <c r="I1468" s="62" t="s">
        <v>91</v>
      </c>
      <c r="J1468" s="62" t="s">
        <v>1428</v>
      </c>
      <c r="K1468" s="62" t="s">
        <v>1429</v>
      </c>
      <c r="L1468" s="63"/>
      <c r="M1468" s="62" t="s">
        <v>92</v>
      </c>
      <c r="N1468" s="62">
        <v>85166081</v>
      </c>
      <c r="O1468" s="64">
        <v>3067227</v>
      </c>
      <c r="P1468" s="7"/>
      <c r="Q1468" s="16">
        <f>+IF(IFERROR(VLOOKUP(Tabla3[[#This Row],[Cliente factura]],Tabla4[[NIT]:[TOTAL CREDITO]],3,FALSE),0)="",0,IFERROR(VLOOKUP(Tabla3[[#This Row],[Cliente factura]],Tabla4[[NIT]:[TOTAL CREDITO]],3,FALSE),0))</f>
        <v>38000000</v>
      </c>
      <c r="R1468" s="9">
        <f>+IFERROR(VLOOKUP(Tabla3[[#This Row],[Cliente factura]],Tabla4[[NIT]:[TOTAL CREDITO]],6,FALSE),0)</f>
        <v>107000000</v>
      </c>
      <c r="S1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8" s="10" t="str">
        <f>VLOOKUP(Tabla3[[#This Row],[Razón social cliente factura]]&amp;Tabla3[[#This Row],[Desc. ciudad]],'Estandar de Rutas'!$C$1:$E$553,2,FALSE)</f>
        <v>10.2</v>
      </c>
      <c r="U1468" s="130">
        <f>IFERROR(VLOOKUP(Tabla3[[#This Row],[Referencia]]&amp;Tabla3[[#This Row],[Desc detalle ext 1]],Tabla1[[Referencia-Color]:[Disponibilidad]],3,FALSE),0)</f>
        <v>0</v>
      </c>
      <c r="V1468" s="13"/>
      <c r="W1468" s="17">
        <f>+Tabla3[[#This Row],[Cant. Programada]]*Tabla3[[#This Row],[Precio unit]]</f>
        <v>0</v>
      </c>
      <c r="X1468" s="8"/>
      <c r="Y1468" s="8"/>
      <c r="Z1468" s="8" t="str">
        <f>+Tabla3[[#This Row],[Referencia]]&amp;Tabla3[[#This Row],[Desc detalle ext 1]]</f>
        <v>DREAM  NEO                                        NEGRO AZU</v>
      </c>
      <c r="AA1468" s="128" t="e">
        <f>+VLOOKUP(Tabla3[[#This Row],[CODIGO2]],ESTANDAR!$B$3:$C$9,2,FALSE)</f>
        <v>#N/A</v>
      </c>
      <c r="AB1468" s="128" t="str">
        <f>+MID(Tabla3[[#This Row],['# Viaje]],10,1)</f>
        <v/>
      </c>
    </row>
    <row r="1469" spans="1:28" ht="15" hidden="1" customHeight="1">
      <c r="A1469" s="62" t="s">
        <v>1747</v>
      </c>
      <c r="B1469" s="63">
        <v>42950</v>
      </c>
      <c r="C1469" s="62" t="s">
        <v>1231</v>
      </c>
      <c r="D1469" s="62" t="s">
        <v>1487</v>
      </c>
      <c r="E1469" s="62" t="s">
        <v>1479</v>
      </c>
      <c r="F1469" s="62">
        <v>1</v>
      </c>
      <c r="G1469" s="62" t="s">
        <v>91</v>
      </c>
      <c r="H1469" s="62">
        <v>1</v>
      </c>
      <c r="I1469" s="62" t="s">
        <v>91</v>
      </c>
      <c r="J1469" s="62" t="s">
        <v>1428</v>
      </c>
      <c r="K1469" s="62" t="s">
        <v>1461</v>
      </c>
      <c r="L1469" s="63"/>
      <c r="M1469" s="62" t="s">
        <v>92</v>
      </c>
      <c r="N1469" s="62">
        <v>85166081</v>
      </c>
      <c r="O1469" s="64">
        <v>3067227</v>
      </c>
      <c r="P1469" s="7"/>
      <c r="Q1469" s="16">
        <f>+IF(IFERROR(VLOOKUP(Tabla3[[#This Row],[Cliente factura]],Tabla4[[NIT]:[TOTAL CREDITO]],3,FALSE),0)="",0,IFERROR(VLOOKUP(Tabla3[[#This Row],[Cliente factura]],Tabla4[[NIT]:[TOTAL CREDITO]],3,FALSE),0))</f>
        <v>38000000</v>
      </c>
      <c r="R1469" s="9">
        <f>+IFERROR(VLOOKUP(Tabla3[[#This Row],[Cliente factura]],Tabla4[[NIT]:[TOTAL CREDITO]],6,FALSE),0)</f>
        <v>107000000</v>
      </c>
      <c r="S1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9" s="10" t="str">
        <f>VLOOKUP(Tabla3[[#This Row],[Razón social cliente factura]]&amp;Tabla3[[#This Row],[Desc. ciudad]],'Estandar de Rutas'!$C$1:$E$553,2,FALSE)</f>
        <v>10.2</v>
      </c>
      <c r="U1469" s="130">
        <f>IFERROR(VLOOKUP(Tabla3[[#This Row],[Referencia]]&amp;Tabla3[[#This Row],[Desc detalle ext 1]],Tabla1[[Referencia-Color]:[Disponibilidad]],3,FALSE),0)</f>
        <v>0</v>
      </c>
      <c r="V1469" s="13"/>
      <c r="W1469" s="17">
        <f>+Tabla3[[#This Row],[Cant. Programada]]*Tabla3[[#This Row],[Precio unit]]</f>
        <v>0</v>
      </c>
      <c r="X1469" s="8"/>
      <c r="Y1469" s="8"/>
      <c r="Z1469" s="8" t="str">
        <f>+Tabla3[[#This Row],[Referencia]]&amp;Tabla3[[#This Row],[Desc detalle ext 1]]</f>
        <v>DREAM  NEO                                        ROJO ALFA</v>
      </c>
      <c r="AA1469" s="128" t="e">
        <f>+VLOOKUP(Tabla3[[#This Row],[CODIGO2]],ESTANDAR!$B$3:$C$9,2,FALSE)</f>
        <v>#N/A</v>
      </c>
      <c r="AB1469" s="128" t="str">
        <f>+MID(Tabla3[[#This Row],['# Viaje]],10,1)</f>
        <v/>
      </c>
    </row>
    <row r="1470" spans="1:28" ht="15" hidden="1" customHeight="1">
      <c r="A1470" s="62" t="s">
        <v>1748</v>
      </c>
      <c r="B1470" s="63">
        <v>42950</v>
      </c>
      <c r="C1470" s="62" t="s">
        <v>1231</v>
      </c>
      <c r="D1470" s="62" t="s">
        <v>1487</v>
      </c>
      <c r="E1470" s="62" t="s">
        <v>1479</v>
      </c>
      <c r="F1470" s="62">
        <v>2</v>
      </c>
      <c r="G1470" s="62" t="s">
        <v>91</v>
      </c>
      <c r="H1470" s="62">
        <v>2</v>
      </c>
      <c r="I1470" s="62" t="s">
        <v>91</v>
      </c>
      <c r="J1470" s="62" t="s">
        <v>27</v>
      </c>
      <c r="K1470" s="62" t="s">
        <v>32</v>
      </c>
      <c r="L1470" s="63"/>
      <c r="M1470" s="62" t="s">
        <v>98</v>
      </c>
      <c r="N1470" s="62">
        <v>85166081</v>
      </c>
      <c r="O1470" s="64">
        <v>5789916</v>
      </c>
      <c r="P1470" s="7"/>
      <c r="Q1470" s="16">
        <f>+IF(IFERROR(VLOOKUP(Tabla3[[#This Row],[Cliente factura]],Tabla4[[NIT]:[TOTAL CREDITO]],3,FALSE),0)="",0,IFERROR(VLOOKUP(Tabla3[[#This Row],[Cliente factura]],Tabla4[[NIT]:[TOTAL CREDITO]],3,FALSE),0))</f>
        <v>38000000</v>
      </c>
      <c r="R1470" s="9">
        <f>+IFERROR(VLOOKUP(Tabla3[[#This Row],[Cliente factura]],Tabla4[[NIT]:[TOTAL CREDITO]],6,FALSE),0)</f>
        <v>107000000</v>
      </c>
      <c r="S1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0" s="10" t="str">
        <f>VLOOKUP(Tabla3[[#This Row],[Razón social cliente factura]]&amp;Tabla3[[#This Row],[Desc. ciudad]],'Estandar de Rutas'!$C$1:$E$553,2,FALSE)</f>
        <v>10.2</v>
      </c>
      <c r="U1470" s="130">
        <f>IFERROR(VLOOKUP(Tabla3[[#This Row],[Referencia]]&amp;Tabla3[[#This Row],[Desc detalle ext 1]],Tabla1[[Referencia-Color]:[Disponibilidad]],3,FALSE),0)</f>
        <v>7</v>
      </c>
      <c r="V1470" s="13"/>
      <c r="W1470" s="17">
        <f>+Tabla3[[#This Row],[Cant. Programada]]*Tabla3[[#This Row],[Precio unit]]</f>
        <v>0</v>
      </c>
      <c r="X1470" s="8"/>
      <c r="Y1470" s="8"/>
      <c r="Z1470" s="8" t="str">
        <f>+Tabla3[[#This Row],[Referencia]]&amp;Tabla3[[#This Row],[Desc detalle ext 1]]</f>
        <v>*XR 150L                                          NEGRO ROJ</v>
      </c>
      <c r="AA1470" s="128" t="e">
        <f>+VLOOKUP(Tabla3[[#This Row],[CODIGO2]],ESTANDAR!$B$3:$C$9,2,FALSE)</f>
        <v>#N/A</v>
      </c>
      <c r="AB1470" s="128" t="str">
        <f>+MID(Tabla3[[#This Row],['# Viaje]],10,1)</f>
        <v/>
      </c>
    </row>
    <row r="1471" spans="1:28" ht="15" hidden="1" customHeight="1">
      <c r="A1471" s="62" t="s">
        <v>1748</v>
      </c>
      <c r="B1471" s="63">
        <v>42950</v>
      </c>
      <c r="C1471" s="62" t="s">
        <v>1231</v>
      </c>
      <c r="D1471" s="62" t="s">
        <v>1487</v>
      </c>
      <c r="E1471" s="62" t="s">
        <v>1479</v>
      </c>
      <c r="F1471" s="62">
        <v>2</v>
      </c>
      <c r="G1471" s="62" t="s">
        <v>91</v>
      </c>
      <c r="H1471" s="62">
        <v>2</v>
      </c>
      <c r="I1471" s="62" t="s">
        <v>91</v>
      </c>
      <c r="J1471" s="62" t="s">
        <v>1428</v>
      </c>
      <c r="K1471" s="62" t="s">
        <v>1429</v>
      </c>
      <c r="L1471" s="63"/>
      <c r="M1471" s="62" t="s">
        <v>98</v>
      </c>
      <c r="N1471" s="62">
        <v>85166081</v>
      </c>
      <c r="O1471" s="64">
        <v>3067227</v>
      </c>
      <c r="P1471" s="7"/>
      <c r="Q1471" s="16">
        <f>+IF(IFERROR(VLOOKUP(Tabla3[[#This Row],[Cliente factura]],Tabla4[[NIT]:[TOTAL CREDITO]],3,FALSE),0)="",0,IFERROR(VLOOKUP(Tabla3[[#This Row],[Cliente factura]],Tabla4[[NIT]:[TOTAL CREDITO]],3,FALSE),0))</f>
        <v>38000000</v>
      </c>
      <c r="R1471" s="9">
        <f>+IFERROR(VLOOKUP(Tabla3[[#This Row],[Cliente factura]],Tabla4[[NIT]:[TOTAL CREDITO]],6,FALSE),0)</f>
        <v>107000000</v>
      </c>
      <c r="S1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1" s="10" t="str">
        <f>VLOOKUP(Tabla3[[#This Row],[Razón social cliente factura]]&amp;Tabla3[[#This Row],[Desc. ciudad]],'Estandar de Rutas'!$C$1:$E$553,2,FALSE)</f>
        <v>10.2</v>
      </c>
      <c r="U1471" s="130">
        <f>IFERROR(VLOOKUP(Tabla3[[#This Row],[Referencia]]&amp;Tabla3[[#This Row],[Desc detalle ext 1]],Tabla1[[Referencia-Color]:[Disponibilidad]],3,FALSE),0)</f>
        <v>0</v>
      </c>
      <c r="V1471" s="13"/>
      <c r="W1471" s="17">
        <f>+Tabla3[[#This Row],[Cant. Programada]]*Tabla3[[#This Row],[Precio unit]]</f>
        <v>0</v>
      </c>
      <c r="X1471" s="8"/>
      <c r="Y1471" s="8"/>
      <c r="Z1471" s="8" t="str">
        <f>+Tabla3[[#This Row],[Referencia]]&amp;Tabla3[[#This Row],[Desc detalle ext 1]]</f>
        <v>DREAM  NEO                                        NEGRO AZU</v>
      </c>
      <c r="AA1471" s="128" t="e">
        <f>+VLOOKUP(Tabla3[[#This Row],[CODIGO2]],ESTANDAR!$B$3:$C$9,2,FALSE)</f>
        <v>#N/A</v>
      </c>
      <c r="AB1471" s="128" t="str">
        <f>+MID(Tabla3[[#This Row],['# Viaje]],10,1)</f>
        <v/>
      </c>
    </row>
    <row r="1472" spans="1:28" ht="15" hidden="1" customHeight="1">
      <c r="A1472" s="62" t="s">
        <v>1749</v>
      </c>
      <c r="B1472" s="63">
        <v>42950</v>
      </c>
      <c r="C1472" s="62" t="s">
        <v>1231</v>
      </c>
      <c r="D1472" s="62" t="s">
        <v>1487</v>
      </c>
      <c r="E1472" s="62" t="s">
        <v>1232</v>
      </c>
      <c r="F1472" s="62">
        <v>1</v>
      </c>
      <c r="G1472" s="62" t="s">
        <v>178</v>
      </c>
      <c r="H1472" s="62">
        <v>1</v>
      </c>
      <c r="I1472" s="62" t="s">
        <v>178</v>
      </c>
      <c r="J1472" s="62" t="s">
        <v>1421</v>
      </c>
      <c r="K1472" s="62" t="s">
        <v>16</v>
      </c>
      <c r="L1472" s="63"/>
      <c r="M1472" s="62" t="s">
        <v>179</v>
      </c>
      <c r="N1472" s="62">
        <v>800191135</v>
      </c>
      <c r="O1472" s="64">
        <v>11496063</v>
      </c>
      <c r="P1472" s="7"/>
      <c r="Q14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2" s="9">
        <f>+IFERROR(VLOOKUP(Tabla3[[#This Row],[Cliente factura]],Tabla4[[NIT]:[TOTAL CREDITO]],6,FALSE),0)</f>
        <v>0</v>
      </c>
      <c r="S1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2" s="10" t="str">
        <f>VLOOKUP(Tabla3[[#This Row],[Razón social cliente factura]]&amp;Tabla3[[#This Row],[Desc. ciudad]],'Estandar de Rutas'!$C$1:$E$553,2,FALSE)</f>
        <v>11.2</v>
      </c>
      <c r="U1472" s="130">
        <f>IFERROR(VLOOKUP(Tabla3[[#This Row],[Referencia]]&amp;Tabla3[[#This Row],[Desc detalle ext 1]],Tabla1[[Referencia-Color]:[Disponibilidad]],3,FALSE),0)</f>
        <v>0</v>
      </c>
      <c r="V1472" s="13"/>
      <c r="W1472" s="17">
        <f>+Tabla3[[#This Row],[Cant. Programada]]*Tabla3[[#This Row],[Precio unit]]</f>
        <v>0</v>
      </c>
      <c r="X1472" s="8"/>
      <c r="Y1472" s="8"/>
      <c r="Z1472" s="8" t="str">
        <f>+Tabla3[[#This Row],[Referencia]]&amp;Tabla3[[#This Row],[Desc detalle ext 1]]</f>
        <v xml:space="preserve">*XR-250 TORNADO pt MD34                           NEGRO    </v>
      </c>
      <c r="AA1472" s="128" t="e">
        <f>+VLOOKUP(Tabla3[[#This Row],[CODIGO2]],ESTANDAR!$B$3:$C$9,2,FALSE)</f>
        <v>#N/A</v>
      </c>
      <c r="AB1472" s="128" t="str">
        <f>+MID(Tabla3[[#This Row],['# Viaje]],10,1)</f>
        <v/>
      </c>
    </row>
    <row r="1473" spans="1:28" ht="15" hidden="1" customHeight="1">
      <c r="A1473" s="62" t="s">
        <v>1749</v>
      </c>
      <c r="B1473" s="63">
        <v>42950</v>
      </c>
      <c r="C1473" s="62" t="s">
        <v>1231</v>
      </c>
      <c r="D1473" s="62" t="s">
        <v>1487</v>
      </c>
      <c r="E1473" s="62" t="s">
        <v>1232</v>
      </c>
      <c r="F1473" s="62">
        <v>7</v>
      </c>
      <c r="G1473" s="62" t="s">
        <v>178</v>
      </c>
      <c r="H1473" s="62">
        <v>7</v>
      </c>
      <c r="I1473" s="62" t="s">
        <v>178</v>
      </c>
      <c r="J1473" s="62" t="s">
        <v>14</v>
      </c>
      <c r="K1473" s="62" t="s">
        <v>16</v>
      </c>
      <c r="L1473" s="63"/>
      <c r="M1473" s="62" t="s">
        <v>179</v>
      </c>
      <c r="N1473" s="62">
        <v>800191135</v>
      </c>
      <c r="O1473" s="64">
        <v>3360504</v>
      </c>
      <c r="P1473" s="7"/>
      <c r="Q14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3" s="9">
        <f>+IFERROR(VLOOKUP(Tabla3[[#This Row],[Cliente factura]],Tabla4[[NIT]:[TOTAL CREDITO]],6,FALSE),0)</f>
        <v>0</v>
      </c>
      <c r="S1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3" s="10" t="str">
        <f>VLOOKUP(Tabla3[[#This Row],[Razón social cliente factura]]&amp;Tabla3[[#This Row],[Desc. ciudad]],'Estandar de Rutas'!$C$1:$E$553,2,FALSE)</f>
        <v>11.2</v>
      </c>
      <c r="U1473" s="130">
        <f>IFERROR(VLOOKUP(Tabla3[[#This Row],[Referencia]]&amp;Tabla3[[#This Row],[Desc detalle ext 1]],Tabla1[[Referencia-Color]:[Disponibilidad]],3,FALSE),0)</f>
        <v>83</v>
      </c>
      <c r="V1473" s="13"/>
      <c r="W1473" s="17">
        <f>+Tabla3[[#This Row],[Cant. Programada]]*Tabla3[[#This Row],[Precio unit]]</f>
        <v>0</v>
      </c>
      <c r="X1473" s="8"/>
      <c r="Y1473" s="8"/>
      <c r="Z1473" s="8" t="str">
        <f>+Tabla3[[#This Row],[Referencia]]&amp;Tabla3[[#This Row],[Desc detalle ext 1]]</f>
        <v xml:space="preserve">*CB-110                                           NEGRO    </v>
      </c>
      <c r="AA1473" s="128" t="e">
        <f>+VLOOKUP(Tabla3[[#This Row],[CODIGO2]],ESTANDAR!$B$3:$C$9,2,FALSE)</f>
        <v>#N/A</v>
      </c>
      <c r="AB1473" s="128" t="str">
        <f>+MID(Tabla3[[#This Row],['# Viaje]],10,1)</f>
        <v/>
      </c>
    </row>
    <row r="1474" spans="1:28" ht="15" hidden="1" customHeight="1">
      <c r="A1474" s="62" t="s">
        <v>1749</v>
      </c>
      <c r="B1474" s="63">
        <v>42950</v>
      </c>
      <c r="C1474" s="62" t="s">
        <v>1231</v>
      </c>
      <c r="D1474" s="62" t="s">
        <v>1487</v>
      </c>
      <c r="E1474" s="62" t="s">
        <v>1232</v>
      </c>
      <c r="F1474" s="62">
        <v>5</v>
      </c>
      <c r="G1474" s="62" t="s">
        <v>178</v>
      </c>
      <c r="H1474" s="62">
        <v>5</v>
      </c>
      <c r="I1474" s="62" t="s">
        <v>178</v>
      </c>
      <c r="J1474" s="62" t="s">
        <v>27</v>
      </c>
      <c r="K1474" s="62" t="s">
        <v>32</v>
      </c>
      <c r="L1474" s="63"/>
      <c r="M1474" s="62" t="s">
        <v>179</v>
      </c>
      <c r="N1474" s="62">
        <v>800191135</v>
      </c>
      <c r="O1474" s="64">
        <v>5789916</v>
      </c>
      <c r="P1474" s="7"/>
      <c r="Q14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4" s="9">
        <f>+IFERROR(VLOOKUP(Tabla3[[#This Row],[Cliente factura]],Tabla4[[NIT]:[TOTAL CREDITO]],6,FALSE),0)</f>
        <v>0</v>
      </c>
      <c r="S1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4" s="10" t="str">
        <f>VLOOKUP(Tabla3[[#This Row],[Razón social cliente factura]]&amp;Tabla3[[#This Row],[Desc. ciudad]],'Estandar de Rutas'!$C$1:$E$553,2,FALSE)</f>
        <v>11.2</v>
      </c>
      <c r="U1474" s="130">
        <f>IFERROR(VLOOKUP(Tabla3[[#This Row],[Referencia]]&amp;Tabla3[[#This Row],[Desc detalle ext 1]],Tabla1[[Referencia-Color]:[Disponibilidad]],3,FALSE),0)</f>
        <v>7</v>
      </c>
      <c r="V1474" s="13"/>
      <c r="W1474" s="17">
        <f>+Tabla3[[#This Row],[Cant. Programada]]*Tabla3[[#This Row],[Precio unit]]</f>
        <v>0</v>
      </c>
      <c r="X1474" s="8"/>
      <c r="Y1474" s="8"/>
      <c r="Z1474" s="8" t="str">
        <f>+Tabla3[[#This Row],[Referencia]]&amp;Tabla3[[#This Row],[Desc detalle ext 1]]</f>
        <v>*XR 150L                                          NEGRO ROJ</v>
      </c>
      <c r="AA1474" s="128" t="e">
        <f>+VLOOKUP(Tabla3[[#This Row],[CODIGO2]],ESTANDAR!$B$3:$C$9,2,FALSE)</f>
        <v>#N/A</v>
      </c>
      <c r="AB1474" s="128" t="str">
        <f>+MID(Tabla3[[#This Row],['# Viaje]],10,1)</f>
        <v/>
      </c>
    </row>
    <row r="1475" spans="1:28" ht="15" hidden="1" customHeight="1">
      <c r="A1475" s="62" t="s">
        <v>1749</v>
      </c>
      <c r="B1475" s="63">
        <v>42950</v>
      </c>
      <c r="C1475" s="62" t="s">
        <v>1231</v>
      </c>
      <c r="D1475" s="62" t="s">
        <v>1487</v>
      </c>
      <c r="E1475" s="62" t="s">
        <v>1232</v>
      </c>
      <c r="F1475" s="62">
        <v>15</v>
      </c>
      <c r="G1475" s="62" t="s">
        <v>178</v>
      </c>
      <c r="H1475" s="62">
        <v>15</v>
      </c>
      <c r="I1475" s="62" t="s">
        <v>178</v>
      </c>
      <c r="J1475" s="62" t="s">
        <v>27</v>
      </c>
      <c r="K1475" s="62" t="s">
        <v>26</v>
      </c>
      <c r="L1475" s="63"/>
      <c r="M1475" s="62" t="s">
        <v>179</v>
      </c>
      <c r="N1475" s="62">
        <v>800191135</v>
      </c>
      <c r="O1475" s="64">
        <v>5789916</v>
      </c>
      <c r="P1475" s="7"/>
      <c r="Q14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5" s="9">
        <f>+IFERROR(VLOOKUP(Tabla3[[#This Row],[Cliente factura]],Tabla4[[NIT]:[TOTAL CREDITO]],6,FALSE),0)</f>
        <v>0</v>
      </c>
      <c r="S1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5" s="10" t="str">
        <f>VLOOKUP(Tabla3[[#This Row],[Razón social cliente factura]]&amp;Tabla3[[#This Row],[Desc. ciudad]],'Estandar de Rutas'!$C$1:$E$553,2,FALSE)</f>
        <v>11.2</v>
      </c>
      <c r="U1475" s="130">
        <f>IFERROR(VLOOKUP(Tabla3[[#This Row],[Referencia]]&amp;Tabla3[[#This Row],[Desc detalle ext 1]],Tabla1[[Referencia-Color]:[Disponibilidad]],3,FALSE),0)</f>
        <v>59</v>
      </c>
      <c r="V1475" s="13"/>
      <c r="W1475" s="17">
        <f>+Tabla3[[#This Row],[Cant. Programada]]*Tabla3[[#This Row],[Precio unit]]</f>
        <v>0</v>
      </c>
      <c r="X1475" s="8"/>
      <c r="Y1475" s="8"/>
      <c r="Z1475" s="8" t="str">
        <f>+Tabla3[[#This Row],[Referencia]]&amp;Tabla3[[#This Row],[Desc detalle ext 1]]</f>
        <v>*XR 150L                                          NEGRO BLA</v>
      </c>
      <c r="AA1475" s="128" t="e">
        <f>+VLOOKUP(Tabla3[[#This Row],[CODIGO2]],ESTANDAR!$B$3:$C$9,2,FALSE)</f>
        <v>#N/A</v>
      </c>
      <c r="AB1475" s="128" t="str">
        <f>+MID(Tabla3[[#This Row],['# Viaje]],10,1)</f>
        <v/>
      </c>
    </row>
    <row r="1476" spans="1:28" ht="15" hidden="1" customHeight="1">
      <c r="A1476" s="62" t="s">
        <v>1749</v>
      </c>
      <c r="B1476" s="63">
        <v>42950</v>
      </c>
      <c r="C1476" s="62" t="s">
        <v>1231</v>
      </c>
      <c r="D1476" s="62" t="s">
        <v>1487</v>
      </c>
      <c r="E1476" s="62" t="s">
        <v>1232</v>
      </c>
      <c r="F1476" s="62">
        <v>10</v>
      </c>
      <c r="G1476" s="62" t="s">
        <v>178</v>
      </c>
      <c r="H1476" s="62">
        <v>10</v>
      </c>
      <c r="I1476" s="62" t="s">
        <v>178</v>
      </c>
      <c r="J1476" s="62" t="s">
        <v>27</v>
      </c>
      <c r="K1476" s="62" t="s">
        <v>16</v>
      </c>
      <c r="L1476" s="63"/>
      <c r="M1476" s="62" t="s">
        <v>179</v>
      </c>
      <c r="N1476" s="62">
        <v>800191135</v>
      </c>
      <c r="O1476" s="64">
        <v>5789916</v>
      </c>
      <c r="P1476" s="7"/>
      <c r="Q14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6" s="9">
        <f>+IFERROR(VLOOKUP(Tabla3[[#This Row],[Cliente factura]],Tabla4[[NIT]:[TOTAL CREDITO]],6,FALSE),0)</f>
        <v>0</v>
      </c>
      <c r="S1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6" s="10" t="str">
        <f>VLOOKUP(Tabla3[[#This Row],[Razón social cliente factura]]&amp;Tabla3[[#This Row],[Desc. ciudad]],'Estandar de Rutas'!$C$1:$E$553,2,FALSE)</f>
        <v>11.2</v>
      </c>
      <c r="U1476" s="130">
        <f>IFERROR(VLOOKUP(Tabla3[[#This Row],[Referencia]]&amp;Tabla3[[#This Row],[Desc detalle ext 1]],Tabla1[[Referencia-Color]:[Disponibilidad]],3,FALSE),0)</f>
        <v>3</v>
      </c>
      <c r="V1476" s="13"/>
      <c r="W1476" s="17">
        <f>+Tabla3[[#This Row],[Cant. Programada]]*Tabla3[[#This Row],[Precio unit]]</f>
        <v>0</v>
      </c>
      <c r="X1476" s="8"/>
      <c r="Y1476" s="8"/>
      <c r="Z1476" s="8" t="str">
        <f>+Tabla3[[#This Row],[Referencia]]&amp;Tabla3[[#This Row],[Desc detalle ext 1]]</f>
        <v xml:space="preserve">*XR 150L                                          NEGRO    </v>
      </c>
      <c r="AA1476" s="128" t="e">
        <f>+VLOOKUP(Tabla3[[#This Row],[CODIGO2]],ESTANDAR!$B$3:$C$9,2,FALSE)</f>
        <v>#N/A</v>
      </c>
      <c r="AB1476" s="128" t="str">
        <f>+MID(Tabla3[[#This Row],['# Viaje]],10,1)</f>
        <v/>
      </c>
    </row>
    <row r="1477" spans="1:28" ht="15" hidden="1" customHeight="1">
      <c r="A1477" s="62" t="s">
        <v>1749</v>
      </c>
      <c r="B1477" s="63">
        <v>42950</v>
      </c>
      <c r="C1477" s="62" t="s">
        <v>1231</v>
      </c>
      <c r="D1477" s="62" t="s">
        <v>1487</v>
      </c>
      <c r="E1477" s="62" t="s">
        <v>1232</v>
      </c>
      <c r="F1477" s="62">
        <v>2</v>
      </c>
      <c r="G1477" s="62" t="s">
        <v>178</v>
      </c>
      <c r="H1477" s="62">
        <v>2</v>
      </c>
      <c r="I1477" s="62" t="s">
        <v>178</v>
      </c>
      <c r="J1477" s="62" t="s">
        <v>10</v>
      </c>
      <c r="K1477" s="62" t="s">
        <v>13</v>
      </c>
      <c r="L1477" s="63"/>
      <c r="M1477" s="62" t="s">
        <v>179</v>
      </c>
      <c r="N1477" s="62">
        <v>800191135</v>
      </c>
      <c r="O1477" s="64">
        <v>7554622</v>
      </c>
      <c r="P1477" s="7"/>
      <c r="Q14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7" s="9">
        <f>+IFERROR(VLOOKUP(Tabla3[[#This Row],[Cliente factura]],Tabla4[[NIT]:[TOTAL CREDITO]],6,FALSE),0)</f>
        <v>0</v>
      </c>
      <c r="S1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7" s="10" t="str">
        <f>VLOOKUP(Tabla3[[#This Row],[Razón social cliente factura]]&amp;Tabla3[[#This Row],[Desc. ciudad]],'Estandar de Rutas'!$C$1:$E$553,2,FALSE)</f>
        <v>11.2</v>
      </c>
      <c r="U1477" s="130">
        <f>IFERROR(VLOOKUP(Tabla3[[#This Row],[Referencia]]&amp;Tabla3[[#This Row],[Desc detalle ext 1]],Tabla1[[Referencia-Color]:[Disponibilidad]],3,FALSE),0)</f>
        <v>75</v>
      </c>
      <c r="V1477" s="13"/>
      <c r="W1477" s="17">
        <f>+Tabla3[[#This Row],[Cant. Programada]]*Tabla3[[#This Row],[Precio unit]]</f>
        <v>0</v>
      </c>
      <c r="X1477" s="8"/>
      <c r="Y1477" s="8"/>
      <c r="Z1477" s="8" t="str">
        <f>+Tabla3[[#This Row],[Referencia]]&amp;Tabla3[[#This Row],[Desc detalle ext 1]]</f>
        <v>CB 190R                                           ROJO NEGR</v>
      </c>
      <c r="AA1477" s="128" t="e">
        <f>+VLOOKUP(Tabla3[[#This Row],[CODIGO2]],ESTANDAR!$B$3:$C$9,2,FALSE)</f>
        <v>#N/A</v>
      </c>
      <c r="AB1477" s="128" t="str">
        <f>+MID(Tabla3[[#This Row],['# Viaje]],10,1)</f>
        <v/>
      </c>
    </row>
    <row r="1478" spans="1:28" ht="15" hidden="1" customHeight="1">
      <c r="A1478" s="62" t="s">
        <v>1749</v>
      </c>
      <c r="B1478" s="63">
        <v>42950</v>
      </c>
      <c r="C1478" s="62" t="s">
        <v>1231</v>
      </c>
      <c r="D1478" s="62" t="s">
        <v>1487</v>
      </c>
      <c r="E1478" s="62" t="s">
        <v>1232</v>
      </c>
      <c r="F1478" s="62">
        <v>2</v>
      </c>
      <c r="G1478" s="62" t="s">
        <v>178</v>
      </c>
      <c r="H1478" s="62">
        <v>2</v>
      </c>
      <c r="I1478" s="62" t="s">
        <v>178</v>
      </c>
      <c r="J1478" s="62" t="s">
        <v>10</v>
      </c>
      <c r="K1478" s="62" t="s">
        <v>11</v>
      </c>
      <c r="L1478" s="63"/>
      <c r="M1478" s="62" t="s">
        <v>179</v>
      </c>
      <c r="N1478" s="62">
        <v>800191135</v>
      </c>
      <c r="O1478" s="64">
        <v>7554622</v>
      </c>
      <c r="P1478" s="7"/>
      <c r="Q14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8" s="9">
        <f>+IFERROR(VLOOKUP(Tabla3[[#This Row],[Cliente factura]],Tabla4[[NIT]:[TOTAL CREDITO]],6,FALSE),0)</f>
        <v>0</v>
      </c>
      <c r="S1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8" s="10" t="str">
        <f>VLOOKUP(Tabla3[[#This Row],[Razón social cliente factura]]&amp;Tabla3[[#This Row],[Desc. ciudad]],'Estandar de Rutas'!$C$1:$E$553,2,FALSE)</f>
        <v>11.2</v>
      </c>
      <c r="U1478" s="130">
        <f>IFERROR(VLOOKUP(Tabla3[[#This Row],[Referencia]]&amp;Tabla3[[#This Row],[Desc detalle ext 1]],Tabla1[[Referencia-Color]:[Disponibilidad]],3,FALSE),0)</f>
        <v>0</v>
      </c>
      <c r="V1478" s="13"/>
      <c r="W1478" s="17">
        <f>+Tabla3[[#This Row],[Cant. Programada]]*Tabla3[[#This Row],[Precio unit]]</f>
        <v>0</v>
      </c>
      <c r="X1478" s="8"/>
      <c r="Y1478" s="8"/>
      <c r="Z1478" s="8" t="str">
        <f>+Tabla3[[#This Row],[Referencia]]&amp;Tabla3[[#This Row],[Desc detalle ext 1]]</f>
        <v>CB 190R                                           NEGRO ONI</v>
      </c>
      <c r="AA1478" s="128" t="e">
        <f>+VLOOKUP(Tabla3[[#This Row],[CODIGO2]],ESTANDAR!$B$3:$C$9,2,FALSE)</f>
        <v>#N/A</v>
      </c>
      <c r="AB1478" s="128" t="str">
        <f>+MID(Tabla3[[#This Row],['# Viaje]],10,1)</f>
        <v/>
      </c>
    </row>
    <row r="1479" spans="1:28" ht="15" hidden="1" customHeight="1">
      <c r="A1479" s="62" t="s">
        <v>1749</v>
      </c>
      <c r="B1479" s="63">
        <v>42950</v>
      </c>
      <c r="C1479" s="62" t="s">
        <v>1231</v>
      </c>
      <c r="D1479" s="62" t="s">
        <v>1487</v>
      </c>
      <c r="E1479" s="62" t="s">
        <v>1232</v>
      </c>
      <c r="F1479" s="62">
        <v>2</v>
      </c>
      <c r="G1479" s="62" t="s">
        <v>178</v>
      </c>
      <c r="H1479" s="62">
        <v>2</v>
      </c>
      <c r="I1479" s="62" t="s">
        <v>178</v>
      </c>
      <c r="J1479" s="62" t="s">
        <v>25</v>
      </c>
      <c r="K1479" s="62" t="s">
        <v>31</v>
      </c>
      <c r="L1479" s="63"/>
      <c r="M1479" s="62" t="s">
        <v>179</v>
      </c>
      <c r="N1479" s="62">
        <v>800191135</v>
      </c>
      <c r="O1479" s="64">
        <v>3521008</v>
      </c>
      <c r="P1479" s="7"/>
      <c r="Q14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9" s="9">
        <f>+IFERROR(VLOOKUP(Tabla3[[#This Row],[Cliente factura]],Tabla4[[NIT]:[TOTAL CREDITO]],6,FALSE),0)</f>
        <v>0</v>
      </c>
      <c r="S1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9" s="10" t="str">
        <f>VLOOKUP(Tabla3[[#This Row],[Razón social cliente factura]]&amp;Tabla3[[#This Row],[Desc. ciudad]],'Estandar de Rutas'!$C$1:$E$553,2,FALSE)</f>
        <v>11.2</v>
      </c>
      <c r="U1479" s="130">
        <f>IFERROR(VLOOKUP(Tabla3[[#This Row],[Referencia]]&amp;Tabla3[[#This Row],[Desc detalle ext 1]],Tabla1[[Referencia-Color]:[Disponibilidad]],3,FALSE),0)</f>
        <v>8</v>
      </c>
      <c r="V1479" s="13"/>
      <c r="W1479" s="17">
        <f>+Tabla3[[#This Row],[Cant. Programada]]*Tabla3[[#This Row],[Precio unit]]</f>
        <v>0</v>
      </c>
      <c r="X1479" s="8"/>
      <c r="Y1479" s="8"/>
      <c r="Z1479" s="8" t="str">
        <f>+Tabla3[[#This Row],[Referencia]]&amp;Tabla3[[#This Row],[Desc detalle ext 1]]</f>
        <v>DIO 110                                           AZUL BLAN</v>
      </c>
      <c r="AA1479" s="128" t="e">
        <f>+VLOOKUP(Tabla3[[#This Row],[CODIGO2]],ESTANDAR!$B$3:$C$9,2,FALSE)</f>
        <v>#N/A</v>
      </c>
      <c r="AB1479" s="128" t="str">
        <f>+MID(Tabla3[[#This Row],['# Viaje]],10,1)</f>
        <v/>
      </c>
    </row>
    <row r="1480" spans="1:28" ht="15" hidden="1" customHeight="1">
      <c r="A1480" s="62" t="s">
        <v>1749</v>
      </c>
      <c r="B1480" s="63">
        <v>42950</v>
      </c>
      <c r="C1480" s="62" t="s">
        <v>1231</v>
      </c>
      <c r="D1480" s="62" t="s">
        <v>1487</v>
      </c>
      <c r="E1480" s="62" t="s">
        <v>1232</v>
      </c>
      <c r="F1480" s="62">
        <v>1</v>
      </c>
      <c r="G1480" s="62" t="s">
        <v>178</v>
      </c>
      <c r="H1480" s="62">
        <v>1</v>
      </c>
      <c r="I1480" s="62" t="s">
        <v>178</v>
      </c>
      <c r="J1480" s="62" t="s">
        <v>25</v>
      </c>
      <c r="K1480" s="62" t="s">
        <v>1422</v>
      </c>
      <c r="L1480" s="63"/>
      <c r="M1480" s="62" t="s">
        <v>179</v>
      </c>
      <c r="N1480" s="62">
        <v>800191135</v>
      </c>
      <c r="O1480" s="64">
        <v>3521008</v>
      </c>
      <c r="P1480" s="7"/>
      <c r="Q14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0" s="9">
        <f>+IFERROR(VLOOKUP(Tabla3[[#This Row],[Cliente factura]],Tabla4[[NIT]:[TOTAL CREDITO]],6,FALSE),0)</f>
        <v>0</v>
      </c>
      <c r="S1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0" s="10" t="str">
        <f>VLOOKUP(Tabla3[[#This Row],[Razón social cliente factura]]&amp;Tabla3[[#This Row],[Desc. ciudad]],'Estandar de Rutas'!$C$1:$E$553,2,FALSE)</f>
        <v>11.2</v>
      </c>
      <c r="U1480" s="130">
        <f>IFERROR(VLOOKUP(Tabla3[[#This Row],[Referencia]]&amp;Tabla3[[#This Row],[Desc detalle ext 1]],Tabla1[[Referencia-Color]:[Disponibilidad]],3,FALSE),0)</f>
        <v>3</v>
      </c>
      <c r="V1480" s="13"/>
      <c r="W1480" s="17">
        <f>+Tabla3[[#This Row],[Cant. Programada]]*Tabla3[[#This Row],[Precio unit]]</f>
        <v>0</v>
      </c>
      <c r="X1480" s="8"/>
      <c r="Y1480" s="8"/>
      <c r="Z1480" s="8" t="str">
        <f>+Tabla3[[#This Row],[Referencia]]&amp;Tabla3[[#This Row],[Desc detalle ext 1]]</f>
        <v>DIO 110                                           ROJO BLAN</v>
      </c>
      <c r="AA1480" s="128" t="e">
        <f>+VLOOKUP(Tabla3[[#This Row],[CODIGO2]],ESTANDAR!$B$3:$C$9,2,FALSE)</f>
        <v>#N/A</v>
      </c>
      <c r="AB1480" s="128" t="str">
        <f>+MID(Tabla3[[#This Row],['# Viaje]],10,1)</f>
        <v/>
      </c>
    </row>
    <row r="1481" spans="1:28" ht="15" hidden="1" customHeight="1">
      <c r="A1481" s="62" t="s">
        <v>1749</v>
      </c>
      <c r="B1481" s="63">
        <v>42950</v>
      </c>
      <c r="C1481" s="62" t="s">
        <v>1231</v>
      </c>
      <c r="D1481" s="62" t="s">
        <v>1487</v>
      </c>
      <c r="E1481" s="62" t="s">
        <v>1232</v>
      </c>
      <c r="F1481" s="62">
        <v>1</v>
      </c>
      <c r="G1481" s="62" t="s">
        <v>178</v>
      </c>
      <c r="H1481" s="62">
        <v>1</v>
      </c>
      <c r="I1481" s="62" t="s">
        <v>178</v>
      </c>
      <c r="J1481" s="62" t="s">
        <v>1425</v>
      </c>
      <c r="K1481" s="62" t="s">
        <v>1426</v>
      </c>
      <c r="L1481" s="63"/>
      <c r="M1481" s="62" t="s">
        <v>179</v>
      </c>
      <c r="N1481" s="62">
        <v>800191135</v>
      </c>
      <c r="O1481" s="64">
        <v>7730252</v>
      </c>
      <c r="P1481" s="7"/>
      <c r="Q14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1" s="9">
        <f>+IFERROR(VLOOKUP(Tabla3[[#This Row],[Cliente factura]],Tabla4[[NIT]:[TOTAL CREDITO]],6,FALSE),0)</f>
        <v>0</v>
      </c>
      <c r="S1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1" s="10" t="str">
        <f>VLOOKUP(Tabla3[[#This Row],[Razón social cliente factura]]&amp;Tabla3[[#This Row],[Desc. ciudad]],'Estandar de Rutas'!$C$1:$E$553,2,FALSE)</f>
        <v>11.2</v>
      </c>
      <c r="U1481" s="130">
        <f>IFERROR(VLOOKUP(Tabla3[[#This Row],[Referencia]]&amp;Tabla3[[#This Row],[Desc detalle ext 1]],Tabla1[[Referencia-Color]:[Disponibilidad]],3,FALSE),0)</f>
        <v>104</v>
      </c>
      <c r="V1481" s="13"/>
      <c r="W1481" s="17">
        <f>+Tabla3[[#This Row],[Cant. Programada]]*Tabla3[[#This Row],[Precio unit]]</f>
        <v>0</v>
      </c>
      <c r="X1481" s="8"/>
      <c r="Y1481" s="8"/>
      <c r="Z1481" s="8" t="str">
        <f>+Tabla3[[#This Row],[Referencia]]&amp;Tabla3[[#This Row],[Desc detalle ext 1]]</f>
        <v>CB 190 REPSOL                                     NARANJA B</v>
      </c>
      <c r="AA1481" s="128" t="e">
        <f>+VLOOKUP(Tabla3[[#This Row],[CODIGO2]],ESTANDAR!$B$3:$C$9,2,FALSE)</f>
        <v>#N/A</v>
      </c>
      <c r="AB1481" s="128" t="str">
        <f>+MID(Tabla3[[#This Row],['# Viaje]],10,1)</f>
        <v/>
      </c>
    </row>
    <row r="1482" spans="1:28" ht="15" hidden="1" customHeight="1">
      <c r="A1482" s="65" t="s">
        <v>1749</v>
      </c>
      <c r="B1482" s="66">
        <v>42950</v>
      </c>
      <c r="C1482" s="65" t="s">
        <v>1231</v>
      </c>
      <c r="D1482" s="65" t="s">
        <v>1487</v>
      </c>
      <c r="E1482" s="65" t="s">
        <v>1232</v>
      </c>
      <c r="F1482" s="65">
        <v>1</v>
      </c>
      <c r="G1482" s="65" t="s">
        <v>178</v>
      </c>
      <c r="H1482" s="65">
        <v>1</v>
      </c>
      <c r="I1482" s="65" t="s">
        <v>178</v>
      </c>
      <c r="J1482" s="65" t="s">
        <v>354</v>
      </c>
      <c r="K1482" s="65" t="s">
        <v>474</v>
      </c>
      <c r="L1482" s="66"/>
      <c r="M1482" s="65" t="s">
        <v>179</v>
      </c>
      <c r="N1482" s="65">
        <v>800191135</v>
      </c>
      <c r="O1482" s="67">
        <v>6133613</v>
      </c>
      <c r="P1482" s="7"/>
      <c r="Q14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2" s="9">
        <f>+IFERROR(VLOOKUP(Tabla3[[#This Row],[Cliente factura]],Tabla4[[NIT]:[TOTAL CREDITO]],6,FALSE),0)</f>
        <v>0</v>
      </c>
      <c r="S1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2" s="10" t="str">
        <f>VLOOKUP(Tabla3[[#This Row],[Razón social cliente factura]]&amp;Tabla3[[#This Row],[Desc. ciudad]],'Estandar de Rutas'!$C$1:$E$553,2,FALSE)</f>
        <v>11.2</v>
      </c>
      <c r="U1482" s="130">
        <f>IFERROR(VLOOKUP(Tabla3[[#This Row],[Referencia]]&amp;Tabla3[[#This Row],[Desc detalle ext 1]],Tabla1[[Referencia-Color]:[Disponibilidad]],3,FALSE),0)</f>
        <v>3</v>
      </c>
      <c r="V1482" s="13"/>
      <c r="W1482" s="17">
        <f>+Tabla3[[#This Row],[Cant. Programada]]*Tabla3[[#This Row],[Precio unit]]</f>
        <v>0</v>
      </c>
      <c r="X1482" s="8"/>
      <c r="Y1482" s="8"/>
      <c r="Z1482" s="8" t="str">
        <f>+Tabla3[[#This Row],[Referencia]]&amp;Tabla3[[#This Row],[Desc detalle ext 1]]</f>
        <v>CB 160F DLX                                       NARANJA N</v>
      </c>
      <c r="AA1482" s="128" t="e">
        <f>+VLOOKUP(Tabla3[[#This Row],[CODIGO2]],ESTANDAR!$B$3:$C$9,2,FALSE)</f>
        <v>#N/A</v>
      </c>
      <c r="AB1482" s="128" t="str">
        <f>+MID(Tabla3[[#This Row],['# Viaje]],10,1)</f>
        <v/>
      </c>
    </row>
    <row r="1483" spans="1:28" ht="15" hidden="1" customHeight="1">
      <c r="A1483" s="65" t="s">
        <v>1749</v>
      </c>
      <c r="B1483" s="66">
        <v>42950</v>
      </c>
      <c r="C1483" s="65" t="s">
        <v>1231</v>
      </c>
      <c r="D1483" s="65" t="s">
        <v>1487</v>
      </c>
      <c r="E1483" s="65" t="s">
        <v>1232</v>
      </c>
      <c r="F1483" s="65">
        <v>2</v>
      </c>
      <c r="G1483" s="65" t="s">
        <v>178</v>
      </c>
      <c r="H1483" s="65">
        <v>2</v>
      </c>
      <c r="I1483" s="65" t="s">
        <v>178</v>
      </c>
      <c r="J1483" s="65" t="s">
        <v>354</v>
      </c>
      <c r="K1483" s="65" t="s">
        <v>355</v>
      </c>
      <c r="L1483" s="66"/>
      <c r="M1483" s="65" t="s">
        <v>179</v>
      </c>
      <c r="N1483" s="65">
        <v>800191135</v>
      </c>
      <c r="O1483" s="67">
        <v>6133613</v>
      </c>
      <c r="P1483" s="7"/>
      <c r="Q14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3" s="9">
        <f>+IFERROR(VLOOKUP(Tabla3[[#This Row],[Cliente factura]],Tabla4[[NIT]:[TOTAL CREDITO]],6,FALSE),0)</f>
        <v>0</v>
      </c>
      <c r="S1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3" s="10" t="str">
        <f>VLOOKUP(Tabla3[[#This Row],[Razón social cliente factura]]&amp;Tabla3[[#This Row],[Desc. ciudad]],'Estandar de Rutas'!$C$1:$E$553,2,FALSE)</f>
        <v>11.2</v>
      </c>
      <c r="U1483" s="130">
        <f>IFERROR(VLOOKUP(Tabla3[[#This Row],[Referencia]]&amp;Tabla3[[#This Row],[Desc detalle ext 1]],Tabla1[[Referencia-Color]:[Disponibilidad]],3,FALSE),0)</f>
        <v>0</v>
      </c>
      <c r="V1483" s="13"/>
      <c r="W1483" s="17">
        <f>+Tabla3[[#This Row],[Cant. Programada]]*Tabla3[[#This Row],[Precio unit]]</f>
        <v>0</v>
      </c>
      <c r="X1483" s="8"/>
      <c r="Y1483" s="8"/>
      <c r="Z1483" s="8" t="str">
        <f>+Tabla3[[#This Row],[Referencia]]&amp;Tabla3[[#This Row],[Desc detalle ext 1]]</f>
        <v>CB 160F DLX                                       NEGRO PER</v>
      </c>
      <c r="AA1483" s="128" t="e">
        <f>+VLOOKUP(Tabla3[[#This Row],[CODIGO2]],ESTANDAR!$B$3:$C$9,2,FALSE)</f>
        <v>#N/A</v>
      </c>
      <c r="AB1483" s="128" t="str">
        <f>+MID(Tabla3[[#This Row],['# Viaje]],10,1)</f>
        <v/>
      </c>
    </row>
    <row r="1484" spans="1:28" ht="15" hidden="1" customHeight="1">
      <c r="A1484" s="65" t="s">
        <v>1749</v>
      </c>
      <c r="B1484" s="66">
        <v>42950</v>
      </c>
      <c r="C1484" s="65" t="s">
        <v>1231</v>
      </c>
      <c r="D1484" s="65" t="s">
        <v>1487</v>
      </c>
      <c r="E1484" s="65" t="s">
        <v>1232</v>
      </c>
      <c r="F1484" s="65">
        <v>3</v>
      </c>
      <c r="G1484" s="65" t="s">
        <v>178</v>
      </c>
      <c r="H1484" s="65">
        <v>3</v>
      </c>
      <c r="I1484" s="65" t="s">
        <v>178</v>
      </c>
      <c r="J1484" s="65" t="s">
        <v>354</v>
      </c>
      <c r="K1484" s="65" t="s">
        <v>17</v>
      </c>
      <c r="L1484" s="66"/>
      <c r="M1484" s="65" t="s">
        <v>179</v>
      </c>
      <c r="N1484" s="65">
        <v>800191135</v>
      </c>
      <c r="O1484" s="67">
        <v>6133613</v>
      </c>
      <c r="P1484" s="7"/>
      <c r="Q14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4" s="9">
        <f>+IFERROR(VLOOKUP(Tabla3[[#This Row],[Cliente factura]],Tabla4[[NIT]:[TOTAL CREDITO]],6,FALSE),0)</f>
        <v>0</v>
      </c>
      <c r="S1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4" s="10" t="str">
        <f>VLOOKUP(Tabla3[[#This Row],[Razón social cliente factura]]&amp;Tabla3[[#This Row],[Desc. ciudad]],'Estandar de Rutas'!$C$1:$E$553,2,FALSE)</f>
        <v>11.2</v>
      </c>
      <c r="U1484" s="130">
        <f>IFERROR(VLOOKUP(Tabla3[[#This Row],[Referencia]]&amp;Tabla3[[#This Row],[Desc detalle ext 1]],Tabla1[[Referencia-Color]:[Disponibilidad]],3,FALSE),0)</f>
        <v>48</v>
      </c>
      <c r="V1484" s="13"/>
      <c r="W1484" s="17">
        <f>+Tabla3[[#This Row],[Cant. Programada]]*Tabla3[[#This Row],[Precio unit]]</f>
        <v>0</v>
      </c>
      <c r="X1484" s="8"/>
      <c r="Y1484" s="8"/>
      <c r="Z1484" s="8" t="str">
        <f>+Tabla3[[#This Row],[Referencia]]&amp;Tabla3[[#This Row],[Desc detalle ext 1]]</f>
        <v>CB 160F DLX                                       ROJO SPOR</v>
      </c>
      <c r="AA1484" s="128" t="e">
        <f>+VLOOKUP(Tabla3[[#This Row],[CODIGO2]],ESTANDAR!$B$3:$C$9,2,FALSE)</f>
        <v>#N/A</v>
      </c>
      <c r="AB1484" s="128" t="str">
        <f>+MID(Tabla3[[#This Row],['# Viaje]],10,1)</f>
        <v/>
      </c>
    </row>
    <row r="1485" spans="1:28" ht="15" hidden="1" customHeight="1">
      <c r="A1485" s="65" t="s">
        <v>1749</v>
      </c>
      <c r="B1485" s="66">
        <v>42950</v>
      </c>
      <c r="C1485" s="65" t="s">
        <v>1231</v>
      </c>
      <c r="D1485" s="65" t="s">
        <v>1487</v>
      </c>
      <c r="E1485" s="65" t="s">
        <v>1232</v>
      </c>
      <c r="F1485" s="65">
        <v>2</v>
      </c>
      <c r="G1485" s="65" t="s">
        <v>178</v>
      </c>
      <c r="H1485" s="65">
        <v>2</v>
      </c>
      <c r="I1485" s="65" t="s">
        <v>178</v>
      </c>
      <c r="J1485" s="65" t="s">
        <v>1428</v>
      </c>
      <c r="K1485" s="65" t="s">
        <v>1461</v>
      </c>
      <c r="L1485" s="66"/>
      <c r="M1485" s="65" t="s">
        <v>179</v>
      </c>
      <c r="N1485" s="65">
        <v>800191135</v>
      </c>
      <c r="O1485" s="67">
        <v>3067227</v>
      </c>
      <c r="P1485" s="7"/>
      <c r="Q14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5" s="9">
        <f>+IFERROR(VLOOKUP(Tabla3[[#This Row],[Cliente factura]],Tabla4[[NIT]:[TOTAL CREDITO]],6,FALSE),0)</f>
        <v>0</v>
      </c>
      <c r="S1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5" s="10" t="str">
        <f>VLOOKUP(Tabla3[[#This Row],[Razón social cliente factura]]&amp;Tabla3[[#This Row],[Desc. ciudad]],'Estandar de Rutas'!$C$1:$E$553,2,FALSE)</f>
        <v>11.2</v>
      </c>
      <c r="U1485" s="130">
        <f>IFERROR(VLOOKUP(Tabla3[[#This Row],[Referencia]]&amp;Tabla3[[#This Row],[Desc detalle ext 1]],Tabla1[[Referencia-Color]:[Disponibilidad]],3,FALSE),0)</f>
        <v>0</v>
      </c>
      <c r="V1485" s="13"/>
      <c r="W1485" s="17">
        <f>+Tabla3[[#This Row],[Cant. Programada]]*Tabla3[[#This Row],[Precio unit]]</f>
        <v>0</v>
      </c>
      <c r="X1485" s="8"/>
      <c r="Y1485" s="8"/>
      <c r="Z1485" s="8" t="str">
        <f>+Tabla3[[#This Row],[Referencia]]&amp;Tabla3[[#This Row],[Desc detalle ext 1]]</f>
        <v>DREAM  NEO                                        ROJO ALFA</v>
      </c>
      <c r="AA1485" s="128" t="e">
        <f>+VLOOKUP(Tabla3[[#This Row],[CODIGO2]],ESTANDAR!$B$3:$C$9,2,FALSE)</f>
        <v>#N/A</v>
      </c>
      <c r="AB1485" s="128" t="str">
        <f>+MID(Tabla3[[#This Row],['# Viaje]],10,1)</f>
        <v/>
      </c>
    </row>
    <row r="1486" spans="1:28" ht="15" hidden="1" customHeight="1">
      <c r="A1486" s="65" t="s">
        <v>1749</v>
      </c>
      <c r="B1486" s="66">
        <v>42950</v>
      </c>
      <c r="C1486" s="65" t="s">
        <v>1231</v>
      </c>
      <c r="D1486" s="65" t="s">
        <v>1487</v>
      </c>
      <c r="E1486" s="65" t="s">
        <v>1232</v>
      </c>
      <c r="F1486" s="65">
        <v>8</v>
      </c>
      <c r="G1486" s="65" t="s">
        <v>178</v>
      </c>
      <c r="H1486" s="65">
        <v>8</v>
      </c>
      <c r="I1486" s="65" t="s">
        <v>178</v>
      </c>
      <c r="J1486" s="65" t="s">
        <v>1428</v>
      </c>
      <c r="K1486" s="65" t="s">
        <v>1429</v>
      </c>
      <c r="L1486" s="66"/>
      <c r="M1486" s="65" t="s">
        <v>179</v>
      </c>
      <c r="N1486" s="65">
        <v>800191135</v>
      </c>
      <c r="O1486" s="67">
        <v>3067227</v>
      </c>
      <c r="P1486" s="7"/>
      <c r="Q14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6" s="9">
        <f>+IFERROR(VLOOKUP(Tabla3[[#This Row],[Cliente factura]],Tabla4[[NIT]:[TOTAL CREDITO]],6,FALSE),0)</f>
        <v>0</v>
      </c>
      <c r="S1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6" s="10" t="str">
        <f>VLOOKUP(Tabla3[[#This Row],[Razón social cliente factura]]&amp;Tabla3[[#This Row],[Desc. ciudad]],'Estandar de Rutas'!$C$1:$E$553,2,FALSE)</f>
        <v>11.2</v>
      </c>
      <c r="U1486" s="130">
        <f>IFERROR(VLOOKUP(Tabla3[[#This Row],[Referencia]]&amp;Tabla3[[#This Row],[Desc detalle ext 1]],Tabla1[[Referencia-Color]:[Disponibilidad]],3,FALSE),0)</f>
        <v>0</v>
      </c>
      <c r="V1486" s="13"/>
      <c r="W1486" s="17">
        <f>+Tabla3[[#This Row],[Cant. Programada]]*Tabla3[[#This Row],[Precio unit]]</f>
        <v>0</v>
      </c>
      <c r="X1486" s="8"/>
      <c r="Y1486" s="8"/>
      <c r="Z1486" s="8" t="str">
        <f>+Tabla3[[#This Row],[Referencia]]&amp;Tabla3[[#This Row],[Desc detalle ext 1]]</f>
        <v>DREAM  NEO                                        NEGRO AZU</v>
      </c>
      <c r="AA1486" s="128" t="e">
        <f>+VLOOKUP(Tabla3[[#This Row],[CODIGO2]],ESTANDAR!$B$3:$C$9,2,FALSE)</f>
        <v>#N/A</v>
      </c>
      <c r="AB1486" s="128" t="str">
        <f>+MID(Tabla3[[#This Row],['# Viaje]],10,1)</f>
        <v/>
      </c>
    </row>
    <row r="1487" spans="1:28" ht="15" hidden="1" customHeight="1">
      <c r="A1487" s="65" t="s">
        <v>1749</v>
      </c>
      <c r="B1487" s="66">
        <v>42950</v>
      </c>
      <c r="C1487" s="65" t="s">
        <v>1231</v>
      </c>
      <c r="D1487" s="65" t="s">
        <v>1487</v>
      </c>
      <c r="E1487" s="65" t="s">
        <v>1232</v>
      </c>
      <c r="F1487" s="65">
        <v>2</v>
      </c>
      <c r="G1487" s="65" t="s">
        <v>178</v>
      </c>
      <c r="H1487" s="65">
        <v>2</v>
      </c>
      <c r="I1487" s="65" t="s">
        <v>178</v>
      </c>
      <c r="J1487" s="65" t="s">
        <v>1430</v>
      </c>
      <c r="K1487" s="65" t="s">
        <v>1431</v>
      </c>
      <c r="L1487" s="66"/>
      <c r="M1487" s="65" t="s">
        <v>179</v>
      </c>
      <c r="N1487" s="65">
        <v>800191135</v>
      </c>
      <c r="O1487" s="67">
        <v>3941176</v>
      </c>
      <c r="P1487" s="7"/>
      <c r="Q14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7" s="9">
        <f>+IFERROR(VLOOKUP(Tabla3[[#This Row],[Cliente factura]],Tabla4[[NIT]:[TOTAL CREDITO]],6,FALSE),0)</f>
        <v>0</v>
      </c>
      <c r="S1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7" s="10" t="str">
        <f>VLOOKUP(Tabla3[[#This Row],[Razón social cliente factura]]&amp;Tabla3[[#This Row],[Desc. ciudad]],'Estandar de Rutas'!$C$1:$E$553,2,FALSE)</f>
        <v>11.2</v>
      </c>
      <c r="U1487" s="130">
        <f>IFERROR(VLOOKUP(Tabla3[[#This Row],[Referencia]]&amp;Tabla3[[#This Row],[Desc detalle ext 1]],Tabla1[[Referencia-Color]:[Disponibilidad]],3,FALSE),0)</f>
        <v>0</v>
      </c>
      <c r="V1487" s="13"/>
      <c r="W1487" s="17">
        <f>+Tabla3[[#This Row],[Cant. Programada]]*Tabla3[[#This Row],[Precio unit]]</f>
        <v>0</v>
      </c>
      <c r="X1487" s="8"/>
      <c r="Y1487" s="8"/>
      <c r="Z1487" s="8" t="str">
        <f>+Tabla3[[#This Row],[Referencia]]&amp;Tabla3[[#This Row],[Desc detalle ext 1]]</f>
        <v xml:space="preserve">WAVE 110S                                         ROJO     </v>
      </c>
      <c r="AA1487" s="128" t="e">
        <f>+VLOOKUP(Tabla3[[#This Row],[CODIGO2]],ESTANDAR!$B$3:$C$9,2,FALSE)</f>
        <v>#N/A</v>
      </c>
      <c r="AB1487" s="128" t="str">
        <f>+MID(Tabla3[[#This Row],['# Viaje]],10,1)</f>
        <v/>
      </c>
    </row>
    <row r="1488" spans="1:28" ht="15" hidden="1" customHeight="1">
      <c r="A1488" s="65" t="s">
        <v>1749</v>
      </c>
      <c r="B1488" s="66">
        <v>42950</v>
      </c>
      <c r="C1488" s="65" t="s">
        <v>1231</v>
      </c>
      <c r="D1488" s="65" t="s">
        <v>1487</v>
      </c>
      <c r="E1488" s="65" t="s">
        <v>1232</v>
      </c>
      <c r="F1488" s="65">
        <v>1</v>
      </c>
      <c r="G1488" s="65" t="s">
        <v>178</v>
      </c>
      <c r="H1488" s="65">
        <v>1</v>
      </c>
      <c r="I1488" s="65" t="s">
        <v>178</v>
      </c>
      <c r="J1488" s="65" t="s">
        <v>1430</v>
      </c>
      <c r="K1488" s="65" t="s">
        <v>16</v>
      </c>
      <c r="L1488" s="66"/>
      <c r="M1488" s="65" t="s">
        <v>179</v>
      </c>
      <c r="N1488" s="65">
        <v>800191135</v>
      </c>
      <c r="O1488" s="67">
        <v>3941176</v>
      </c>
      <c r="P1488" s="7"/>
      <c r="Q14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8" s="9">
        <f>+IFERROR(VLOOKUP(Tabla3[[#This Row],[Cliente factura]],Tabla4[[NIT]:[TOTAL CREDITO]],6,FALSE),0)</f>
        <v>0</v>
      </c>
      <c r="S1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8" s="10" t="str">
        <f>VLOOKUP(Tabla3[[#This Row],[Razón social cliente factura]]&amp;Tabla3[[#This Row],[Desc. ciudad]],'Estandar de Rutas'!$C$1:$E$553,2,FALSE)</f>
        <v>11.2</v>
      </c>
      <c r="U1488" s="130">
        <f>IFERROR(VLOOKUP(Tabla3[[#This Row],[Referencia]]&amp;Tabla3[[#This Row],[Desc detalle ext 1]],Tabla1[[Referencia-Color]:[Disponibilidad]],3,FALSE),0)</f>
        <v>0</v>
      </c>
      <c r="V1488" s="13"/>
      <c r="W1488" s="17">
        <f>+Tabla3[[#This Row],[Cant. Programada]]*Tabla3[[#This Row],[Precio unit]]</f>
        <v>0</v>
      </c>
      <c r="X1488" s="8"/>
      <c r="Y1488" s="8"/>
      <c r="Z1488" s="8" t="str">
        <f>+Tabla3[[#This Row],[Referencia]]&amp;Tabla3[[#This Row],[Desc detalle ext 1]]</f>
        <v xml:space="preserve">WAVE 110S                                         NEGRO    </v>
      </c>
      <c r="AA1488" s="128" t="e">
        <f>+VLOOKUP(Tabla3[[#This Row],[CODIGO2]],ESTANDAR!$B$3:$C$9,2,FALSE)</f>
        <v>#N/A</v>
      </c>
      <c r="AB1488" s="128" t="str">
        <f>+MID(Tabla3[[#This Row],['# Viaje]],10,1)</f>
        <v/>
      </c>
    </row>
    <row r="1489" spans="1:28" ht="15" hidden="1" customHeight="1">
      <c r="A1489" s="65" t="s">
        <v>1749</v>
      </c>
      <c r="B1489" s="66">
        <v>42950</v>
      </c>
      <c r="C1489" s="65" t="s">
        <v>1231</v>
      </c>
      <c r="D1489" s="65" t="s">
        <v>1487</v>
      </c>
      <c r="E1489" s="65" t="s">
        <v>1232</v>
      </c>
      <c r="F1489" s="65">
        <v>6</v>
      </c>
      <c r="G1489" s="65" t="s">
        <v>178</v>
      </c>
      <c r="H1489" s="65">
        <v>6</v>
      </c>
      <c r="I1489" s="65" t="s">
        <v>178</v>
      </c>
      <c r="J1489" s="65" t="s">
        <v>1451</v>
      </c>
      <c r="K1489" s="65" t="s">
        <v>16</v>
      </c>
      <c r="L1489" s="66"/>
      <c r="M1489" s="65" t="s">
        <v>179</v>
      </c>
      <c r="N1489" s="65">
        <v>800191135</v>
      </c>
      <c r="O1489" s="67">
        <v>3696639</v>
      </c>
      <c r="P1489" s="7"/>
      <c r="Q14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9" s="9">
        <f>+IFERROR(VLOOKUP(Tabla3[[#This Row],[Cliente factura]],Tabla4[[NIT]:[TOTAL CREDITO]],6,FALSE),0)</f>
        <v>0</v>
      </c>
      <c r="S1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9" s="10" t="str">
        <f>VLOOKUP(Tabla3[[#This Row],[Razón social cliente factura]]&amp;Tabla3[[#This Row],[Desc. ciudad]],'Estandar de Rutas'!$C$1:$E$553,2,FALSE)</f>
        <v>11.2</v>
      </c>
      <c r="U1489" s="130">
        <f>IFERROR(VLOOKUP(Tabla3[[#This Row],[Referencia]]&amp;Tabla3[[#This Row],[Desc detalle ext 1]],Tabla1[[Referencia-Color]:[Disponibilidad]],3,FALSE),0)</f>
        <v>3</v>
      </c>
      <c r="V1489" s="13"/>
      <c r="W1489" s="17">
        <f>+Tabla3[[#This Row],[Cant. Programada]]*Tabla3[[#This Row],[Precio unit]]</f>
        <v>0</v>
      </c>
      <c r="X1489" s="8"/>
      <c r="Y1489" s="8"/>
      <c r="Z1489" s="8" t="str">
        <f>+Tabla3[[#This Row],[Referencia]]&amp;Tabla3[[#This Row],[Desc detalle ext 1]]</f>
        <v xml:space="preserve">CB 110 DLX                                        NEGRO    </v>
      </c>
      <c r="AA1489" s="128" t="e">
        <f>+VLOOKUP(Tabla3[[#This Row],[CODIGO2]],ESTANDAR!$B$3:$C$9,2,FALSE)</f>
        <v>#N/A</v>
      </c>
      <c r="AB1489" s="128" t="str">
        <f>+MID(Tabla3[[#This Row],['# Viaje]],10,1)</f>
        <v/>
      </c>
    </row>
    <row r="1490" spans="1:28" ht="15" hidden="1" customHeight="1">
      <c r="A1490" s="65" t="s">
        <v>1749</v>
      </c>
      <c r="B1490" s="66">
        <v>42950</v>
      </c>
      <c r="C1490" s="65" t="s">
        <v>1231</v>
      </c>
      <c r="D1490" s="65" t="s">
        <v>1487</v>
      </c>
      <c r="E1490" s="65" t="s">
        <v>1232</v>
      </c>
      <c r="F1490" s="65">
        <v>2</v>
      </c>
      <c r="G1490" s="65" t="s">
        <v>178</v>
      </c>
      <c r="H1490" s="65">
        <v>2</v>
      </c>
      <c r="I1490" s="65" t="s">
        <v>178</v>
      </c>
      <c r="J1490" s="65" t="s">
        <v>1451</v>
      </c>
      <c r="K1490" s="65" t="s">
        <v>1452</v>
      </c>
      <c r="L1490" s="66"/>
      <c r="M1490" s="65" t="s">
        <v>179</v>
      </c>
      <c r="N1490" s="65">
        <v>800191135</v>
      </c>
      <c r="O1490" s="67">
        <v>3696639</v>
      </c>
      <c r="P1490" s="7"/>
      <c r="Q14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0" s="9">
        <f>+IFERROR(VLOOKUP(Tabla3[[#This Row],[Cliente factura]],Tabla4[[NIT]:[TOTAL CREDITO]],6,FALSE),0)</f>
        <v>0</v>
      </c>
      <c r="S1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0" s="10" t="str">
        <f>VLOOKUP(Tabla3[[#This Row],[Razón social cliente factura]]&amp;Tabla3[[#This Row],[Desc. ciudad]],'Estandar de Rutas'!$C$1:$E$553,2,FALSE)</f>
        <v>11.2</v>
      </c>
      <c r="U1490" s="130">
        <f>IFERROR(VLOOKUP(Tabla3[[#This Row],[Referencia]]&amp;Tabla3[[#This Row],[Desc detalle ext 1]],Tabla1[[Referencia-Color]:[Disponibilidad]],3,FALSE),0)</f>
        <v>21</v>
      </c>
      <c r="V1490" s="13"/>
      <c r="W1490" s="17">
        <f>+Tabla3[[#This Row],[Cant. Programada]]*Tabla3[[#This Row],[Precio unit]]</f>
        <v>0</v>
      </c>
      <c r="X1490" s="8"/>
      <c r="Y1490" s="8"/>
      <c r="Z1490" s="8" t="str">
        <f>+Tabla3[[#This Row],[Referencia]]&amp;Tabla3[[#This Row],[Desc detalle ext 1]]</f>
        <v xml:space="preserve">CB 110 DLX                                        AZUL     </v>
      </c>
      <c r="AA1490" s="128" t="e">
        <f>+VLOOKUP(Tabla3[[#This Row],[CODIGO2]],ESTANDAR!$B$3:$C$9,2,FALSE)</f>
        <v>#N/A</v>
      </c>
      <c r="AB1490" s="128" t="str">
        <f>+MID(Tabla3[[#This Row],['# Viaje]],10,1)</f>
        <v/>
      </c>
    </row>
    <row r="1491" spans="1:28" ht="15" hidden="1" customHeight="1">
      <c r="A1491" s="65" t="s">
        <v>1749</v>
      </c>
      <c r="B1491" s="66">
        <v>42950</v>
      </c>
      <c r="C1491" s="65" t="s">
        <v>1231</v>
      </c>
      <c r="D1491" s="65" t="s">
        <v>1487</v>
      </c>
      <c r="E1491" s="65" t="s">
        <v>1232</v>
      </c>
      <c r="F1491" s="65">
        <v>1</v>
      </c>
      <c r="G1491" s="65" t="s">
        <v>178</v>
      </c>
      <c r="H1491" s="65">
        <v>1</v>
      </c>
      <c r="I1491" s="65" t="s">
        <v>178</v>
      </c>
      <c r="J1491" s="65" t="s">
        <v>1451</v>
      </c>
      <c r="K1491" s="65" t="s">
        <v>1449</v>
      </c>
      <c r="L1491" s="66"/>
      <c r="M1491" s="65" t="s">
        <v>179</v>
      </c>
      <c r="N1491" s="65">
        <v>800191135</v>
      </c>
      <c r="O1491" s="67">
        <v>3696639</v>
      </c>
      <c r="P1491" s="7"/>
      <c r="Q14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1" s="9">
        <f>+IFERROR(VLOOKUP(Tabla3[[#This Row],[Cliente factura]],Tabla4[[NIT]:[TOTAL CREDITO]],6,FALSE),0)</f>
        <v>0</v>
      </c>
      <c r="S1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1" s="10" t="str">
        <f>VLOOKUP(Tabla3[[#This Row],[Razón social cliente factura]]&amp;Tabla3[[#This Row],[Desc. ciudad]],'Estandar de Rutas'!$C$1:$E$553,2,FALSE)</f>
        <v>11.2</v>
      </c>
      <c r="U1491" s="130">
        <f>IFERROR(VLOOKUP(Tabla3[[#This Row],[Referencia]]&amp;Tabla3[[#This Row],[Desc detalle ext 1]],Tabla1[[Referencia-Color]:[Disponibilidad]],3,FALSE),0)</f>
        <v>24</v>
      </c>
      <c r="V1491" s="13"/>
      <c r="W1491" s="17">
        <f>+Tabla3[[#This Row],[Cant. Programada]]*Tabla3[[#This Row],[Precio unit]]</f>
        <v>0</v>
      </c>
      <c r="X1491" s="8"/>
      <c r="Y1491" s="8"/>
      <c r="Z1491" s="8" t="str">
        <f>+Tabla3[[#This Row],[Referencia]]&amp;Tabla3[[#This Row],[Desc detalle ext 1]]</f>
        <v xml:space="preserve">CB 110 DLX                                        GRIS     </v>
      </c>
      <c r="AA1491" s="128" t="e">
        <f>+VLOOKUP(Tabla3[[#This Row],[CODIGO2]],ESTANDAR!$B$3:$C$9,2,FALSE)</f>
        <v>#N/A</v>
      </c>
      <c r="AB1491" s="128" t="str">
        <f>+MID(Tabla3[[#This Row],['# Viaje]],10,1)</f>
        <v/>
      </c>
    </row>
    <row r="1492" spans="1:28" ht="15" hidden="1" customHeight="1">
      <c r="A1492" s="65" t="s">
        <v>1750</v>
      </c>
      <c r="B1492" s="66">
        <v>42950</v>
      </c>
      <c r="C1492" s="65" t="s">
        <v>1231</v>
      </c>
      <c r="D1492" s="65" t="s">
        <v>1478</v>
      </c>
      <c r="E1492" s="65" t="s">
        <v>1232</v>
      </c>
      <c r="F1492" s="65">
        <v>1</v>
      </c>
      <c r="G1492" s="65" t="s">
        <v>57</v>
      </c>
      <c r="H1492" s="65">
        <v>1</v>
      </c>
      <c r="I1492" s="65" t="s">
        <v>1751</v>
      </c>
      <c r="J1492" s="65" t="s">
        <v>14</v>
      </c>
      <c r="K1492" s="65" t="s">
        <v>17</v>
      </c>
      <c r="L1492" s="66"/>
      <c r="M1492" s="65" t="s">
        <v>58</v>
      </c>
      <c r="N1492" s="65">
        <v>900095491</v>
      </c>
      <c r="O1492" s="67">
        <v>3360504</v>
      </c>
      <c r="P1492" s="7"/>
      <c r="Q14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2" s="9">
        <f>+IFERROR(VLOOKUP(Tabla3[[#This Row],[Cliente factura]],Tabla4[[NIT]:[TOTAL CREDITO]],6,FALSE),0)</f>
        <v>0</v>
      </c>
      <c r="S1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2" s="10" t="str">
        <f>VLOOKUP(Tabla3[[#This Row],[Razón social cliente factura]]&amp;Tabla3[[#This Row],[Desc. ciudad]],'Estandar de Rutas'!$C$1:$E$553,2,FALSE)</f>
        <v>1.2</v>
      </c>
      <c r="U1492" s="130">
        <f>IFERROR(VLOOKUP(Tabla3[[#This Row],[Referencia]]&amp;Tabla3[[#This Row],[Desc detalle ext 1]],Tabla1[[Referencia-Color]:[Disponibilidad]],3,FALSE),0)</f>
        <v>38</v>
      </c>
      <c r="V1492" s="13"/>
      <c r="W1492" s="17">
        <f>+Tabla3[[#This Row],[Cant. Programada]]*Tabla3[[#This Row],[Precio unit]]</f>
        <v>0</v>
      </c>
      <c r="X1492" s="8"/>
      <c r="Y1492" s="8"/>
      <c r="Z1492" s="8" t="str">
        <f>+Tabla3[[#This Row],[Referencia]]&amp;Tabla3[[#This Row],[Desc detalle ext 1]]</f>
        <v>*CB-110                                           ROJO SPOR</v>
      </c>
      <c r="AA1492" s="128" t="e">
        <f>+VLOOKUP(Tabla3[[#This Row],[CODIGO2]],ESTANDAR!$B$3:$C$9,2,FALSE)</f>
        <v>#N/A</v>
      </c>
      <c r="AB1492" s="128" t="str">
        <f>+MID(Tabla3[[#This Row],['# Viaje]],10,1)</f>
        <v/>
      </c>
    </row>
    <row r="1493" spans="1:28" ht="15" hidden="1" customHeight="1">
      <c r="A1493" s="65" t="s">
        <v>1750</v>
      </c>
      <c r="B1493" s="66">
        <v>42950</v>
      </c>
      <c r="C1493" s="65" t="s">
        <v>1231</v>
      </c>
      <c r="D1493" s="65" t="s">
        <v>1478</v>
      </c>
      <c r="E1493" s="65" t="s">
        <v>1232</v>
      </c>
      <c r="F1493" s="65">
        <v>6</v>
      </c>
      <c r="G1493" s="65" t="s">
        <v>57</v>
      </c>
      <c r="H1493" s="65">
        <v>6</v>
      </c>
      <c r="I1493" s="65" t="s">
        <v>1751</v>
      </c>
      <c r="J1493" s="65" t="s">
        <v>14</v>
      </c>
      <c r="K1493" s="65" t="s">
        <v>16</v>
      </c>
      <c r="L1493" s="66"/>
      <c r="M1493" s="65" t="s">
        <v>58</v>
      </c>
      <c r="N1493" s="65">
        <v>900095491</v>
      </c>
      <c r="O1493" s="67">
        <v>3360504</v>
      </c>
      <c r="P1493" s="7"/>
      <c r="Q14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3" s="9">
        <f>+IFERROR(VLOOKUP(Tabla3[[#This Row],[Cliente factura]],Tabla4[[NIT]:[TOTAL CREDITO]],6,FALSE),0)</f>
        <v>0</v>
      </c>
      <c r="S1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3" s="10" t="str">
        <f>VLOOKUP(Tabla3[[#This Row],[Razón social cliente factura]]&amp;Tabla3[[#This Row],[Desc. ciudad]],'Estandar de Rutas'!$C$1:$E$553,2,FALSE)</f>
        <v>1.2</v>
      </c>
      <c r="U1493" s="130">
        <f>IFERROR(VLOOKUP(Tabla3[[#This Row],[Referencia]]&amp;Tabla3[[#This Row],[Desc detalle ext 1]],Tabla1[[Referencia-Color]:[Disponibilidad]],3,FALSE),0)</f>
        <v>83</v>
      </c>
      <c r="V1493" s="13"/>
      <c r="W1493" s="17">
        <f>+Tabla3[[#This Row],[Cant. Programada]]*Tabla3[[#This Row],[Precio unit]]</f>
        <v>0</v>
      </c>
      <c r="X1493" s="8"/>
      <c r="Y1493" s="8"/>
      <c r="Z1493" s="8" t="str">
        <f>+Tabla3[[#This Row],[Referencia]]&amp;Tabla3[[#This Row],[Desc detalle ext 1]]</f>
        <v xml:space="preserve">*CB-110                                           NEGRO    </v>
      </c>
      <c r="AA1493" s="128" t="e">
        <f>+VLOOKUP(Tabla3[[#This Row],[CODIGO2]],ESTANDAR!$B$3:$C$9,2,FALSE)</f>
        <v>#N/A</v>
      </c>
      <c r="AB1493" s="128" t="str">
        <f>+MID(Tabla3[[#This Row],['# Viaje]],10,1)</f>
        <v/>
      </c>
    </row>
    <row r="1494" spans="1:28" ht="15" hidden="1" customHeight="1">
      <c r="A1494" s="65" t="s">
        <v>1750</v>
      </c>
      <c r="B1494" s="66">
        <v>42950</v>
      </c>
      <c r="C1494" s="65" t="s">
        <v>1231</v>
      </c>
      <c r="D1494" s="65" t="s">
        <v>1478</v>
      </c>
      <c r="E1494" s="65" t="s">
        <v>1232</v>
      </c>
      <c r="F1494" s="65">
        <v>2</v>
      </c>
      <c r="G1494" s="65" t="s">
        <v>57</v>
      </c>
      <c r="H1494" s="65">
        <v>2</v>
      </c>
      <c r="I1494" s="65" t="s">
        <v>1751</v>
      </c>
      <c r="J1494" s="65" t="s">
        <v>14</v>
      </c>
      <c r="K1494" s="65" t="s">
        <v>15</v>
      </c>
      <c r="L1494" s="66"/>
      <c r="M1494" s="65" t="s">
        <v>58</v>
      </c>
      <c r="N1494" s="65">
        <v>900095491</v>
      </c>
      <c r="O1494" s="67">
        <v>3360504</v>
      </c>
      <c r="P1494" s="7"/>
      <c r="Q14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4" s="9">
        <f>+IFERROR(VLOOKUP(Tabla3[[#This Row],[Cliente factura]],Tabla4[[NIT]:[TOTAL CREDITO]],6,FALSE),0)</f>
        <v>0</v>
      </c>
      <c r="S1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4" s="10" t="str">
        <f>VLOOKUP(Tabla3[[#This Row],[Razón social cliente factura]]&amp;Tabla3[[#This Row],[Desc. ciudad]],'Estandar de Rutas'!$C$1:$E$553,2,FALSE)</f>
        <v>1.2</v>
      </c>
      <c r="U1494" s="130">
        <f>IFERROR(VLOOKUP(Tabla3[[#This Row],[Referencia]]&amp;Tabla3[[#This Row],[Desc detalle ext 1]],Tabla1[[Referencia-Color]:[Disponibilidad]],3,FALSE),0)</f>
        <v>99</v>
      </c>
      <c r="V1494" s="13"/>
      <c r="W1494" s="17">
        <f>+Tabla3[[#This Row],[Cant. Programada]]*Tabla3[[#This Row],[Precio unit]]</f>
        <v>0</v>
      </c>
      <c r="X1494" s="8"/>
      <c r="Y1494" s="8"/>
      <c r="Z1494" s="8" t="str">
        <f>+Tabla3[[#This Row],[Referencia]]&amp;Tabla3[[#This Row],[Desc detalle ext 1]]</f>
        <v>*CB-110                                           AZUL FIJI</v>
      </c>
      <c r="AA1494" s="128" t="e">
        <f>+VLOOKUP(Tabla3[[#This Row],[CODIGO2]],ESTANDAR!$B$3:$C$9,2,FALSE)</f>
        <v>#N/A</v>
      </c>
      <c r="AB1494" s="128" t="str">
        <f>+MID(Tabla3[[#This Row],['# Viaje]],10,1)</f>
        <v/>
      </c>
    </row>
    <row r="1495" spans="1:28" ht="15" hidden="1" customHeight="1">
      <c r="A1495" s="65" t="s">
        <v>1750</v>
      </c>
      <c r="B1495" s="66">
        <v>42950</v>
      </c>
      <c r="C1495" s="65" t="s">
        <v>1231</v>
      </c>
      <c r="D1495" s="65" t="s">
        <v>1478</v>
      </c>
      <c r="E1495" s="65" t="s">
        <v>1232</v>
      </c>
      <c r="F1495" s="65">
        <v>4</v>
      </c>
      <c r="G1495" s="65" t="s">
        <v>57</v>
      </c>
      <c r="H1495" s="65">
        <v>4</v>
      </c>
      <c r="I1495" s="65" t="s">
        <v>1751</v>
      </c>
      <c r="J1495" s="65" t="s">
        <v>21</v>
      </c>
      <c r="K1495" s="65" t="s">
        <v>16</v>
      </c>
      <c r="L1495" s="66"/>
      <c r="M1495" s="65" t="s">
        <v>58</v>
      </c>
      <c r="N1495" s="65">
        <v>900095491</v>
      </c>
      <c r="O1495" s="67">
        <v>4109244</v>
      </c>
      <c r="P1495" s="7"/>
      <c r="Q14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5" s="9">
        <f>+IFERROR(VLOOKUP(Tabla3[[#This Row],[Cliente factura]],Tabla4[[NIT]:[TOTAL CREDITO]],6,FALSE),0)</f>
        <v>0</v>
      </c>
      <c r="S1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5" s="10" t="str">
        <f>VLOOKUP(Tabla3[[#This Row],[Razón social cliente factura]]&amp;Tabla3[[#This Row],[Desc. ciudad]],'Estandar de Rutas'!$C$1:$E$553,2,FALSE)</f>
        <v>1.2</v>
      </c>
      <c r="U1495" s="130">
        <f>IFERROR(VLOOKUP(Tabla3[[#This Row],[Referencia]]&amp;Tabla3[[#This Row],[Desc detalle ext 1]],Tabla1[[Referencia-Color]:[Disponibilidad]],3,FALSE),0)</f>
        <v>6</v>
      </c>
      <c r="V1495" s="13"/>
      <c r="W1495" s="17">
        <f>+Tabla3[[#This Row],[Cant. Programada]]*Tabla3[[#This Row],[Precio unit]]</f>
        <v>0</v>
      </c>
      <c r="X1495" s="8"/>
      <c r="Y1495" s="8"/>
      <c r="Z1495" s="8" t="str">
        <f>+Tabla3[[#This Row],[Referencia]]&amp;Tabla3[[#This Row],[Desc detalle ext 1]]</f>
        <v xml:space="preserve">*WAVE 110                                         NEGRO    </v>
      </c>
      <c r="AA1495" s="128" t="e">
        <f>+VLOOKUP(Tabla3[[#This Row],[CODIGO2]],ESTANDAR!$B$3:$C$9,2,FALSE)</f>
        <v>#N/A</v>
      </c>
      <c r="AB1495" s="128" t="str">
        <f>+MID(Tabla3[[#This Row],['# Viaje]],10,1)</f>
        <v/>
      </c>
    </row>
    <row r="1496" spans="1:28" ht="15" hidden="1" customHeight="1">
      <c r="A1496" s="65" t="s">
        <v>1750</v>
      </c>
      <c r="B1496" s="66">
        <v>42950</v>
      </c>
      <c r="C1496" s="65" t="s">
        <v>1231</v>
      </c>
      <c r="D1496" s="65" t="s">
        <v>1478</v>
      </c>
      <c r="E1496" s="65" t="s">
        <v>1232</v>
      </c>
      <c r="F1496" s="65">
        <v>2</v>
      </c>
      <c r="G1496" s="65" t="s">
        <v>57</v>
      </c>
      <c r="H1496" s="65">
        <v>2</v>
      </c>
      <c r="I1496" s="65" t="s">
        <v>1751</v>
      </c>
      <c r="J1496" s="65" t="s">
        <v>27</v>
      </c>
      <c r="K1496" s="65" t="s">
        <v>32</v>
      </c>
      <c r="L1496" s="66"/>
      <c r="M1496" s="65" t="s">
        <v>58</v>
      </c>
      <c r="N1496" s="65">
        <v>900095491</v>
      </c>
      <c r="O1496" s="67">
        <v>5789916</v>
      </c>
      <c r="P1496" s="7"/>
      <c r="Q14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6" s="9">
        <f>+IFERROR(VLOOKUP(Tabla3[[#This Row],[Cliente factura]],Tabla4[[NIT]:[TOTAL CREDITO]],6,FALSE),0)</f>
        <v>0</v>
      </c>
      <c r="S1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6" s="10" t="str">
        <f>VLOOKUP(Tabla3[[#This Row],[Razón social cliente factura]]&amp;Tabla3[[#This Row],[Desc. ciudad]],'Estandar de Rutas'!$C$1:$E$553,2,FALSE)</f>
        <v>1.2</v>
      </c>
      <c r="U1496" s="130">
        <f>IFERROR(VLOOKUP(Tabla3[[#This Row],[Referencia]]&amp;Tabla3[[#This Row],[Desc detalle ext 1]],Tabla1[[Referencia-Color]:[Disponibilidad]],3,FALSE),0)</f>
        <v>7</v>
      </c>
      <c r="V1496" s="13"/>
      <c r="W1496" s="17">
        <f>+Tabla3[[#This Row],[Cant. Programada]]*Tabla3[[#This Row],[Precio unit]]</f>
        <v>0</v>
      </c>
      <c r="X1496" s="8"/>
      <c r="Y1496" s="8"/>
      <c r="Z1496" s="8" t="str">
        <f>+Tabla3[[#This Row],[Referencia]]&amp;Tabla3[[#This Row],[Desc detalle ext 1]]</f>
        <v>*XR 150L                                          NEGRO ROJ</v>
      </c>
      <c r="AA1496" s="128" t="e">
        <f>+VLOOKUP(Tabla3[[#This Row],[CODIGO2]],ESTANDAR!$B$3:$C$9,2,FALSE)</f>
        <v>#N/A</v>
      </c>
      <c r="AB1496" s="128" t="str">
        <f>+MID(Tabla3[[#This Row],['# Viaje]],10,1)</f>
        <v/>
      </c>
    </row>
    <row r="1497" spans="1:28" ht="15" hidden="1" customHeight="1">
      <c r="A1497" s="50" t="s">
        <v>1750</v>
      </c>
      <c r="B1497" s="51">
        <v>42950</v>
      </c>
      <c r="C1497" s="50" t="s">
        <v>1231</v>
      </c>
      <c r="D1497" s="50" t="s">
        <v>1478</v>
      </c>
      <c r="E1497" s="50" t="s">
        <v>1232</v>
      </c>
      <c r="F1497" s="50">
        <v>3</v>
      </c>
      <c r="G1497" s="50" t="s">
        <v>57</v>
      </c>
      <c r="H1497" s="50">
        <v>3</v>
      </c>
      <c r="I1497" s="50" t="s">
        <v>1751</v>
      </c>
      <c r="J1497" s="50" t="s">
        <v>27</v>
      </c>
      <c r="K1497" s="50" t="s">
        <v>26</v>
      </c>
      <c r="L1497" s="51"/>
      <c r="M1497" s="50" t="s">
        <v>58</v>
      </c>
      <c r="N1497" s="50">
        <v>900095491</v>
      </c>
      <c r="O1497" s="52">
        <v>5789916</v>
      </c>
      <c r="P1497" s="7"/>
      <c r="Q14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7" s="9">
        <f>+IFERROR(VLOOKUP(Tabla3[[#This Row],[Cliente factura]],Tabla4[[NIT]:[TOTAL CREDITO]],6,FALSE),0)</f>
        <v>0</v>
      </c>
      <c r="S1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7" s="10" t="str">
        <f>VLOOKUP(Tabla3[[#This Row],[Razón social cliente factura]]&amp;Tabla3[[#This Row],[Desc. ciudad]],'Estandar de Rutas'!$C$1:$E$553,2,FALSE)</f>
        <v>1.2</v>
      </c>
      <c r="U1497" s="130">
        <f>IFERROR(VLOOKUP(Tabla3[[#This Row],[Referencia]]&amp;Tabla3[[#This Row],[Desc detalle ext 1]],Tabla1[[Referencia-Color]:[Disponibilidad]],3,FALSE),0)</f>
        <v>59</v>
      </c>
      <c r="V1497" s="13"/>
      <c r="W1497" s="17">
        <f>+Tabla3[[#This Row],[Cant. Programada]]*Tabla3[[#This Row],[Precio unit]]</f>
        <v>0</v>
      </c>
      <c r="X1497" s="8"/>
      <c r="Y1497" s="8"/>
      <c r="Z1497" s="8" t="str">
        <f>+Tabla3[[#This Row],[Referencia]]&amp;Tabla3[[#This Row],[Desc detalle ext 1]]</f>
        <v>*XR 150L                                          NEGRO BLA</v>
      </c>
      <c r="AA1497" s="128" t="e">
        <f>+VLOOKUP(Tabla3[[#This Row],[CODIGO2]],ESTANDAR!$B$3:$C$9,2,FALSE)</f>
        <v>#N/A</v>
      </c>
      <c r="AB1497" s="128" t="str">
        <f>+MID(Tabla3[[#This Row],['# Viaje]],10,1)</f>
        <v/>
      </c>
    </row>
    <row r="1498" spans="1:28" ht="15" hidden="1" customHeight="1">
      <c r="A1498" s="50" t="s">
        <v>1750</v>
      </c>
      <c r="B1498" s="51">
        <v>42950</v>
      </c>
      <c r="C1498" s="50" t="s">
        <v>1231</v>
      </c>
      <c r="D1498" s="50" t="s">
        <v>1478</v>
      </c>
      <c r="E1498" s="50" t="s">
        <v>1232</v>
      </c>
      <c r="F1498" s="50">
        <v>6</v>
      </c>
      <c r="G1498" s="50" t="s">
        <v>57</v>
      </c>
      <c r="H1498" s="50">
        <v>6</v>
      </c>
      <c r="I1498" s="50" t="s">
        <v>1751</v>
      </c>
      <c r="J1498" s="50" t="s">
        <v>27</v>
      </c>
      <c r="K1498" s="50" t="s">
        <v>16</v>
      </c>
      <c r="L1498" s="51"/>
      <c r="M1498" s="50" t="s">
        <v>58</v>
      </c>
      <c r="N1498" s="50">
        <v>900095491</v>
      </c>
      <c r="O1498" s="52">
        <v>5789916</v>
      </c>
      <c r="P1498" s="7"/>
      <c r="Q14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8" s="9">
        <f>+IFERROR(VLOOKUP(Tabla3[[#This Row],[Cliente factura]],Tabla4[[NIT]:[TOTAL CREDITO]],6,FALSE),0)</f>
        <v>0</v>
      </c>
      <c r="S1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8" s="10" t="str">
        <f>VLOOKUP(Tabla3[[#This Row],[Razón social cliente factura]]&amp;Tabla3[[#This Row],[Desc. ciudad]],'Estandar de Rutas'!$C$1:$E$553,2,FALSE)</f>
        <v>1.2</v>
      </c>
      <c r="U1498" s="130">
        <f>IFERROR(VLOOKUP(Tabla3[[#This Row],[Referencia]]&amp;Tabla3[[#This Row],[Desc detalle ext 1]],Tabla1[[Referencia-Color]:[Disponibilidad]],3,FALSE),0)</f>
        <v>3</v>
      </c>
      <c r="V1498" s="13"/>
      <c r="W1498" s="17">
        <f>+Tabla3[[#This Row],[Cant. Programada]]*Tabla3[[#This Row],[Precio unit]]</f>
        <v>0</v>
      </c>
      <c r="X1498" s="8"/>
      <c r="Y1498" s="8"/>
      <c r="Z1498" s="8" t="str">
        <f>+Tabla3[[#This Row],[Referencia]]&amp;Tabla3[[#This Row],[Desc detalle ext 1]]</f>
        <v xml:space="preserve">*XR 150L                                          NEGRO    </v>
      </c>
      <c r="AA1498" s="128" t="e">
        <f>+VLOOKUP(Tabla3[[#This Row],[CODIGO2]],ESTANDAR!$B$3:$C$9,2,FALSE)</f>
        <v>#N/A</v>
      </c>
      <c r="AB1498" s="128" t="str">
        <f>+MID(Tabla3[[#This Row],['# Viaje]],10,1)</f>
        <v/>
      </c>
    </row>
    <row r="1499" spans="1:28" ht="15" hidden="1" customHeight="1">
      <c r="A1499" s="50" t="s">
        <v>1750</v>
      </c>
      <c r="B1499" s="51">
        <v>42950</v>
      </c>
      <c r="C1499" s="50" t="s">
        <v>1231</v>
      </c>
      <c r="D1499" s="50" t="s">
        <v>1478</v>
      </c>
      <c r="E1499" s="50" t="s">
        <v>1232</v>
      </c>
      <c r="F1499" s="50">
        <v>1</v>
      </c>
      <c r="G1499" s="50" t="s">
        <v>57</v>
      </c>
      <c r="H1499" s="50">
        <v>1</v>
      </c>
      <c r="I1499" s="50" t="s">
        <v>1751</v>
      </c>
      <c r="J1499" s="50" t="s">
        <v>10</v>
      </c>
      <c r="K1499" s="50" t="s">
        <v>11</v>
      </c>
      <c r="L1499" s="51"/>
      <c r="M1499" s="50" t="s">
        <v>58</v>
      </c>
      <c r="N1499" s="50">
        <v>900095491</v>
      </c>
      <c r="O1499" s="52">
        <v>7554622</v>
      </c>
      <c r="P1499" s="7"/>
      <c r="Q14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9" s="9">
        <f>+IFERROR(VLOOKUP(Tabla3[[#This Row],[Cliente factura]],Tabla4[[NIT]:[TOTAL CREDITO]],6,FALSE),0)</f>
        <v>0</v>
      </c>
      <c r="S1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9" s="10" t="str">
        <f>VLOOKUP(Tabla3[[#This Row],[Razón social cliente factura]]&amp;Tabla3[[#This Row],[Desc. ciudad]],'Estandar de Rutas'!$C$1:$E$553,2,FALSE)</f>
        <v>1.2</v>
      </c>
      <c r="U1499" s="130">
        <f>IFERROR(VLOOKUP(Tabla3[[#This Row],[Referencia]]&amp;Tabla3[[#This Row],[Desc detalle ext 1]],Tabla1[[Referencia-Color]:[Disponibilidad]],3,FALSE),0)</f>
        <v>0</v>
      </c>
      <c r="V1499" s="13"/>
      <c r="W1499" s="17">
        <f>+Tabla3[[#This Row],[Cant. Programada]]*Tabla3[[#This Row],[Precio unit]]</f>
        <v>0</v>
      </c>
      <c r="X1499" s="8"/>
      <c r="Y1499" s="8"/>
      <c r="Z1499" s="8" t="str">
        <f>+Tabla3[[#This Row],[Referencia]]&amp;Tabla3[[#This Row],[Desc detalle ext 1]]</f>
        <v>CB 190R                                           NEGRO ONI</v>
      </c>
      <c r="AA1499" s="128" t="e">
        <f>+VLOOKUP(Tabla3[[#This Row],[CODIGO2]],ESTANDAR!$B$3:$C$9,2,FALSE)</f>
        <v>#N/A</v>
      </c>
      <c r="AB1499" s="128" t="str">
        <f>+MID(Tabla3[[#This Row],['# Viaje]],10,1)</f>
        <v/>
      </c>
    </row>
    <row r="1500" spans="1:28" ht="15" hidden="1" customHeight="1">
      <c r="A1500" s="50" t="s">
        <v>1750</v>
      </c>
      <c r="B1500" s="51">
        <v>42950</v>
      </c>
      <c r="C1500" s="50" t="s">
        <v>1231</v>
      </c>
      <c r="D1500" s="50" t="s">
        <v>1478</v>
      </c>
      <c r="E1500" s="50" t="s">
        <v>1232</v>
      </c>
      <c r="F1500" s="50">
        <v>2</v>
      </c>
      <c r="G1500" s="50" t="s">
        <v>57</v>
      </c>
      <c r="H1500" s="50">
        <v>2</v>
      </c>
      <c r="I1500" s="50" t="s">
        <v>1751</v>
      </c>
      <c r="J1500" s="50" t="s">
        <v>1425</v>
      </c>
      <c r="K1500" s="50" t="s">
        <v>1426</v>
      </c>
      <c r="L1500" s="51"/>
      <c r="M1500" s="50" t="s">
        <v>58</v>
      </c>
      <c r="N1500" s="50">
        <v>900095491</v>
      </c>
      <c r="O1500" s="52">
        <v>7730252</v>
      </c>
      <c r="P1500" s="7"/>
      <c r="Q15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0" s="9">
        <f>+IFERROR(VLOOKUP(Tabla3[[#This Row],[Cliente factura]],Tabla4[[NIT]:[TOTAL CREDITO]],6,FALSE),0)</f>
        <v>0</v>
      </c>
      <c r="S1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0" s="10" t="str">
        <f>VLOOKUP(Tabla3[[#This Row],[Razón social cliente factura]]&amp;Tabla3[[#This Row],[Desc. ciudad]],'Estandar de Rutas'!$C$1:$E$553,2,FALSE)</f>
        <v>1.2</v>
      </c>
      <c r="U1500" s="130">
        <f>IFERROR(VLOOKUP(Tabla3[[#This Row],[Referencia]]&amp;Tabla3[[#This Row],[Desc detalle ext 1]],Tabla1[[Referencia-Color]:[Disponibilidad]],3,FALSE),0)</f>
        <v>104</v>
      </c>
      <c r="V1500" s="13"/>
      <c r="W1500" s="17">
        <f>+Tabla3[[#This Row],[Cant. Programada]]*Tabla3[[#This Row],[Precio unit]]</f>
        <v>0</v>
      </c>
      <c r="X1500" s="8"/>
      <c r="Y1500" s="8"/>
      <c r="Z1500" s="8" t="str">
        <f>+Tabla3[[#This Row],[Referencia]]&amp;Tabla3[[#This Row],[Desc detalle ext 1]]</f>
        <v>CB 190 REPSOL                                     NARANJA B</v>
      </c>
      <c r="AA1500" s="128" t="e">
        <f>+VLOOKUP(Tabla3[[#This Row],[CODIGO2]],ESTANDAR!$B$3:$C$9,2,FALSE)</f>
        <v>#N/A</v>
      </c>
      <c r="AB1500" s="128" t="str">
        <f>+MID(Tabla3[[#This Row],['# Viaje]],10,1)</f>
        <v/>
      </c>
    </row>
    <row r="1501" spans="1:28" ht="15" hidden="1" customHeight="1">
      <c r="A1501" s="50" t="s">
        <v>1750</v>
      </c>
      <c r="B1501" s="51">
        <v>42950</v>
      </c>
      <c r="C1501" s="50" t="s">
        <v>1231</v>
      </c>
      <c r="D1501" s="50" t="s">
        <v>1478</v>
      </c>
      <c r="E1501" s="50" t="s">
        <v>1232</v>
      </c>
      <c r="F1501" s="50">
        <v>10</v>
      </c>
      <c r="G1501" s="50" t="s">
        <v>57</v>
      </c>
      <c r="H1501" s="50">
        <v>10</v>
      </c>
      <c r="I1501" s="50" t="s">
        <v>1751</v>
      </c>
      <c r="J1501" s="50" t="s">
        <v>354</v>
      </c>
      <c r="K1501" s="50" t="s">
        <v>355</v>
      </c>
      <c r="L1501" s="51"/>
      <c r="M1501" s="50" t="s">
        <v>58</v>
      </c>
      <c r="N1501" s="50">
        <v>900095491</v>
      </c>
      <c r="O1501" s="52">
        <v>6133613</v>
      </c>
      <c r="P1501" s="7"/>
      <c r="Q15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1" s="9">
        <f>+IFERROR(VLOOKUP(Tabla3[[#This Row],[Cliente factura]],Tabla4[[NIT]:[TOTAL CREDITO]],6,FALSE),0)</f>
        <v>0</v>
      </c>
      <c r="S1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1" s="10" t="str">
        <f>VLOOKUP(Tabla3[[#This Row],[Razón social cliente factura]]&amp;Tabla3[[#This Row],[Desc. ciudad]],'Estandar de Rutas'!$C$1:$E$553,2,FALSE)</f>
        <v>1.2</v>
      </c>
      <c r="U1501" s="130">
        <f>IFERROR(VLOOKUP(Tabla3[[#This Row],[Referencia]]&amp;Tabla3[[#This Row],[Desc detalle ext 1]],Tabla1[[Referencia-Color]:[Disponibilidad]],3,FALSE),0)</f>
        <v>0</v>
      </c>
      <c r="V1501" s="13"/>
      <c r="W1501" s="17">
        <f>+Tabla3[[#This Row],[Cant. Programada]]*Tabla3[[#This Row],[Precio unit]]</f>
        <v>0</v>
      </c>
      <c r="X1501" s="8"/>
      <c r="Y1501" s="8"/>
      <c r="Z1501" s="8" t="str">
        <f>+Tabla3[[#This Row],[Referencia]]&amp;Tabla3[[#This Row],[Desc detalle ext 1]]</f>
        <v>CB 160F DLX                                       NEGRO PER</v>
      </c>
      <c r="AA1501" s="128" t="e">
        <f>+VLOOKUP(Tabla3[[#This Row],[CODIGO2]],ESTANDAR!$B$3:$C$9,2,FALSE)</f>
        <v>#N/A</v>
      </c>
      <c r="AB1501" s="128" t="str">
        <f>+MID(Tabla3[[#This Row],['# Viaje]],10,1)</f>
        <v/>
      </c>
    </row>
    <row r="1502" spans="1:28" ht="15" hidden="1" customHeight="1">
      <c r="A1502" s="50" t="s">
        <v>1750</v>
      </c>
      <c r="B1502" s="51">
        <v>42950</v>
      </c>
      <c r="C1502" s="50" t="s">
        <v>1231</v>
      </c>
      <c r="D1502" s="50" t="s">
        <v>1478</v>
      </c>
      <c r="E1502" s="50" t="s">
        <v>1232</v>
      </c>
      <c r="F1502" s="50">
        <v>1</v>
      </c>
      <c r="G1502" s="50" t="s">
        <v>57</v>
      </c>
      <c r="H1502" s="50">
        <v>1</v>
      </c>
      <c r="I1502" s="50" t="s">
        <v>1751</v>
      </c>
      <c r="J1502" s="50" t="s">
        <v>354</v>
      </c>
      <c r="K1502" s="50" t="s">
        <v>17</v>
      </c>
      <c r="L1502" s="51"/>
      <c r="M1502" s="50" t="s">
        <v>58</v>
      </c>
      <c r="N1502" s="50">
        <v>900095491</v>
      </c>
      <c r="O1502" s="52">
        <v>6133613</v>
      </c>
      <c r="P1502" s="7"/>
      <c r="Q15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2" s="9">
        <f>+IFERROR(VLOOKUP(Tabla3[[#This Row],[Cliente factura]],Tabla4[[NIT]:[TOTAL CREDITO]],6,FALSE),0)</f>
        <v>0</v>
      </c>
      <c r="S1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2" s="10" t="str">
        <f>VLOOKUP(Tabla3[[#This Row],[Razón social cliente factura]]&amp;Tabla3[[#This Row],[Desc. ciudad]],'Estandar de Rutas'!$C$1:$E$553,2,FALSE)</f>
        <v>1.2</v>
      </c>
      <c r="U1502" s="130">
        <f>IFERROR(VLOOKUP(Tabla3[[#This Row],[Referencia]]&amp;Tabla3[[#This Row],[Desc detalle ext 1]],Tabla1[[Referencia-Color]:[Disponibilidad]],3,FALSE),0)</f>
        <v>48</v>
      </c>
      <c r="V1502" s="13"/>
      <c r="W1502" s="17">
        <f>+Tabla3[[#This Row],[Cant. Programada]]*Tabla3[[#This Row],[Precio unit]]</f>
        <v>0</v>
      </c>
      <c r="X1502" s="8"/>
      <c r="Y1502" s="8"/>
      <c r="Z1502" s="8" t="str">
        <f>+Tabla3[[#This Row],[Referencia]]&amp;Tabla3[[#This Row],[Desc detalle ext 1]]</f>
        <v>CB 160F DLX                                       ROJO SPOR</v>
      </c>
      <c r="AA1502" s="128" t="e">
        <f>+VLOOKUP(Tabla3[[#This Row],[CODIGO2]],ESTANDAR!$B$3:$C$9,2,FALSE)</f>
        <v>#N/A</v>
      </c>
      <c r="AB1502" s="128" t="str">
        <f>+MID(Tabla3[[#This Row],['# Viaje]],10,1)</f>
        <v/>
      </c>
    </row>
    <row r="1503" spans="1:28" ht="15" hidden="1" customHeight="1">
      <c r="A1503" s="50" t="s">
        <v>1750</v>
      </c>
      <c r="B1503" s="51">
        <v>42950</v>
      </c>
      <c r="C1503" s="50" t="s">
        <v>1231</v>
      </c>
      <c r="D1503" s="50" t="s">
        <v>1478</v>
      </c>
      <c r="E1503" s="50" t="s">
        <v>1232</v>
      </c>
      <c r="F1503" s="50">
        <v>3</v>
      </c>
      <c r="G1503" s="50" t="s">
        <v>57</v>
      </c>
      <c r="H1503" s="50">
        <v>3</v>
      </c>
      <c r="I1503" s="50" t="s">
        <v>1751</v>
      </c>
      <c r="J1503" s="50" t="s">
        <v>1428</v>
      </c>
      <c r="K1503" s="50" t="s">
        <v>1461</v>
      </c>
      <c r="L1503" s="51"/>
      <c r="M1503" s="50" t="s">
        <v>58</v>
      </c>
      <c r="N1503" s="50">
        <v>900095491</v>
      </c>
      <c r="O1503" s="52">
        <v>3067227</v>
      </c>
      <c r="P1503" s="7"/>
      <c r="Q15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3" s="9">
        <f>+IFERROR(VLOOKUP(Tabla3[[#This Row],[Cliente factura]],Tabla4[[NIT]:[TOTAL CREDITO]],6,FALSE),0)</f>
        <v>0</v>
      </c>
      <c r="S1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3" s="10" t="str">
        <f>VLOOKUP(Tabla3[[#This Row],[Razón social cliente factura]]&amp;Tabla3[[#This Row],[Desc. ciudad]],'Estandar de Rutas'!$C$1:$E$553,2,FALSE)</f>
        <v>1.2</v>
      </c>
      <c r="U1503" s="130">
        <f>IFERROR(VLOOKUP(Tabla3[[#This Row],[Referencia]]&amp;Tabla3[[#This Row],[Desc detalle ext 1]],Tabla1[[Referencia-Color]:[Disponibilidad]],3,FALSE),0)</f>
        <v>0</v>
      </c>
      <c r="V1503" s="13"/>
      <c r="W1503" s="17">
        <f>+Tabla3[[#This Row],[Cant. Programada]]*Tabla3[[#This Row],[Precio unit]]</f>
        <v>0</v>
      </c>
      <c r="X1503" s="8"/>
      <c r="Y1503" s="8"/>
      <c r="Z1503" s="8" t="str">
        <f>+Tabla3[[#This Row],[Referencia]]&amp;Tabla3[[#This Row],[Desc detalle ext 1]]</f>
        <v>DREAM  NEO                                        ROJO ALFA</v>
      </c>
      <c r="AA1503" s="128" t="e">
        <f>+VLOOKUP(Tabla3[[#This Row],[CODIGO2]],ESTANDAR!$B$3:$C$9,2,FALSE)</f>
        <v>#N/A</v>
      </c>
      <c r="AB1503" s="128" t="str">
        <f>+MID(Tabla3[[#This Row],['# Viaje]],10,1)</f>
        <v/>
      </c>
    </row>
    <row r="1504" spans="1:28" ht="15" hidden="1" customHeight="1">
      <c r="A1504" s="50" t="s">
        <v>1750</v>
      </c>
      <c r="B1504" s="51">
        <v>42950</v>
      </c>
      <c r="C1504" s="50" t="s">
        <v>1231</v>
      </c>
      <c r="D1504" s="50" t="s">
        <v>1478</v>
      </c>
      <c r="E1504" s="50" t="s">
        <v>1232</v>
      </c>
      <c r="F1504" s="50">
        <v>4</v>
      </c>
      <c r="G1504" s="50" t="s">
        <v>57</v>
      </c>
      <c r="H1504" s="50">
        <v>4</v>
      </c>
      <c r="I1504" s="50" t="s">
        <v>1751</v>
      </c>
      <c r="J1504" s="50" t="s">
        <v>1428</v>
      </c>
      <c r="K1504" s="50" t="s">
        <v>1429</v>
      </c>
      <c r="L1504" s="51"/>
      <c r="M1504" s="50" t="s">
        <v>58</v>
      </c>
      <c r="N1504" s="50">
        <v>900095491</v>
      </c>
      <c r="O1504" s="52">
        <v>3067227</v>
      </c>
      <c r="P1504" s="7"/>
      <c r="Q15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4" s="9">
        <f>+IFERROR(VLOOKUP(Tabla3[[#This Row],[Cliente factura]],Tabla4[[NIT]:[TOTAL CREDITO]],6,FALSE),0)</f>
        <v>0</v>
      </c>
      <c r="S1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4" s="10" t="str">
        <f>VLOOKUP(Tabla3[[#This Row],[Razón social cliente factura]]&amp;Tabla3[[#This Row],[Desc. ciudad]],'Estandar de Rutas'!$C$1:$E$553,2,FALSE)</f>
        <v>1.2</v>
      </c>
      <c r="U1504" s="130">
        <f>IFERROR(VLOOKUP(Tabla3[[#This Row],[Referencia]]&amp;Tabla3[[#This Row],[Desc detalle ext 1]],Tabla1[[Referencia-Color]:[Disponibilidad]],3,FALSE),0)</f>
        <v>0</v>
      </c>
      <c r="V1504" s="13"/>
      <c r="W1504" s="17">
        <f>+Tabla3[[#This Row],[Cant. Programada]]*Tabla3[[#This Row],[Precio unit]]</f>
        <v>0</v>
      </c>
      <c r="X1504" s="8"/>
      <c r="Y1504" s="8"/>
      <c r="Z1504" s="8" t="str">
        <f>+Tabla3[[#This Row],[Referencia]]&amp;Tabla3[[#This Row],[Desc detalle ext 1]]</f>
        <v>DREAM  NEO                                        NEGRO AZU</v>
      </c>
      <c r="AA1504" s="128" t="e">
        <f>+VLOOKUP(Tabla3[[#This Row],[CODIGO2]],ESTANDAR!$B$3:$C$9,2,FALSE)</f>
        <v>#N/A</v>
      </c>
      <c r="AB1504" s="128" t="str">
        <f>+MID(Tabla3[[#This Row],['# Viaje]],10,1)</f>
        <v/>
      </c>
    </row>
    <row r="1505" spans="1:28" ht="15" hidden="1" customHeight="1">
      <c r="A1505" s="50" t="s">
        <v>1750</v>
      </c>
      <c r="B1505" s="51">
        <v>42950</v>
      </c>
      <c r="C1505" s="50" t="s">
        <v>1231</v>
      </c>
      <c r="D1505" s="50" t="s">
        <v>1478</v>
      </c>
      <c r="E1505" s="50" t="s">
        <v>1232</v>
      </c>
      <c r="F1505" s="50">
        <v>2</v>
      </c>
      <c r="G1505" s="50" t="s">
        <v>57</v>
      </c>
      <c r="H1505" s="50">
        <v>2</v>
      </c>
      <c r="I1505" s="50" t="s">
        <v>1751</v>
      </c>
      <c r="J1505" s="50" t="s">
        <v>1428</v>
      </c>
      <c r="K1505" s="50" t="s">
        <v>32</v>
      </c>
      <c r="L1505" s="51"/>
      <c r="M1505" s="50" t="s">
        <v>58</v>
      </c>
      <c r="N1505" s="50">
        <v>900095491</v>
      </c>
      <c r="O1505" s="52">
        <v>3067227</v>
      </c>
      <c r="P1505" s="7"/>
      <c r="Q15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5" s="9">
        <f>+IFERROR(VLOOKUP(Tabla3[[#This Row],[Cliente factura]],Tabla4[[NIT]:[TOTAL CREDITO]],6,FALSE),0)</f>
        <v>0</v>
      </c>
      <c r="S1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5" s="10" t="str">
        <f>VLOOKUP(Tabla3[[#This Row],[Razón social cliente factura]]&amp;Tabla3[[#This Row],[Desc. ciudad]],'Estandar de Rutas'!$C$1:$E$553,2,FALSE)</f>
        <v>1.2</v>
      </c>
      <c r="U1505" s="130">
        <f>IFERROR(VLOOKUP(Tabla3[[#This Row],[Referencia]]&amp;Tabla3[[#This Row],[Desc detalle ext 1]],Tabla1[[Referencia-Color]:[Disponibilidad]],3,FALSE),0)</f>
        <v>0</v>
      </c>
      <c r="V1505" s="13"/>
      <c r="W1505" s="17">
        <f>+Tabla3[[#This Row],[Cant. Programada]]*Tabla3[[#This Row],[Precio unit]]</f>
        <v>0</v>
      </c>
      <c r="X1505" s="8"/>
      <c r="Y1505" s="8"/>
      <c r="Z1505" s="8" t="str">
        <f>+Tabla3[[#This Row],[Referencia]]&amp;Tabla3[[#This Row],[Desc detalle ext 1]]</f>
        <v>DREAM  NEO                                        NEGRO ROJ</v>
      </c>
      <c r="AA1505" s="128" t="e">
        <f>+VLOOKUP(Tabla3[[#This Row],[CODIGO2]],ESTANDAR!$B$3:$C$9,2,FALSE)</f>
        <v>#N/A</v>
      </c>
      <c r="AB1505" s="128" t="str">
        <f>+MID(Tabla3[[#This Row],['# Viaje]],10,1)</f>
        <v/>
      </c>
    </row>
    <row r="1506" spans="1:28" ht="15" hidden="1" customHeight="1">
      <c r="A1506" s="50" t="s">
        <v>1750</v>
      </c>
      <c r="B1506" s="51">
        <v>42950</v>
      </c>
      <c r="C1506" s="50" t="s">
        <v>1231</v>
      </c>
      <c r="D1506" s="50" t="s">
        <v>1478</v>
      </c>
      <c r="E1506" s="50" t="s">
        <v>1232</v>
      </c>
      <c r="F1506" s="50">
        <v>6</v>
      </c>
      <c r="G1506" s="50" t="s">
        <v>57</v>
      </c>
      <c r="H1506" s="50">
        <v>6</v>
      </c>
      <c r="I1506" s="50" t="s">
        <v>1751</v>
      </c>
      <c r="J1506" s="50" t="s">
        <v>1430</v>
      </c>
      <c r="K1506" s="50" t="s">
        <v>1432</v>
      </c>
      <c r="L1506" s="51"/>
      <c r="M1506" s="50" t="s">
        <v>58</v>
      </c>
      <c r="N1506" s="50">
        <v>900095491</v>
      </c>
      <c r="O1506" s="52">
        <v>3941176</v>
      </c>
      <c r="P1506" s="7"/>
      <c r="Q15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6" s="9">
        <f>+IFERROR(VLOOKUP(Tabla3[[#This Row],[Cliente factura]],Tabla4[[NIT]:[TOTAL CREDITO]],6,FALSE),0)</f>
        <v>0</v>
      </c>
      <c r="S1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6" s="10" t="str">
        <f>VLOOKUP(Tabla3[[#This Row],[Razón social cliente factura]]&amp;Tabla3[[#This Row],[Desc. ciudad]],'Estandar de Rutas'!$C$1:$E$553,2,FALSE)</f>
        <v>1.2</v>
      </c>
      <c r="U1506" s="130">
        <f>IFERROR(VLOOKUP(Tabla3[[#This Row],[Referencia]]&amp;Tabla3[[#This Row],[Desc detalle ext 1]],Tabla1[[Referencia-Color]:[Disponibilidad]],3,FALSE),0)</f>
        <v>23</v>
      </c>
      <c r="V1506" s="13"/>
      <c r="W1506" s="17">
        <f>+Tabla3[[#This Row],[Cant. Programada]]*Tabla3[[#This Row],[Precio unit]]</f>
        <v>0</v>
      </c>
      <c r="X1506" s="8"/>
      <c r="Y1506" s="8"/>
      <c r="Z1506" s="8" t="str">
        <f>+Tabla3[[#This Row],[Referencia]]&amp;Tabla3[[#This Row],[Desc detalle ext 1]]</f>
        <v xml:space="preserve">WAVE 110S                                         BLANCO   </v>
      </c>
      <c r="AA1506" s="128" t="e">
        <f>+VLOOKUP(Tabla3[[#This Row],[CODIGO2]],ESTANDAR!$B$3:$C$9,2,FALSE)</f>
        <v>#N/A</v>
      </c>
      <c r="AB1506" s="128" t="str">
        <f>+MID(Tabla3[[#This Row],['# Viaje]],10,1)</f>
        <v/>
      </c>
    </row>
    <row r="1507" spans="1:28" ht="15" hidden="1" customHeight="1">
      <c r="A1507" s="50" t="s">
        <v>1750</v>
      </c>
      <c r="B1507" s="51">
        <v>42950</v>
      </c>
      <c r="C1507" s="50" t="s">
        <v>1231</v>
      </c>
      <c r="D1507" s="50" t="s">
        <v>1478</v>
      </c>
      <c r="E1507" s="50" t="s">
        <v>1232</v>
      </c>
      <c r="F1507" s="50">
        <v>9</v>
      </c>
      <c r="G1507" s="50" t="s">
        <v>57</v>
      </c>
      <c r="H1507" s="50">
        <v>9</v>
      </c>
      <c r="I1507" s="50" t="s">
        <v>1751</v>
      </c>
      <c r="J1507" s="50" t="s">
        <v>1430</v>
      </c>
      <c r="K1507" s="50" t="s">
        <v>16</v>
      </c>
      <c r="L1507" s="51"/>
      <c r="M1507" s="50" t="s">
        <v>58</v>
      </c>
      <c r="N1507" s="50">
        <v>900095491</v>
      </c>
      <c r="O1507" s="52">
        <v>3941176</v>
      </c>
      <c r="P1507" s="7"/>
      <c r="Q15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7" s="9">
        <f>+IFERROR(VLOOKUP(Tabla3[[#This Row],[Cliente factura]],Tabla4[[NIT]:[TOTAL CREDITO]],6,FALSE),0)</f>
        <v>0</v>
      </c>
      <c r="S1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7" s="10" t="str">
        <f>VLOOKUP(Tabla3[[#This Row],[Razón social cliente factura]]&amp;Tabla3[[#This Row],[Desc. ciudad]],'Estandar de Rutas'!$C$1:$E$553,2,FALSE)</f>
        <v>1.2</v>
      </c>
      <c r="U1507" s="130">
        <f>IFERROR(VLOOKUP(Tabla3[[#This Row],[Referencia]]&amp;Tabla3[[#This Row],[Desc detalle ext 1]],Tabla1[[Referencia-Color]:[Disponibilidad]],3,FALSE),0)</f>
        <v>0</v>
      </c>
      <c r="V1507" s="13"/>
      <c r="W1507" s="17">
        <f>+Tabla3[[#This Row],[Cant. Programada]]*Tabla3[[#This Row],[Precio unit]]</f>
        <v>0</v>
      </c>
      <c r="X1507" s="8"/>
      <c r="Y1507" s="8"/>
      <c r="Z1507" s="8" t="str">
        <f>+Tabla3[[#This Row],[Referencia]]&amp;Tabla3[[#This Row],[Desc detalle ext 1]]</f>
        <v xml:space="preserve">WAVE 110S                                         NEGRO    </v>
      </c>
      <c r="AA1507" s="128" t="e">
        <f>+VLOOKUP(Tabla3[[#This Row],[CODIGO2]],ESTANDAR!$B$3:$C$9,2,FALSE)</f>
        <v>#N/A</v>
      </c>
      <c r="AB1507" s="128" t="str">
        <f>+MID(Tabla3[[#This Row],['# Viaje]],10,1)</f>
        <v/>
      </c>
    </row>
    <row r="1508" spans="1:28" ht="15" hidden="1" customHeight="1">
      <c r="A1508" s="50" t="s">
        <v>1750</v>
      </c>
      <c r="B1508" s="51">
        <v>42950</v>
      </c>
      <c r="C1508" s="50" t="s">
        <v>1231</v>
      </c>
      <c r="D1508" s="50" t="s">
        <v>1478</v>
      </c>
      <c r="E1508" s="50" t="s">
        <v>1232</v>
      </c>
      <c r="F1508" s="50">
        <v>2</v>
      </c>
      <c r="G1508" s="50" t="s">
        <v>57</v>
      </c>
      <c r="H1508" s="50">
        <v>2</v>
      </c>
      <c r="I1508" s="50" t="s">
        <v>1751</v>
      </c>
      <c r="J1508" s="50" t="s">
        <v>1430</v>
      </c>
      <c r="K1508" s="50" t="s">
        <v>1431</v>
      </c>
      <c r="L1508" s="51"/>
      <c r="M1508" s="50" t="s">
        <v>58</v>
      </c>
      <c r="N1508" s="50">
        <v>900095491</v>
      </c>
      <c r="O1508" s="52">
        <v>3941176</v>
      </c>
      <c r="P1508" s="7"/>
      <c r="Q15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8" s="9">
        <f>+IFERROR(VLOOKUP(Tabla3[[#This Row],[Cliente factura]],Tabla4[[NIT]:[TOTAL CREDITO]],6,FALSE),0)</f>
        <v>0</v>
      </c>
      <c r="S1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8" s="10" t="str">
        <f>VLOOKUP(Tabla3[[#This Row],[Razón social cliente factura]]&amp;Tabla3[[#This Row],[Desc. ciudad]],'Estandar de Rutas'!$C$1:$E$553,2,FALSE)</f>
        <v>1.2</v>
      </c>
      <c r="U1508" s="130">
        <f>IFERROR(VLOOKUP(Tabla3[[#This Row],[Referencia]]&amp;Tabla3[[#This Row],[Desc detalle ext 1]],Tabla1[[Referencia-Color]:[Disponibilidad]],3,FALSE),0)</f>
        <v>0</v>
      </c>
      <c r="V1508" s="13"/>
      <c r="W1508" s="17">
        <f>+Tabla3[[#This Row],[Cant. Programada]]*Tabla3[[#This Row],[Precio unit]]</f>
        <v>0</v>
      </c>
      <c r="X1508" s="8"/>
      <c r="Y1508" s="8"/>
      <c r="Z1508" s="8" t="str">
        <f>+Tabla3[[#This Row],[Referencia]]&amp;Tabla3[[#This Row],[Desc detalle ext 1]]</f>
        <v xml:space="preserve">WAVE 110S                                         ROJO     </v>
      </c>
      <c r="AA1508" s="128" t="e">
        <f>+VLOOKUP(Tabla3[[#This Row],[CODIGO2]],ESTANDAR!$B$3:$C$9,2,FALSE)</f>
        <v>#N/A</v>
      </c>
      <c r="AB1508" s="128" t="str">
        <f>+MID(Tabla3[[#This Row],['# Viaje]],10,1)</f>
        <v/>
      </c>
    </row>
    <row r="1509" spans="1:28" ht="15" hidden="1" customHeight="1">
      <c r="A1509" s="50" t="s">
        <v>1750</v>
      </c>
      <c r="B1509" s="51">
        <v>42950</v>
      </c>
      <c r="C1509" s="50" t="s">
        <v>1231</v>
      </c>
      <c r="D1509" s="50" t="s">
        <v>1478</v>
      </c>
      <c r="E1509" s="50" t="s">
        <v>1232</v>
      </c>
      <c r="F1509" s="50">
        <v>6</v>
      </c>
      <c r="G1509" s="50" t="s">
        <v>57</v>
      </c>
      <c r="H1509" s="50">
        <v>6</v>
      </c>
      <c r="I1509" s="50" t="s">
        <v>1751</v>
      </c>
      <c r="J1509" s="50" t="s">
        <v>1234</v>
      </c>
      <c r="K1509" s="50" t="s">
        <v>355</v>
      </c>
      <c r="L1509" s="51"/>
      <c r="M1509" s="50" t="s">
        <v>58</v>
      </c>
      <c r="N1509" s="50">
        <v>900095491</v>
      </c>
      <c r="O1509" s="52">
        <v>5453782</v>
      </c>
      <c r="P1509" s="7"/>
      <c r="Q15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9" s="9">
        <f>+IFERROR(VLOOKUP(Tabla3[[#This Row],[Cliente factura]],Tabla4[[NIT]:[TOTAL CREDITO]],6,FALSE),0)</f>
        <v>0</v>
      </c>
      <c r="S1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9" s="10" t="str">
        <f>VLOOKUP(Tabla3[[#This Row],[Razón social cliente factura]]&amp;Tabla3[[#This Row],[Desc. ciudad]],'Estandar de Rutas'!$C$1:$E$553,2,FALSE)</f>
        <v>1.2</v>
      </c>
      <c r="U1509" s="130">
        <f>IFERROR(VLOOKUP(Tabla3[[#This Row],[Referencia]]&amp;Tabla3[[#This Row],[Desc detalle ext 1]],Tabla1[[Referencia-Color]:[Disponibilidad]],3,FALSE),0)</f>
        <v>0</v>
      </c>
      <c r="V1509" s="13"/>
      <c r="W1509" s="17">
        <f>+Tabla3[[#This Row],[Cant. Programada]]*Tabla3[[#This Row],[Precio unit]]</f>
        <v>0</v>
      </c>
      <c r="X1509" s="8"/>
      <c r="Y1509" s="8"/>
      <c r="Z1509" s="8" t="str">
        <f>+Tabla3[[#This Row],[Referencia]]&amp;Tabla3[[#This Row],[Desc detalle ext 1]]</f>
        <v>CB 160F STD                                       NEGRO PER</v>
      </c>
      <c r="AA1509" s="128" t="e">
        <f>+VLOOKUP(Tabla3[[#This Row],[CODIGO2]],ESTANDAR!$B$3:$C$9,2,FALSE)</f>
        <v>#N/A</v>
      </c>
      <c r="AB1509" s="128" t="str">
        <f>+MID(Tabla3[[#This Row],['# Viaje]],10,1)</f>
        <v/>
      </c>
    </row>
    <row r="1510" spans="1:28" ht="15" hidden="1" customHeight="1">
      <c r="A1510" s="50" t="s">
        <v>1750</v>
      </c>
      <c r="B1510" s="51">
        <v>42950</v>
      </c>
      <c r="C1510" s="50" t="s">
        <v>1231</v>
      </c>
      <c r="D1510" s="50" t="s">
        <v>1478</v>
      </c>
      <c r="E1510" s="50" t="s">
        <v>1232</v>
      </c>
      <c r="F1510" s="50">
        <v>4</v>
      </c>
      <c r="G1510" s="50" t="s">
        <v>57</v>
      </c>
      <c r="H1510" s="50">
        <v>4</v>
      </c>
      <c r="I1510" s="50" t="s">
        <v>1751</v>
      </c>
      <c r="J1510" s="50" t="s">
        <v>1451</v>
      </c>
      <c r="K1510" s="50" t="s">
        <v>1449</v>
      </c>
      <c r="L1510" s="51"/>
      <c r="M1510" s="50" t="s">
        <v>58</v>
      </c>
      <c r="N1510" s="50">
        <v>900095491</v>
      </c>
      <c r="O1510" s="52">
        <v>3696639</v>
      </c>
      <c r="P1510" s="7"/>
      <c r="Q15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0" s="9">
        <f>+IFERROR(VLOOKUP(Tabla3[[#This Row],[Cliente factura]],Tabla4[[NIT]:[TOTAL CREDITO]],6,FALSE),0)</f>
        <v>0</v>
      </c>
      <c r="S1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0" s="10" t="str">
        <f>VLOOKUP(Tabla3[[#This Row],[Razón social cliente factura]]&amp;Tabla3[[#This Row],[Desc. ciudad]],'Estandar de Rutas'!$C$1:$E$553,2,FALSE)</f>
        <v>1.2</v>
      </c>
      <c r="U1510" s="130">
        <f>IFERROR(VLOOKUP(Tabla3[[#This Row],[Referencia]]&amp;Tabla3[[#This Row],[Desc detalle ext 1]],Tabla1[[Referencia-Color]:[Disponibilidad]],3,FALSE),0)</f>
        <v>24</v>
      </c>
      <c r="V1510" s="13"/>
      <c r="W1510" s="17">
        <f>+Tabla3[[#This Row],[Cant. Programada]]*Tabla3[[#This Row],[Precio unit]]</f>
        <v>0</v>
      </c>
      <c r="X1510" s="8"/>
      <c r="Y1510" s="8"/>
      <c r="Z1510" s="8" t="str">
        <f>+Tabla3[[#This Row],[Referencia]]&amp;Tabla3[[#This Row],[Desc detalle ext 1]]</f>
        <v xml:space="preserve">CB 110 DLX                                        GRIS     </v>
      </c>
      <c r="AA1510" s="128" t="e">
        <f>+VLOOKUP(Tabla3[[#This Row],[CODIGO2]],ESTANDAR!$B$3:$C$9,2,FALSE)</f>
        <v>#N/A</v>
      </c>
      <c r="AB1510" s="128" t="str">
        <f>+MID(Tabla3[[#This Row],['# Viaje]],10,1)</f>
        <v/>
      </c>
    </row>
    <row r="1511" spans="1:28" ht="15" hidden="1" customHeight="1">
      <c r="A1511" s="50" t="s">
        <v>1750</v>
      </c>
      <c r="B1511" s="51">
        <v>42950</v>
      </c>
      <c r="C1511" s="50" t="s">
        <v>1231</v>
      </c>
      <c r="D1511" s="50" t="s">
        <v>1478</v>
      </c>
      <c r="E1511" s="50" t="s">
        <v>1232</v>
      </c>
      <c r="F1511" s="50">
        <v>3</v>
      </c>
      <c r="G1511" s="50" t="s">
        <v>57</v>
      </c>
      <c r="H1511" s="50">
        <v>3</v>
      </c>
      <c r="I1511" s="50" t="s">
        <v>1751</v>
      </c>
      <c r="J1511" s="50" t="s">
        <v>1451</v>
      </c>
      <c r="K1511" s="50" t="s">
        <v>1431</v>
      </c>
      <c r="L1511" s="51"/>
      <c r="M1511" s="50" t="s">
        <v>58</v>
      </c>
      <c r="N1511" s="50">
        <v>900095491</v>
      </c>
      <c r="O1511" s="52">
        <v>3696639</v>
      </c>
      <c r="P1511" s="7"/>
      <c r="Q15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1" s="9">
        <f>+IFERROR(VLOOKUP(Tabla3[[#This Row],[Cliente factura]],Tabla4[[NIT]:[TOTAL CREDITO]],6,FALSE),0)</f>
        <v>0</v>
      </c>
      <c r="S1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1" s="10" t="str">
        <f>VLOOKUP(Tabla3[[#This Row],[Razón social cliente factura]]&amp;Tabla3[[#This Row],[Desc. ciudad]],'Estandar de Rutas'!$C$1:$E$553,2,FALSE)</f>
        <v>1.2</v>
      </c>
      <c r="U1511" s="130">
        <f>IFERROR(VLOOKUP(Tabla3[[#This Row],[Referencia]]&amp;Tabla3[[#This Row],[Desc detalle ext 1]],Tabla1[[Referencia-Color]:[Disponibilidad]],3,FALSE),0)</f>
        <v>21</v>
      </c>
      <c r="V1511" s="13"/>
      <c r="W1511" s="17">
        <f>+Tabla3[[#This Row],[Cant. Programada]]*Tabla3[[#This Row],[Precio unit]]</f>
        <v>0</v>
      </c>
      <c r="X1511" s="8"/>
      <c r="Y1511" s="8"/>
      <c r="Z1511" s="8" t="str">
        <f>+Tabla3[[#This Row],[Referencia]]&amp;Tabla3[[#This Row],[Desc detalle ext 1]]</f>
        <v xml:space="preserve">CB 110 DLX                                        ROJO     </v>
      </c>
      <c r="AA1511" s="128" t="e">
        <f>+VLOOKUP(Tabla3[[#This Row],[CODIGO2]],ESTANDAR!$B$3:$C$9,2,FALSE)</f>
        <v>#N/A</v>
      </c>
      <c r="AB1511" s="128" t="str">
        <f>+MID(Tabla3[[#This Row],['# Viaje]],10,1)</f>
        <v/>
      </c>
    </row>
    <row r="1512" spans="1:28" ht="15" hidden="1" customHeight="1">
      <c r="A1512" s="50" t="s">
        <v>1750</v>
      </c>
      <c r="B1512" s="51">
        <v>42950</v>
      </c>
      <c r="C1512" s="50" t="s">
        <v>1231</v>
      </c>
      <c r="D1512" s="50" t="s">
        <v>1478</v>
      </c>
      <c r="E1512" s="50" t="s">
        <v>1232</v>
      </c>
      <c r="F1512" s="50">
        <v>5</v>
      </c>
      <c r="G1512" s="50" t="s">
        <v>57</v>
      </c>
      <c r="H1512" s="50">
        <v>5</v>
      </c>
      <c r="I1512" s="50" t="s">
        <v>1751</v>
      </c>
      <c r="J1512" s="50" t="s">
        <v>1451</v>
      </c>
      <c r="K1512" s="50" t="s">
        <v>1452</v>
      </c>
      <c r="L1512" s="51"/>
      <c r="M1512" s="50" t="s">
        <v>58</v>
      </c>
      <c r="N1512" s="50">
        <v>900095491</v>
      </c>
      <c r="O1512" s="52">
        <v>3696639</v>
      </c>
      <c r="P1512" s="7"/>
      <c r="Q15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2" s="9">
        <f>+IFERROR(VLOOKUP(Tabla3[[#This Row],[Cliente factura]],Tabla4[[NIT]:[TOTAL CREDITO]],6,FALSE),0)</f>
        <v>0</v>
      </c>
      <c r="S1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2" s="10" t="str">
        <f>VLOOKUP(Tabla3[[#This Row],[Razón social cliente factura]]&amp;Tabla3[[#This Row],[Desc. ciudad]],'Estandar de Rutas'!$C$1:$E$553,2,FALSE)</f>
        <v>1.2</v>
      </c>
      <c r="U1512" s="130">
        <f>IFERROR(VLOOKUP(Tabla3[[#This Row],[Referencia]]&amp;Tabla3[[#This Row],[Desc detalle ext 1]],Tabla1[[Referencia-Color]:[Disponibilidad]],3,FALSE),0)</f>
        <v>21</v>
      </c>
      <c r="V1512" s="13"/>
      <c r="W1512" s="17">
        <f>+Tabla3[[#This Row],[Cant. Programada]]*Tabla3[[#This Row],[Precio unit]]</f>
        <v>0</v>
      </c>
      <c r="X1512" s="8"/>
      <c r="Y1512" s="8"/>
      <c r="Z1512" s="8" t="str">
        <f>+Tabla3[[#This Row],[Referencia]]&amp;Tabla3[[#This Row],[Desc detalle ext 1]]</f>
        <v xml:space="preserve">CB 110 DLX                                        AZUL     </v>
      </c>
      <c r="AA1512" s="128" t="e">
        <f>+VLOOKUP(Tabla3[[#This Row],[CODIGO2]],ESTANDAR!$B$3:$C$9,2,FALSE)</f>
        <v>#N/A</v>
      </c>
      <c r="AB1512" s="128" t="str">
        <f>+MID(Tabla3[[#This Row],['# Viaje]],10,1)</f>
        <v/>
      </c>
    </row>
    <row r="1513" spans="1:28" ht="15" hidden="1" customHeight="1">
      <c r="A1513" s="50" t="s">
        <v>1750</v>
      </c>
      <c r="B1513" s="51">
        <v>42950</v>
      </c>
      <c r="C1513" s="50" t="s">
        <v>1231</v>
      </c>
      <c r="D1513" s="50" t="s">
        <v>1478</v>
      </c>
      <c r="E1513" s="50" t="s">
        <v>1232</v>
      </c>
      <c r="F1513" s="50">
        <v>13</v>
      </c>
      <c r="G1513" s="50" t="s">
        <v>57</v>
      </c>
      <c r="H1513" s="50">
        <v>13</v>
      </c>
      <c r="I1513" s="50" t="s">
        <v>1751</v>
      </c>
      <c r="J1513" s="50" t="s">
        <v>1451</v>
      </c>
      <c r="K1513" s="50" t="s">
        <v>16</v>
      </c>
      <c r="L1513" s="51"/>
      <c r="M1513" s="50" t="s">
        <v>58</v>
      </c>
      <c r="N1513" s="50">
        <v>900095491</v>
      </c>
      <c r="O1513" s="52">
        <v>3696639</v>
      </c>
      <c r="P1513" s="7"/>
      <c r="Q15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3" s="9">
        <f>+IFERROR(VLOOKUP(Tabla3[[#This Row],[Cliente factura]],Tabla4[[NIT]:[TOTAL CREDITO]],6,FALSE),0)</f>
        <v>0</v>
      </c>
      <c r="S1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3" s="10" t="str">
        <f>VLOOKUP(Tabla3[[#This Row],[Razón social cliente factura]]&amp;Tabla3[[#This Row],[Desc. ciudad]],'Estandar de Rutas'!$C$1:$E$553,2,FALSE)</f>
        <v>1.2</v>
      </c>
      <c r="U1513" s="130">
        <f>IFERROR(VLOOKUP(Tabla3[[#This Row],[Referencia]]&amp;Tabla3[[#This Row],[Desc detalle ext 1]],Tabla1[[Referencia-Color]:[Disponibilidad]],3,FALSE),0)</f>
        <v>3</v>
      </c>
      <c r="V1513" s="13"/>
      <c r="W1513" s="17">
        <f>+Tabla3[[#This Row],[Cant. Programada]]*Tabla3[[#This Row],[Precio unit]]</f>
        <v>0</v>
      </c>
      <c r="X1513" s="8"/>
      <c r="Y1513" s="8"/>
      <c r="Z1513" s="8" t="str">
        <f>+Tabla3[[#This Row],[Referencia]]&amp;Tabla3[[#This Row],[Desc detalle ext 1]]</f>
        <v xml:space="preserve">CB 110 DLX                                        NEGRO    </v>
      </c>
      <c r="AA1513" s="128" t="e">
        <f>+VLOOKUP(Tabla3[[#This Row],[CODIGO2]],ESTANDAR!$B$3:$C$9,2,FALSE)</f>
        <v>#N/A</v>
      </c>
      <c r="AB1513" s="128" t="str">
        <f>+MID(Tabla3[[#This Row],['# Viaje]],10,1)</f>
        <v/>
      </c>
    </row>
    <row r="1514" spans="1:28" ht="15" hidden="1" customHeight="1">
      <c r="A1514" s="50" t="s">
        <v>1752</v>
      </c>
      <c r="B1514" s="51">
        <v>42950</v>
      </c>
      <c r="C1514" s="50" t="s">
        <v>1231</v>
      </c>
      <c r="D1514" s="50" t="s">
        <v>1478</v>
      </c>
      <c r="E1514" s="50" t="s">
        <v>1232</v>
      </c>
      <c r="F1514" s="50">
        <v>3</v>
      </c>
      <c r="G1514" s="50" t="s">
        <v>125</v>
      </c>
      <c r="H1514" s="50">
        <v>3</v>
      </c>
      <c r="I1514" s="50" t="s">
        <v>125</v>
      </c>
      <c r="J1514" s="50" t="s">
        <v>27</v>
      </c>
      <c r="K1514" s="50" t="s">
        <v>32</v>
      </c>
      <c r="L1514" s="51"/>
      <c r="M1514" s="50" t="s">
        <v>126</v>
      </c>
      <c r="N1514" s="50">
        <v>890207088</v>
      </c>
      <c r="O1514" s="52">
        <v>5789916</v>
      </c>
      <c r="P1514" s="7"/>
      <c r="Q15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4" s="9">
        <f>+IFERROR(VLOOKUP(Tabla3[[#This Row],[Cliente factura]],Tabla4[[NIT]:[TOTAL CREDITO]],6,FALSE),0)</f>
        <v>0</v>
      </c>
      <c r="S1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4" s="10" t="str">
        <f>VLOOKUP(Tabla3[[#This Row],[Razón social cliente factura]]&amp;Tabla3[[#This Row],[Desc. ciudad]],'Estandar de Rutas'!$C$1:$E$553,2,FALSE)</f>
        <v>6.2.B</v>
      </c>
      <c r="U1514" s="130">
        <f>IFERROR(VLOOKUP(Tabla3[[#This Row],[Referencia]]&amp;Tabla3[[#This Row],[Desc detalle ext 1]],Tabla1[[Referencia-Color]:[Disponibilidad]],3,FALSE),0)</f>
        <v>7</v>
      </c>
      <c r="V1514" s="13"/>
      <c r="W1514" s="17">
        <f>+Tabla3[[#This Row],[Cant. Programada]]*Tabla3[[#This Row],[Precio unit]]</f>
        <v>0</v>
      </c>
      <c r="X1514" s="8"/>
      <c r="Y1514" s="8"/>
      <c r="Z1514" s="8" t="str">
        <f>+Tabla3[[#This Row],[Referencia]]&amp;Tabla3[[#This Row],[Desc detalle ext 1]]</f>
        <v>*XR 150L                                          NEGRO ROJ</v>
      </c>
      <c r="AA1514" s="128" t="e">
        <f>+VLOOKUP(Tabla3[[#This Row],[CODIGO2]],ESTANDAR!$B$3:$C$9,2,FALSE)</f>
        <v>#N/A</v>
      </c>
      <c r="AB1514" s="128" t="str">
        <f>+MID(Tabla3[[#This Row],['# Viaje]],10,1)</f>
        <v/>
      </c>
    </row>
    <row r="1515" spans="1:28" ht="15" hidden="1" customHeight="1">
      <c r="A1515" s="50" t="s">
        <v>1752</v>
      </c>
      <c r="B1515" s="51">
        <v>42950</v>
      </c>
      <c r="C1515" s="50" t="s">
        <v>1231</v>
      </c>
      <c r="D1515" s="50" t="s">
        <v>1478</v>
      </c>
      <c r="E1515" s="50" t="s">
        <v>1232</v>
      </c>
      <c r="F1515" s="50">
        <v>5</v>
      </c>
      <c r="G1515" s="50" t="s">
        <v>125</v>
      </c>
      <c r="H1515" s="50">
        <v>5</v>
      </c>
      <c r="I1515" s="50" t="s">
        <v>125</v>
      </c>
      <c r="J1515" s="50" t="s">
        <v>27</v>
      </c>
      <c r="K1515" s="50" t="s">
        <v>26</v>
      </c>
      <c r="L1515" s="51"/>
      <c r="M1515" s="50" t="s">
        <v>126</v>
      </c>
      <c r="N1515" s="50">
        <v>890207088</v>
      </c>
      <c r="O1515" s="52">
        <v>5789916</v>
      </c>
      <c r="P1515" s="7"/>
      <c r="Q15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5" s="9">
        <f>+IFERROR(VLOOKUP(Tabla3[[#This Row],[Cliente factura]],Tabla4[[NIT]:[TOTAL CREDITO]],6,FALSE),0)</f>
        <v>0</v>
      </c>
      <c r="S1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5" s="10" t="str">
        <f>VLOOKUP(Tabla3[[#This Row],[Razón social cliente factura]]&amp;Tabla3[[#This Row],[Desc. ciudad]],'Estandar de Rutas'!$C$1:$E$553,2,FALSE)</f>
        <v>6.2.B</v>
      </c>
      <c r="U1515" s="130">
        <f>IFERROR(VLOOKUP(Tabla3[[#This Row],[Referencia]]&amp;Tabla3[[#This Row],[Desc detalle ext 1]],Tabla1[[Referencia-Color]:[Disponibilidad]],3,FALSE),0)</f>
        <v>59</v>
      </c>
      <c r="V1515" s="13">
        <v>5</v>
      </c>
      <c r="W1515" s="17">
        <f>+Tabla3[[#This Row],[Cant. Programada]]*Tabla3[[#This Row],[Precio unit]]</f>
        <v>28949580</v>
      </c>
      <c r="X1515" s="130" t="s">
        <v>1903</v>
      </c>
      <c r="Y1515" s="8">
        <v>3</v>
      </c>
      <c r="Z1515" s="8" t="str">
        <f>+Tabla3[[#This Row],[Referencia]]&amp;Tabla3[[#This Row],[Desc detalle ext 1]]</f>
        <v>*XR 150L                                          NEGRO BLA</v>
      </c>
      <c r="AA1515" s="128" t="str">
        <f>+VLOOKUP(Tabla3[[#This Row],[CODIGO2]],ESTANDAR!$B$3:$C$9,2,FALSE)</f>
        <v>ENTREGAS</v>
      </c>
      <c r="AB1515" s="128" t="str">
        <f>+MID(Tabla3[[#This Row],['# Viaje]],10,1)</f>
        <v>E</v>
      </c>
    </row>
    <row r="1516" spans="1:28" ht="15" hidden="1" customHeight="1">
      <c r="A1516" s="50" t="s">
        <v>1752</v>
      </c>
      <c r="B1516" s="51">
        <v>42950</v>
      </c>
      <c r="C1516" s="50" t="s">
        <v>1231</v>
      </c>
      <c r="D1516" s="50" t="s">
        <v>1478</v>
      </c>
      <c r="E1516" s="50" t="s">
        <v>1232</v>
      </c>
      <c r="F1516" s="50">
        <v>1</v>
      </c>
      <c r="G1516" s="50" t="s">
        <v>125</v>
      </c>
      <c r="H1516" s="50">
        <v>1</v>
      </c>
      <c r="I1516" s="50" t="s">
        <v>125</v>
      </c>
      <c r="J1516" s="50" t="s">
        <v>27</v>
      </c>
      <c r="K1516" s="50" t="s">
        <v>16</v>
      </c>
      <c r="L1516" s="51"/>
      <c r="M1516" s="50" t="s">
        <v>126</v>
      </c>
      <c r="N1516" s="50">
        <v>890207088</v>
      </c>
      <c r="O1516" s="52">
        <v>5789916</v>
      </c>
      <c r="P1516" s="7"/>
      <c r="Q15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6" s="9">
        <f>+IFERROR(VLOOKUP(Tabla3[[#This Row],[Cliente factura]],Tabla4[[NIT]:[TOTAL CREDITO]],6,FALSE),0)</f>
        <v>0</v>
      </c>
      <c r="S1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6" s="10" t="str">
        <f>VLOOKUP(Tabla3[[#This Row],[Razón social cliente factura]]&amp;Tabla3[[#This Row],[Desc. ciudad]],'Estandar de Rutas'!$C$1:$E$553,2,FALSE)</f>
        <v>6.2.B</v>
      </c>
      <c r="U1516" s="130">
        <f>IFERROR(VLOOKUP(Tabla3[[#This Row],[Referencia]]&amp;Tabla3[[#This Row],[Desc detalle ext 1]],Tabla1[[Referencia-Color]:[Disponibilidad]],3,FALSE),0)</f>
        <v>3</v>
      </c>
      <c r="V1516" s="13"/>
      <c r="W1516" s="17">
        <f>+Tabla3[[#This Row],[Cant. Programada]]*Tabla3[[#This Row],[Precio unit]]</f>
        <v>0</v>
      </c>
      <c r="X1516" s="8"/>
      <c r="Y1516" s="8"/>
      <c r="Z1516" s="8" t="str">
        <f>+Tabla3[[#This Row],[Referencia]]&amp;Tabla3[[#This Row],[Desc detalle ext 1]]</f>
        <v xml:space="preserve">*XR 150L                                          NEGRO    </v>
      </c>
      <c r="AA1516" s="128" t="e">
        <f>+VLOOKUP(Tabla3[[#This Row],[CODIGO2]],ESTANDAR!$B$3:$C$9,2,FALSE)</f>
        <v>#N/A</v>
      </c>
      <c r="AB1516" s="128" t="str">
        <f>+MID(Tabla3[[#This Row],['# Viaje]],10,1)</f>
        <v/>
      </c>
    </row>
    <row r="1517" spans="1:28" ht="15" hidden="1" customHeight="1">
      <c r="A1517" s="50" t="s">
        <v>1752</v>
      </c>
      <c r="B1517" s="51">
        <v>42950</v>
      </c>
      <c r="C1517" s="50" t="s">
        <v>1231</v>
      </c>
      <c r="D1517" s="50" t="s">
        <v>1478</v>
      </c>
      <c r="E1517" s="50" t="s">
        <v>1232</v>
      </c>
      <c r="F1517" s="50">
        <v>2</v>
      </c>
      <c r="G1517" s="50" t="s">
        <v>125</v>
      </c>
      <c r="H1517" s="50">
        <v>2</v>
      </c>
      <c r="I1517" s="50" t="s">
        <v>125</v>
      </c>
      <c r="J1517" s="50" t="s">
        <v>354</v>
      </c>
      <c r="K1517" s="50" t="s">
        <v>17</v>
      </c>
      <c r="L1517" s="51"/>
      <c r="M1517" s="50" t="s">
        <v>126</v>
      </c>
      <c r="N1517" s="50">
        <v>890207088</v>
      </c>
      <c r="O1517" s="52">
        <v>6133613</v>
      </c>
      <c r="P1517" s="7"/>
      <c r="Q15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7" s="9">
        <f>+IFERROR(VLOOKUP(Tabla3[[#This Row],[Cliente factura]],Tabla4[[NIT]:[TOTAL CREDITO]],6,FALSE),0)</f>
        <v>0</v>
      </c>
      <c r="S1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7" s="10" t="str">
        <f>VLOOKUP(Tabla3[[#This Row],[Razón social cliente factura]]&amp;Tabla3[[#This Row],[Desc. ciudad]],'Estandar de Rutas'!$C$1:$E$553,2,FALSE)</f>
        <v>6.2.B</v>
      </c>
      <c r="U1517" s="130">
        <f>IFERROR(VLOOKUP(Tabla3[[#This Row],[Referencia]]&amp;Tabla3[[#This Row],[Desc detalle ext 1]],Tabla1[[Referencia-Color]:[Disponibilidad]],3,FALSE),0)</f>
        <v>48</v>
      </c>
      <c r="V1517" s="13"/>
      <c r="W1517" s="17">
        <f>+Tabla3[[#This Row],[Cant. Programada]]*Tabla3[[#This Row],[Precio unit]]</f>
        <v>0</v>
      </c>
      <c r="X1517" s="8"/>
      <c r="Y1517" s="8"/>
      <c r="Z1517" s="8" t="str">
        <f>+Tabla3[[#This Row],[Referencia]]&amp;Tabla3[[#This Row],[Desc detalle ext 1]]</f>
        <v>CB 160F DLX                                       ROJO SPOR</v>
      </c>
      <c r="AA1517" s="128" t="e">
        <f>+VLOOKUP(Tabla3[[#This Row],[CODIGO2]],ESTANDAR!$B$3:$C$9,2,FALSE)</f>
        <v>#N/A</v>
      </c>
      <c r="AB1517" s="128" t="str">
        <f>+MID(Tabla3[[#This Row],['# Viaje]],10,1)</f>
        <v/>
      </c>
    </row>
    <row r="1518" spans="1:28" ht="15" hidden="1" customHeight="1">
      <c r="A1518" s="50" t="s">
        <v>1752</v>
      </c>
      <c r="B1518" s="51">
        <v>42950</v>
      </c>
      <c r="C1518" s="50" t="s">
        <v>1231</v>
      </c>
      <c r="D1518" s="50" t="s">
        <v>1478</v>
      </c>
      <c r="E1518" s="50" t="s">
        <v>1232</v>
      </c>
      <c r="F1518" s="50">
        <v>1</v>
      </c>
      <c r="G1518" s="50" t="s">
        <v>125</v>
      </c>
      <c r="H1518" s="50">
        <v>1</v>
      </c>
      <c r="I1518" s="50" t="s">
        <v>125</v>
      </c>
      <c r="J1518" s="50" t="s">
        <v>354</v>
      </c>
      <c r="K1518" s="50" t="s">
        <v>355</v>
      </c>
      <c r="L1518" s="51"/>
      <c r="M1518" s="50" t="s">
        <v>126</v>
      </c>
      <c r="N1518" s="50">
        <v>890207088</v>
      </c>
      <c r="O1518" s="52">
        <v>6133613</v>
      </c>
      <c r="P1518" s="7"/>
      <c r="Q15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8" s="9">
        <f>+IFERROR(VLOOKUP(Tabla3[[#This Row],[Cliente factura]],Tabla4[[NIT]:[TOTAL CREDITO]],6,FALSE),0)</f>
        <v>0</v>
      </c>
      <c r="S1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8" s="10" t="str">
        <f>VLOOKUP(Tabla3[[#This Row],[Razón social cliente factura]]&amp;Tabla3[[#This Row],[Desc. ciudad]],'Estandar de Rutas'!$C$1:$E$553,2,FALSE)</f>
        <v>6.2.B</v>
      </c>
      <c r="U1518" s="130">
        <f>IFERROR(VLOOKUP(Tabla3[[#This Row],[Referencia]]&amp;Tabla3[[#This Row],[Desc detalle ext 1]],Tabla1[[Referencia-Color]:[Disponibilidad]],3,FALSE),0)</f>
        <v>0</v>
      </c>
      <c r="V1518" s="13"/>
      <c r="W1518" s="17">
        <f>+Tabla3[[#This Row],[Cant. Programada]]*Tabla3[[#This Row],[Precio unit]]</f>
        <v>0</v>
      </c>
      <c r="X1518" s="8"/>
      <c r="Y1518" s="8"/>
      <c r="Z1518" s="8" t="str">
        <f>+Tabla3[[#This Row],[Referencia]]&amp;Tabla3[[#This Row],[Desc detalle ext 1]]</f>
        <v>CB 160F DLX                                       NEGRO PER</v>
      </c>
      <c r="AA1518" s="128" t="e">
        <f>+VLOOKUP(Tabla3[[#This Row],[CODIGO2]],ESTANDAR!$B$3:$C$9,2,FALSE)</f>
        <v>#N/A</v>
      </c>
      <c r="AB1518" s="128" t="str">
        <f>+MID(Tabla3[[#This Row],['# Viaje]],10,1)</f>
        <v/>
      </c>
    </row>
    <row r="1519" spans="1:28" ht="15" hidden="1" customHeight="1">
      <c r="A1519" s="50" t="s">
        <v>1752</v>
      </c>
      <c r="B1519" s="51">
        <v>42950</v>
      </c>
      <c r="C1519" s="50" t="s">
        <v>1231</v>
      </c>
      <c r="D1519" s="50" t="s">
        <v>1478</v>
      </c>
      <c r="E1519" s="50" t="s">
        <v>1232</v>
      </c>
      <c r="F1519" s="50">
        <v>1</v>
      </c>
      <c r="G1519" s="50" t="s">
        <v>125</v>
      </c>
      <c r="H1519" s="50">
        <v>1</v>
      </c>
      <c r="I1519" s="50" t="s">
        <v>125</v>
      </c>
      <c r="J1519" s="50" t="s">
        <v>354</v>
      </c>
      <c r="K1519" s="50" t="s">
        <v>44</v>
      </c>
      <c r="L1519" s="51"/>
      <c r="M1519" s="50" t="s">
        <v>126</v>
      </c>
      <c r="N1519" s="50">
        <v>890207088</v>
      </c>
      <c r="O1519" s="52">
        <v>6133613</v>
      </c>
      <c r="P1519" s="7"/>
      <c r="Q15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9" s="9">
        <f>+IFERROR(VLOOKUP(Tabla3[[#This Row],[Cliente factura]],Tabla4[[NIT]:[TOTAL CREDITO]],6,FALSE),0)</f>
        <v>0</v>
      </c>
      <c r="S1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9" s="10" t="str">
        <f>VLOOKUP(Tabla3[[#This Row],[Razón social cliente factura]]&amp;Tabla3[[#This Row],[Desc. ciudad]],'Estandar de Rutas'!$C$1:$E$553,2,FALSE)</f>
        <v>6.2.B</v>
      </c>
      <c r="U1519" s="130">
        <f>IFERROR(VLOOKUP(Tabla3[[#This Row],[Referencia]]&amp;Tabla3[[#This Row],[Desc detalle ext 1]],Tabla1[[Referencia-Color]:[Disponibilidad]],3,FALSE),0)</f>
        <v>6</v>
      </c>
      <c r="V1519" s="13"/>
      <c r="W1519" s="17">
        <f>+Tabla3[[#This Row],[Cant. Programada]]*Tabla3[[#This Row],[Precio unit]]</f>
        <v>0</v>
      </c>
      <c r="X1519" s="8"/>
      <c r="Y1519" s="8"/>
      <c r="Z1519" s="8" t="str">
        <f>+Tabla3[[#This Row],[Referencia]]&amp;Tabla3[[#This Row],[Desc detalle ext 1]]</f>
        <v>CB 160F DLX                                       BLANCO PE</v>
      </c>
      <c r="AA1519" s="128" t="e">
        <f>+VLOOKUP(Tabla3[[#This Row],[CODIGO2]],ESTANDAR!$B$3:$C$9,2,FALSE)</f>
        <v>#N/A</v>
      </c>
      <c r="AB1519" s="128" t="str">
        <f>+MID(Tabla3[[#This Row],['# Viaje]],10,1)</f>
        <v/>
      </c>
    </row>
    <row r="1520" spans="1:28" ht="15" hidden="1" customHeight="1">
      <c r="A1520" s="50" t="s">
        <v>1752</v>
      </c>
      <c r="B1520" s="51">
        <v>42950</v>
      </c>
      <c r="C1520" s="50" t="s">
        <v>1231</v>
      </c>
      <c r="D1520" s="50" t="s">
        <v>1478</v>
      </c>
      <c r="E1520" s="50" t="s">
        <v>1232</v>
      </c>
      <c r="F1520" s="50">
        <v>1</v>
      </c>
      <c r="G1520" s="50" t="s">
        <v>125</v>
      </c>
      <c r="H1520" s="50">
        <v>1</v>
      </c>
      <c r="I1520" s="50" t="s">
        <v>125</v>
      </c>
      <c r="J1520" s="50" t="s">
        <v>1433</v>
      </c>
      <c r="K1520" s="50" t="s">
        <v>1431</v>
      </c>
      <c r="L1520" s="51"/>
      <c r="M1520" s="50" t="s">
        <v>126</v>
      </c>
      <c r="N1520" s="50">
        <v>890207088</v>
      </c>
      <c r="O1520" s="52">
        <v>3521008</v>
      </c>
      <c r="P1520" s="7"/>
      <c r="Q15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0" s="9">
        <f>+IFERROR(VLOOKUP(Tabla3[[#This Row],[Cliente factura]],Tabla4[[NIT]:[TOTAL CREDITO]],6,FALSE),0)</f>
        <v>0</v>
      </c>
      <c r="S1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0" s="10" t="str">
        <f>VLOOKUP(Tabla3[[#This Row],[Razón social cliente factura]]&amp;Tabla3[[#This Row],[Desc. ciudad]],'Estandar de Rutas'!$C$1:$E$553,2,FALSE)</f>
        <v>6.2.B</v>
      </c>
      <c r="U1520" s="130">
        <f>IFERROR(VLOOKUP(Tabla3[[#This Row],[Referencia]]&amp;Tabla3[[#This Row],[Desc detalle ext 1]],Tabla1[[Referencia-Color]:[Disponibilidad]],3,FALSE),0)</f>
        <v>0</v>
      </c>
      <c r="V1520" s="13"/>
      <c r="W1520" s="17">
        <f>+Tabla3[[#This Row],[Cant. Programada]]*Tabla3[[#This Row],[Precio unit]]</f>
        <v>0</v>
      </c>
      <c r="X1520" s="8"/>
      <c r="Y1520" s="8"/>
      <c r="Z1520" s="8" t="str">
        <f>+Tabla3[[#This Row],[Referencia]]&amp;Tabla3[[#This Row],[Desc detalle ext 1]]</f>
        <v xml:space="preserve">DIO  110                                          ROJO     </v>
      </c>
      <c r="AA1520" s="128" t="e">
        <f>+VLOOKUP(Tabla3[[#This Row],[CODIGO2]],ESTANDAR!$B$3:$C$9,2,FALSE)</f>
        <v>#N/A</v>
      </c>
      <c r="AB1520" s="128" t="str">
        <f>+MID(Tabla3[[#This Row],['# Viaje]],10,1)</f>
        <v/>
      </c>
    </row>
    <row r="1521" spans="1:28" ht="15" hidden="1" customHeight="1">
      <c r="A1521" s="50" t="s">
        <v>1752</v>
      </c>
      <c r="B1521" s="51">
        <v>42950</v>
      </c>
      <c r="C1521" s="50" t="s">
        <v>1231</v>
      </c>
      <c r="D1521" s="50" t="s">
        <v>1478</v>
      </c>
      <c r="E1521" s="50" t="s">
        <v>1232</v>
      </c>
      <c r="F1521" s="50">
        <v>1</v>
      </c>
      <c r="G1521" s="50" t="s">
        <v>125</v>
      </c>
      <c r="H1521" s="50">
        <v>1</v>
      </c>
      <c r="I1521" s="50" t="s">
        <v>125</v>
      </c>
      <c r="J1521" s="50" t="s">
        <v>1453</v>
      </c>
      <c r="K1521" s="50" t="s">
        <v>11</v>
      </c>
      <c r="L1521" s="51"/>
      <c r="M1521" s="50" t="s">
        <v>126</v>
      </c>
      <c r="N1521" s="50">
        <v>890207088</v>
      </c>
      <c r="O1521" s="52">
        <v>7730252</v>
      </c>
      <c r="P1521" s="7"/>
      <c r="Q15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1" s="9">
        <f>+IFERROR(VLOOKUP(Tabla3[[#This Row],[Cliente factura]],Tabla4[[NIT]:[TOTAL CREDITO]],6,FALSE),0)</f>
        <v>0</v>
      </c>
      <c r="S1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1" s="10" t="str">
        <f>VLOOKUP(Tabla3[[#This Row],[Razón social cliente factura]]&amp;Tabla3[[#This Row],[Desc. ciudad]],'Estandar de Rutas'!$C$1:$E$553,2,FALSE)</f>
        <v>6.2.B</v>
      </c>
      <c r="U1521" s="130">
        <f>IFERROR(VLOOKUP(Tabla3[[#This Row],[Referencia]]&amp;Tabla3[[#This Row],[Desc detalle ext 1]],Tabla1[[Referencia-Color]:[Disponibilidad]],3,FALSE),0)</f>
        <v>0</v>
      </c>
      <c r="V1521" s="13"/>
      <c r="W1521" s="17">
        <f>+Tabla3[[#This Row],[Cant. Programada]]*Tabla3[[#This Row],[Precio unit]]</f>
        <v>0</v>
      </c>
      <c r="X1521" s="8"/>
      <c r="Y1521" s="8"/>
      <c r="Z1521" s="8" t="str">
        <f>+Tabla3[[#This Row],[Referencia]]&amp;Tabla3[[#This Row],[Desc detalle ext 1]]</f>
        <v>CB 190R INSTINTO R                                NEGRO ONI</v>
      </c>
      <c r="AA1521" s="128" t="e">
        <f>+VLOOKUP(Tabla3[[#This Row],[CODIGO2]],ESTANDAR!$B$3:$C$9,2,FALSE)</f>
        <v>#N/A</v>
      </c>
      <c r="AB1521" s="128" t="str">
        <f>+MID(Tabla3[[#This Row],['# Viaje]],10,1)</f>
        <v/>
      </c>
    </row>
    <row r="1522" spans="1:28" ht="15" hidden="1" customHeight="1">
      <c r="A1522" s="50" t="s">
        <v>1752</v>
      </c>
      <c r="B1522" s="51">
        <v>42950</v>
      </c>
      <c r="C1522" s="50" t="s">
        <v>1231</v>
      </c>
      <c r="D1522" s="50" t="s">
        <v>1478</v>
      </c>
      <c r="E1522" s="50" t="s">
        <v>1232</v>
      </c>
      <c r="F1522" s="50">
        <v>2</v>
      </c>
      <c r="G1522" s="50" t="s">
        <v>125</v>
      </c>
      <c r="H1522" s="50">
        <v>2</v>
      </c>
      <c r="I1522" s="50" t="s">
        <v>125</v>
      </c>
      <c r="J1522" s="50" t="s">
        <v>1428</v>
      </c>
      <c r="K1522" s="50" t="s">
        <v>1461</v>
      </c>
      <c r="L1522" s="51"/>
      <c r="M1522" s="50" t="s">
        <v>126</v>
      </c>
      <c r="N1522" s="50">
        <v>890207088</v>
      </c>
      <c r="O1522" s="52">
        <v>3067227</v>
      </c>
      <c r="P1522" s="7"/>
      <c r="Q15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2" s="9">
        <f>+IFERROR(VLOOKUP(Tabla3[[#This Row],[Cliente factura]],Tabla4[[NIT]:[TOTAL CREDITO]],6,FALSE),0)</f>
        <v>0</v>
      </c>
      <c r="S1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2" s="10" t="str">
        <f>VLOOKUP(Tabla3[[#This Row],[Razón social cliente factura]]&amp;Tabla3[[#This Row],[Desc. ciudad]],'Estandar de Rutas'!$C$1:$E$553,2,FALSE)</f>
        <v>6.2.B</v>
      </c>
      <c r="U1522" s="130">
        <f>IFERROR(VLOOKUP(Tabla3[[#This Row],[Referencia]]&amp;Tabla3[[#This Row],[Desc detalle ext 1]],Tabla1[[Referencia-Color]:[Disponibilidad]],3,FALSE),0)</f>
        <v>0</v>
      </c>
      <c r="V1522" s="13"/>
      <c r="W1522" s="17">
        <f>+Tabla3[[#This Row],[Cant. Programada]]*Tabla3[[#This Row],[Precio unit]]</f>
        <v>0</v>
      </c>
      <c r="X1522" s="8"/>
      <c r="Y1522" s="8"/>
      <c r="Z1522" s="8" t="str">
        <f>+Tabla3[[#This Row],[Referencia]]&amp;Tabla3[[#This Row],[Desc detalle ext 1]]</f>
        <v>DREAM  NEO                                        ROJO ALFA</v>
      </c>
      <c r="AA1522" s="128" t="e">
        <f>+VLOOKUP(Tabla3[[#This Row],[CODIGO2]],ESTANDAR!$B$3:$C$9,2,FALSE)</f>
        <v>#N/A</v>
      </c>
      <c r="AB1522" s="128" t="str">
        <f>+MID(Tabla3[[#This Row],['# Viaje]],10,1)</f>
        <v/>
      </c>
    </row>
    <row r="1523" spans="1:28" ht="15" hidden="1" customHeight="1">
      <c r="A1523" s="50" t="s">
        <v>1752</v>
      </c>
      <c r="B1523" s="51">
        <v>42950</v>
      </c>
      <c r="C1523" s="50" t="s">
        <v>1231</v>
      </c>
      <c r="D1523" s="50" t="s">
        <v>1478</v>
      </c>
      <c r="E1523" s="50" t="s">
        <v>1232</v>
      </c>
      <c r="F1523" s="50">
        <v>1</v>
      </c>
      <c r="G1523" s="50" t="s">
        <v>125</v>
      </c>
      <c r="H1523" s="50">
        <v>1</v>
      </c>
      <c r="I1523" s="50" t="s">
        <v>125</v>
      </c>
      <c r="J1523" s="50" t="s">
        <v>1428</v>
      </c>
      <c r="K1523" s="50" t="s">
        <v>1429</v>
      </c>
      <c r="L1523" s="51"/>
      <c r="M1523" s="50" t="s">
        <v>126</v>
      </c>
      <c r="N1523" s="50">
        <v>890207088</v>
      </c>
      <c r="O1523" s="52">
        <v>3067227</v>
      </c>
      <c r="P1523" s="7"/>
      <c r="Q15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3" s="9">
        <f>+IFERROR(VLOOKUP(Tabla3[[#This Row],[Cliente factura]],Tabla4[[NIT]:[TOTAL CREDITO]],6,FALSE),0)</f>
        <v>0</v>
      </c>
      <c r="S1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3" s="10" t="str">
        <f>VLOOKUP(Tabla3[[#This Row],[Razón social cliente factura]]&amp;Tabla3[[#This Row],[Desc. ciudad]],'Estandar de Rutas'!$C$1:$E$553,2,FALSE)</f>
        <v>6.2.B</v>
      </c>
      <c r="U1523" s="130">
        <f>IFERROR(VLOOKUP(Tabla3[[#This Row],[Referencia]]&amp;Tabla3[[#This Row],[Desc detalle ext 1]],Tabla1[[Referencia-Color]:[Disponibilidad]],3,FALSE),0)</f>
        <v>0</v>
      </c>
      <c r="V1523" s="13"/>
      <c r="W1523" s="17">
        <f>+Tabla3[[#This Row],[Cant. Programada]]*Tabla3[[#This Row],[Precio unit]]</f>
        <v>0</v>
      </c>
      <c r="X1523" s="8"/>
      <c r="Y1523" s="8"/>
      <c r="Z1523" s="8" t="str">
        <f>+Tabla3[[#This Row],[Referencia]]&amp;Tabla3[[#This Row],[Desc detalle ext 1]]</f>
        <v>DREAM  NEO                                        NEGRO AZU</v>
      </c>
      <c r="AA1523" s="128" t="e">
        <f>+VLOOKUP(Tabla3[[#This Row],[CODIGO2]],ESTANDAR!$B$3:$C$9,2,FALSE)</f>
        <v>#N/A</v>
      </c>
      <c r="AB1523" s="128" t="str">
        <f>+MID(Tabla3[[#This Row],['# Viaje]],10,1)</f>
        <v/>
      </c>
    </row>
    <row r="1524" spans="1:28" ht="15" hidden="1" customHeight="1">
      <c r="A1524" s="50" t="s">
        <v>1752</v>
      </c>
      <c r="B1524" s="51">
        <v>42950</v>
      </c>
      <c r="C1524" s="50" t="s">
        <v>1231</v>
      </c>
      <c r="D1524" s="50" t="s">
        <v>1478</v>
      </c>
      <c r="E1524" s="50" t="s">
        <v>1232</v>
      </c>
      <c r="F1524" s="50">
        <v>2</v>
      </c>
      <c r="G1524" s="50" t="s">
        <v>125</v>
      </c>
      <c r="H1524" s="50">
        <v>2</v>
      </c>
      <c r="I1524" s="50" t="s">
        <v>125</v>
      </c>
      <c r="J1524" s="50" t="s">
        <v>1428</v>
      </c>
      <c r="K1524" s="50" t="s">
        <v>32</v>
      </c>
      <c r="L1524" s="51"/>
      <c r="M1524" s="50" t="s">
        <v>126</v>
      </c>
      <c r="N1524" s="50">
        <v>890207088</v>
      </c>
      <c r="O1524" s="52">
        <v>3067227</v>
      </c>
      <c r="P1524" s="7"/>
      <c r="Q15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4" s="9">
        <f>+IFERROR(VLOOKUP(Tabla3[[#This Row],[Cliente factura]],Tabla4[[NIT]:[TOTAL CREDITO]],6,FALSE),0)</f>
        <v>0</v>
      </c>
      <c r="S1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4" s="10" t="str">
        <f>VLOOKUP(Tabla3[[#This Row],[Razón social cliente factura]]&amp;Tabla3[[#This Row],[Desc. ciudad]],'Estandar de Rutas'!$C$1:$E$553,2,FALSE)</f>
        <v>6.2.B</v>
      </c>
      <c r="U1524" s="130">
        <f>IFERROR(VLOOKUP(Tabla3[[#This Row],[Referencia]]&amp;Tabla3[[#This Row],[Desc detalle ext 1]],Tabla1[[Referencia-Color]:[Disponibilidad]],3,FALSE),0)</f>
        <v>0</v>
      </c>
      <c r="V1524" s="13"/>
      <c r="W1524" s="17">
        <f>+Tabla3[[#This Row],[Cant. Programada]]*Tabla3[[#This Row],[Precio unit]]</f>
        <v>0</v>
      </c>
      <c r="X1524" s="8"/>
      <c r="Y1524" s="8"/>
      <c r="Z1524" s="8" t="str">
        <f>+Tabla3[[#This Row],[Referencia]]&amp;Tabla3[[#This Row],[Desc detalle ext 1]]</f>
        <v>DREAM  NEO                                        NEGRO ROJ</v>
      </c>
      <c r="AA1524" s="128" t="e">
        <f>+VLOOKUP(Tabla3[[#This Row],[CODIGO2]],ESTANDAR!$B$3:$C$9,2,FALSE)</f>
        <v>#N/A</v>
      </c>
      <c r="AB1524" s="128" t="str">
        <f>+MID(Tabla3[[#This Row],['# Viaje]],10,1)</f>
        <v/>
      </c>
    </row>
    <row r="1525" spans="1:28" ht="15" hidden="1" customHeight="1">
      <c r="A1525" s="50" t="s">
        <v>1752</v>
      </c>
      <c r="B1525" s="51">
        <v>42950</v>
      </c>
      <c r="C1525" s="50" t="s">
        <v>1231</v>
      </c>
      <c r="D1525" s="50" t="s">
        <v>1478</v>
      </c>
      <c r="E1525" s="50" t="s">
        <v>1232</v>
      </c>
      <c r="F1525" s="50">
        <v>1</v>
      </c>
      <c r="G1525" s="50" t="s">
        <v>125</v>
      </c>
      <c r="H1525" s="50">
        <v>1</v>
      </c>
      <c r="I1525" s="50" t="s">
        <v>125</v>
      </c>
      <c r="J1525" s="50" t="s">
        <v>1234</v>
      </c>
      <c r="K1525" s="50" t="s">
        <v>17</v>
      </c>
      <c r="L1525" s="51"/>
      <c r="M1525" s="50" t="s">
        <v>126</v>
      </c>
      <c r="N1525" s="50">
        <v>890207088</v>
      </c>
      <c r="O1525" s="52">
        <v>5453782</v>
      </c>
      <c r="P1525" s="7"/>
      <c r="Q15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5" s="9">
        <f>+IFERROR(VLOOKUP(Tabla3[[#This Row],[Cliente factura]],Tabla4[[NIT]:[TOTAL CREDITO]],6,FALSE),0)</f>
        <v>0</v>
      </c>
      <c r="S1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5" s="10" t="str">
        <f>VLOOKUP(Tabla3[[#This Row],[Razón social cliente factura]]&amp;Tabla3[[#This Row],[Desc. ciudad]],'Estandar de Rutas'!$C$1:$E$553,2,FALSE)</f>
        <v>6.2.B</v>
      </c>
      <c r="U1525" s="130">
        <f>IFERROR(VLOOKUP(Tabla3[[#This Row],[Referencia]]&amp;Tabla3[[#This Row],[Desc detalle ext 1]],Tabla1[[Referencia-Color]:[Disponibilidad]],3,FALSE),0)</f>
        <v>0</v>
      </c>
      <c r="V1525" s="13"/>
      <c r="W1525" s="17">
        <f>+Tabla3[[#This Row],[Cant. Programada]]*Tabla3[[#This Row],[Precio unit]]</f>
        <v>0</v>
      </c>
      <c r="X1525" s="8"/>
      <c r="Y1525" s="8"/>
      <c r="Z1525" s="8" t="str">
        <f>+Tabla3[[#This Row],[Referencia]]&amp;Tabla3[[#This Row],[Desc detalle ext 1]]</f>
        <v>CB 160F STD                                       ROJO SPOR</v>
      </c>
      <c r="AA1525" s="128" t="e">
        <f>+VLOOKUP(Tabla3[[#This Row],[CODIGO2]],ESTANDAR!$B$3:$C$9,2,FALSE)</f>
        <v>#N/A</v>
      </c>
      <c r="AB1525" s="128" t="str">
        <f>+MID(Tabla3[[#This Row],['# Viaje]],10,1)</f>
        <v/>
      </c>
    </row>
    <row r="1526" spans="1:28" ht="15" hidden="1" customHeight="1">
      <c r="A1526" s="50" t="s">
        <v>1752</v>
      </c>
      <c r="B1526" s="51">
        <v>42950</v>
      </c>
      <c r="C1526" s="50" t="s">
        <v>1231</v>
      </c>
      <c r="D1526" s="50" t="s">
        <v>1478</v>
      </c>
      <c r="E1526" s="50" t="s">
        <v>1232</v>
      </c>
      <c r="F1526" s="50">
        <v>3</v>
      </c>
      <c r="G1526" s="50" t="s">
        <v>125</v>
      </c>
      <c r="H1526" s="50">
        <v>3</v>
      </c>
      <c r="I1526" s="50" t="s">
        <v>125</v>
      </c>
      <c r="J1526" s="50" t="s">
        <v>1234</v>
      </c>
      <c r="K1526" s="50" t="s">
        <v>355</v>
      </c>
      <c r="L1526" s="51"/>
      <c r="M1526" s="50" t="s">
        <v>126</v>
      </c>
      <c r="N1526" s="50">
        <v>890207088</v>
      </c>
      <c r="O1526" s="52">
        <v>5453782</v>
      </c>
      <c r="P1526" s="7"/>
      <c r="Q15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6" s="9">
        <f>+IFERROR(VLOOKUP(Tabla3[[#This Row],[Cliente factura]],Tabla4[[NIT]:[TOTAL CREDITO]],6,FALSE),0)</f>
        <v>0</v>
      </c>
      <c r="S1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6" s="10" t="str">
        <f>VLOOKUP(Tabla3[[#This Row],[Razón social cliente factura]]&amp;Tabla3[[#This Row],[Desc. ciudad]],'Estandar de Rutas'!$C$1:$E$553,2,FALSE)</f>
        <v>6.2.B</v>
      </c>
      <c r="U1526" s="130">
        <f>IFERROR(VLOOKUP(Tabla3[[#This Row],[Referencia]]&amp;Tabla3[[#This Row],[Desc detalle ext 1]],Tabla1[[Referencia-Color]:[Disponibilidad]],3,FALSE),0)</f>
        <v>0</v>
      </c>
      <c r="V1526" s="13"/>
      <c r="W1526" s="17">
        <f>+Tabla3[[#This Row],[Cant. Programada]]*Tabla3[[#This Row],[Precio unit]]</f>
        <v>0</v>
      </c>
      <c r="X1526" s="8"/>
      <c r="Y1526" s="8"/>
      <c r="Z1526" s="8" t="str">
        <f>+Tabla3[[#This Row],[Referencia]]&amp;Tabla3[[#This Row],[Desc detalle ext 1]]</f>
        <v>CB 160F STD                                       NEGRO PER</v>
      </c>
      <c r="AA1526" s="128" t="e">
        <f>+VLOOKUP(Tabla3[[#This Row],[CODIGO2]],ESTANDAR!$B$3:$C$9,2,FALSE)</f>
        <v>#N/A</v>
      </c>
      <c r="AB1526" s="128" t="str">
        <f>+MID(Tabla3[[#This Row],['# Viaje]],10,1)</f>
        <v/>
      </c>
    </row>
    <row r="1527" spans="1:28" ht="15" hidden="1" customHeight="1">
      <c r="A1527" s="50" t="s">
        <v>1752</v>
      </c>
      <c r="B1527" s="51">
        <v>42950</v>
      </c>
      <c r="C1527" s="50" t="s">
        <v>1231</v>
      </c>
      <c r="D1527" s="50" t="s">
        <v>1478</v>
      </c>
      <c r="E1527" s="50" t="s">
        <v>1232</v>
      </c>
      <c r="F1527" s="50">
        <v>1</v>
      </c>
      <c r="G1527" s="50" t="s">
        <v>125</v>
      </c>
      <c r="H1527" s="50">
        <v>1</v>
      </c>
      <c r="I1527" s="50" t="s">
        <v>125</v>
      </c>
      <c r="J1527" s="50" t="s">
        <v>1234</v>
      </c>
      <c r="K1527" s="50" t="s">
        <v>44</v>
      </c>
      <c r="L1527" s="51"/>
      <c r="M1527" s="50" t="s">
        <v>126</v>
      </c>
      <c r="N1527" s="50">
        <v>890207088</v>
      </c>
      <c r="O1527" s="52">
        <v>5453782</v>
      </c>
      <c r="P1527" s="7"/>
      <c r="Q15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7" s="9">
        <f>+IFERROR(VLOOKUP(Tabla3[[#This Row],[Cliente factura]],Tabla4[[NIT]:[TOTAL CREDITO]],6,FALSE),0)</f>
        <v>0</v>
      </c>
      <c r="S1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7" s="10" t="str">
        <f>VLOOKUP(Tabla3[[#This Row],[Razón social cliente factura]]&amp;Tabla3[[#This Row],[Desc. ciudad]],'Estandar de Rutas'!$C$1:$E$553,2,FALSE)</f>
        <v>6.2.B</v>
      </c>
      <c r="U1527" s="130">
        <f>IFERROR(VLOOKUP(Tabla3[[#This Row],[Referencia]]&amp;Tabla3[[#This Row],[Desc detalle ext 1]],Tabla1[[Referencia-Color]:[Disponibilidad]],3,FALSE),0)</f>
        <v>1</v>
      </c>
      <c r="V1527" s="13"/>
      <c r="W1527" s="17">
        <f>+Tabla3[[#This Row],[Cant. Programada]]*Tabla3[[#This Row],[Precio unit]]</f>
        <v>0</v>
      </c>
      <c r="X1527" s="8"/>
      <c r="Y1527" s="8"/>
      <c r="Z1527" s="8" t="str">
        <f>+Tabla3[[#This Row],[Referencia]]&amp;Tabla3[[#This Row],[Desc detalle ext 1]]</f>
        <v>CB 160F STD                                       BLANCO PE</v>
      </c>
      <c r="AA1527" s="128" t="e">
        <f>+VLOOKUP(Tabla3[[#This Row],[CODIGO2]],ESTANDAR!$B$3:$C$9,2,FALSE)</f>
        <v>#N/A</v>
      </c>
      <c r="AB1527" s="128" t="str">
        <f>+MID(Tabla3[[#This Row],['# Viaje]],10,1)</f>
        <v/>
      </c>
    </row>
    <row r="1528" spans="1:28" ht="15" hidden="1" customHeight="1">
      <c r="A1528" s="50" t="s">
        <v>1752</v>
      </c>
      <c r="B1528" s="51">
        <v>42950</v>
      </c>
      <c r="C1528" s="50" t="s">
        <v>1231</v>
      </c>
      <c r="D1528" s="50" t="s">
        <v>1478</v>
      </c>
      <c r="E1528" s="50" t="s">
        <v>1232</v>
      </c>
      <c r="F1528" s="50">
        <v>1</v>
      </c>
      <c r="G1528" s="50" t="s">
        <v>125</v>
      </c>
      <c r="H1528" s="50">
        <v>1</v>
      </c>
      <c r="I1528" s="50" t="s">
        <v>125</v>
      </c>
      <c r="J1528" s="50" t="s">
        <v>1451</v>
      </c>
      <c r="K1528" s="50" t="s">
        <v>1449</v>
      </c>
      <c r="L1528" s="51"/>
      <c r="M1528" s="50" t="s">
        <v>126</v>
      </c>
      <c r="N1528" s="50">
        <v>890207088</v>
      </c>
      <c r="O1528" s="52">
        <v>3696639</v>
      </c>
      <c r="P1528" s="7"/>
      <c r="Q15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8" s="9">
        <f>+IFERROR(VLOOKUP(Tabla3[[#This Row],[Cliente factura]],Tabla4[[NIT]:[TOTAL CREDITO]],6,FALSE),0)</f>
        <v>0</v>
      </c>
      <c r="S1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8" s="10" t="str">
        <f>VLOOKUP(Tabla3[[#This Row],[Razón social cliente factura]]&amp;Tabla3[[#This Row],[Desc. ciudad]],'Estandar de Rutas'!$C$1:$E$553,2,FALSE)</f>
        <v>6.2.B</v>
      </c>
      <c r="U1528" s="130">
        <f>IFERROR(VLOOKUP(Tabla3[[#This Row],[Referencia]]&amp;Tabla3[[#This Row],[Desc detalle ext 1]],Tabla1[[Referencia-Color]:[Disponibilidad]],3,FALSE),0)</f>
        <v>24</v>
      </c>
      <c r="V1528" s="13"/>
      <c r="W1528" s="17">
        <f>+Tabla3[[#This Row],[Cant. Programada]]*Tabla3[[#This Row],[Precio unit]]</f>
        <v>0</v>
      </c>
      <c r="X1528" s="8"/>
      <c r="Y1528" s="8"/>
      <c r="Z1528" s="8" t="str">
        <f>+Tabla3[[#This Row],[Referencia]]&amp;Tabla3[[#This Row],[Desc detalle ext 1]]</f>
        <v xml:space="preserve">CB 110 DLX                                        GRIS     </v>
      </c>
      <c r="AA1528" s="128" t="e">
        <f>+VLOOKUP(Tabla3[[#This Row],[CODIGO2]],ESTANDAR!$B$3:$C$9,2,FALSE)</f>
        <v>#N/A</v>
      </c>
      <c r="AB1528" s="128" t="str">
        <f>+MID(Tabla3[[#This Row],['# Viaje]],10,1)</f>
        <v/>
      </c>
    </row>
    <row r="1529" spans="1:28" ht="15" hidden="1" customHeight="1">
      <c r="A1529" s="53" t="s">
        <v>1753</v>
      </c>
      <c r="B1529" s="54">
        <v>42950</v>
      </c>
      <c r="C1529" s="53" t="s">
        <v>1231</v>
      </c>
      <c r="D1529" s="53" t="s">
        <v>1478</v>
      </c>
      <c r="E1529" s="53" t="s">
        <v>1232</v>
      </c>
      <c r="F1529" s="53">
        <v>3</v>
      </c>
      <c r="G1529" s="53" t="s">
        <v>125</v>
      </c>
      <c r="H1529" s="53">
        <v>3</v>
      </c>
      <c r="I1529" s="53" t="s">
        <v>1754</v>
      </c>
      <c r="J1529" s="53" t="s">
        <v>27</v>
      </c>
      <c r="K1529" s="53" t="s">
        <v>32</v>
      </c>
      <c r="L1529" s="54"/>
      <c r="M1529" s="53" t="s">
        <v>309</v>
      </c>
      <c r="N1529" s="53">
        <v>890207088</v>
      </c>
      <c r="O1529" s="55">
        <v>5789916</v>
      </c>
      <c r="P1529" s="7"/>
      <c r="Q15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9" s="9">
        <f>+IFERROR(VLOOKUP(Tabla3[[#This Row],[Cliente factura]],Tabla4[[NIT]:[TOTAL CREDITO]],6,FALSE),0)</f>
        <v>0</v>
      </c>
      <c r="S1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9" s="10" t="str">
        <f>VLOOKUP(Tabla3[[#This Row],[Razón social cliente factura]]&amp;Tabla3[[#This Row],[Desc. ciudad]],'Estandar de Rutas'!$C$1:$E$553,2,FALSE)</f>
        <v>6.2.A</v>
      </c>
      <c r="U1529" s="130">
        <f>IFERROR(VLOOKUP(Tabla3[[#This Row],[Referencia]]&amp;Tabla3[[#This Row],[Desc detalle ext 1]],Tabla1[[Referencia-Color]:[Disponibilidad]],3,FALSE),0)</f>
        <v>7</v>
      </c>
      <c r="V1529" s="13"/>
      <c r="W1529" s="17">
        <f>+Tabla3[[#This Row],[Cant. Programada]]*Tabla3[[#This Row],[Precio unit]]</f>
        <v>0</v>
      </c>
      <c r="X1529" s="8"/>
      <c r="Y1529" s="8"/>
      <c r="Z1529" s="8" t="str">
        <f>+Tabla3[[#This Row],[Referencia]]&amp;Tabla3[[#This Row],[Desc detalle ext 1]]</f>
        <v>*XR 150L                                          NEGRO ROJ</v>
      </c>
      <c r="AA1529" s="128" t="e">
        <f>+VLOOKUP(Tabla3[[#This Row],[CODIGO2]],ESTANDAR!$B$3:$C$9,2,FALSE)</f>
        <v>#N/A</v>
      </c>
      <c r="AB1529" s="128" t="str">
        <f>+MID(Tabla3[[#This Row],['# Viaje]],10,1)</f>
        <v/>
      </c>
    </row>
    <row r="1530" spans="1:28" ht="15" hidden="1" customHeight="1">
      <c r="A1530" s="53" t="s">
        <v>1753</v>
      </c>
      <c r="B1530" s="54">
        <v>42950</v>
      </c>
      <c r="C1530" s="53" t="s">
        <v>1231</v>
      </c>
      <c r="D1530" s="53" t="s">
        <v>1478</v>
      </c>
      <c r="E1530" s="53" t="s">
        <v>1232</v>
      </c>
      <c r="F1530" s="53">
        <v>5</v>
      </c>
      <c r="G1530" s="53" t="s">
        <v>125</v>
      </c>
      <c r="H1530" s="53">
        <v>5</v>
      </c>
      <c r="I1530" s="53" t="s">
        <v>1754</v>
      </c>
      <c r="J1530" s="53" t="s">
        <v>27</v>
      </c>
      <c r="K1530" s="53" t="s">
        <v>26</v>
      </c>
      <c r="L1530" s="54"/>
      <c r="M1530" s="53" t="s">
        <v>309</v>
      </c>
      <c r="N1530" s="53">
        <v>890207088</v>
      </c>
      <c r="O1530" s="55">
        <v>5789916</v>
      </c>
      <c r="P1530" s="7"/>
      <c r="Q15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0" s="9">
        <f>+IFERROR(VLOOKUP(Tabla3[[#This Row],[Cliente factura]],Tabla4[[NIT]:[TOTAL CREDITO]],6,FALSE),0)</f>
        <v>0</v>
      </c>
      <c r="S1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0" s="10" t="str">
        <f>VLOOKUP(Tabla3[[#This Row],[Razón social cliente factura]]&amp;Tabla3[[#This Row],[Desc. ciudad]],'Estandar de Rutas'!$C$1:$E$553,2,FALSE)</f>
        <v>6.2.A</v>
      </c>
      <c r="U1530" s="130">
        <f>IFERROR(VLOOKUP(Tabla3[[#This Row],[Referencia]]&amp;Tabla3[[#This Row],[Desc detalle ext 1]],Tabla1[[Referencia-Color]:[Disponibilidad]],3,FALSE),0)</f>
        <v>59</v>
      </c>
      <c r="V1530" s="13"/>
      <c r="W1530" s="17">
        <f>+Tabla3[[#This Row],[Cant. Programada]]*Tabla3[[#This Row],[Precio unit]]</f>
        <v>0</v>
      </c>
      <c r="X1530" s="8"/>
      <c r="Y1530" s="8"/>
      <c r="Z1530" s="8" t="str">
        <f>+Tabla3[[#This Row],[Referencia]]&amp;Tabla3[[#This Row],[Desc detalle ext 1]]</f>
        <v>*XR 150L                                          NEGRO BLA</v>
      </c>
      <c r="AA1530" s="128" t="e">
        <f>+VLOOKUP(Tabla3[[#This Row],[CODIGO2]],ESTANDAR!$B$3:$C$9,2,FALSE)</f>
        <v>#N/A</v>
      </c>
      <c r="AB1530" s="128" t="str">
        <f>+MID(Tabla3[[#This Row],['# Viaje]],10,1)</f>
        <v/>
      </c>
    </row>
    <row r="1531" spans="1:28" ht="15" hidden="1" customHeight="1">
      <c r="A1531" s="53" t="s">
        <v>1753</v>
      </c>
      <c r="B1531" s="54">
        <v>42950</v>
      </c>
      <c r="C1531" s="53" t="s">
        <v>1231</v>
      </c>
      <c r="D1531" s="53" t="s">
        <v>1478</v>
      </c>
      <c r="E1531" s="53" t="s">
        <v>1232</v>
      </c>
      <c r="F1531" s="53">
        <v>2</v>
      </c>
      <c r="G1531" s="53" t="s">
        <v>125</v>
      </c>
      <c r="H1531" s="53">
        <v>2</v>
      </c>
      <c r="I1531" s="53" t="s">
        <v>1754</v>
      </c>
      <c r="J1531" s="53" t="s">
        <v>354</v>
      </c>
      <c r="K1531" s="53" t="s">
        <v>17</v>
      </c>
      <c r="L1531" s="54"/>
      <c r="M1531" s="53" t="s">
        <v>309</v>
      </c>
      <c r="N1531" s="53">
        <v>890207088</v>
      </c>
      <c r="O1531" s="55">
        <v>6133613</v>
      </c>
      <c r="P1531" s="7"/>
      <c r="Q15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1" s="9">
        <f>+IFERROR(VLOOKUP(Tabla3[[#This Row],[Cliente factura]],Tabla4[[NIT]:[TOTAL CREDITO]],6,FALSE),0)</f>
        <v>0</v>
      </c>
      <c r="S1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1" s="10" t="str">
        <f>VLOOKUP(Tabla3[[#This Row],[Razón social cliente factura]]&amp;Tabla3[[#This Row],[Desc. ciudad]],'Estandar de Rutas'!$C$1:$E$553,2,FALSE)</f>
        <v>6.2.A</v>
      </c>
      <c r="U1531" s="130">
        <f>IFERROR(VLOOKUP(Tabla3[[#This Row],[Referencia]]&amp;Tabla3[[#This Row],[Desc detalle ext 1]],Tabla1[[Referencia-Color]:[Disponibilidad]],3,FALSE),0)</f>
        <v>48</v>
      </c>
      <c r="V1531" s="13"/>
      <c r="W1531" s="17">
        <f>+Tabla3[[#This Row],[Cant. Programada]]*Tabla3[[#This Row],[Precio unit]]</f>
        <v>0</v>
      </c>
      <c r="X1531" s="8"/>
      <c r="Y1531" s="8"/>
      <c r="Z1531" s="8" t="str">
        <f>+Tabla3[[#This Row],[Referencia]]&amp;Tabla3[[#This Row],[Desc detalle ext 1]]</f>
        <v>CB 160F DLX                                       ROJO SPOR</v>
      </c>
      <c r="AA1531" s="128" t="e">
        <f>+VLOOKUP(Tabla3[[#This Row],[CODIGO2]],ESTANDAR!$B$3:$C$9,2,FALSE)</f>
        <v>#N/A</v>
      </c>
      <c r="AB1531" s="128" t="str">
        <f>+MID(Tabla3[[#This Row],['# Viaje]],10,1)</f>
        <v/>
      </c>
    </row>
    <row r="1532" spans="1:28" ht="15" hidden="1" customHeight="1">
      <c r="A1532" s="53" t="s">
        <v>1753</v>
      </c>
      <c r="B1532" s="54">
        <v>42950</v>
      </c>
      <c r="C1532" s="53" t="s">
        <v>1231</v>
      </c>
      <c r="D1532" s="53" t="s">
        <v>1478</v>
      </c>
      <c r="E1532" s="53" t="s">
        <v>1232</v>
      </c>
      <c r="F1532" s="53">
        <v>2</v>
      </c>
      <c r="G1532" s="53" t="s">
        <v>125</v>
      </c>
      <c r="H1532" s="53">
        <v>2</v>
      </c>
      <c r="I1532" s="53" t="s">
        <v>1754</v>
      </c>
      <c r="J1532" s="53" t="s">
        <v>354</v>
      </c>
      <c r="K1532" s="53" t="s">
        <v>355</v>
      </c>
      <c r="L1532" s="54"/>
      <c r="M1532" s="53" t="s">
        <v>309</v>
      </c>
      <c r="N1532" s="53">
        <v>890207088</v>
      </c>
      <c r="O1532" s="55">
        <v>6133613</v>
      </c>
      <c r="P1532" s="7"/>
      <c r="Q15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2" s="9">
        <f>+IFERROR(VLOOKUP(Tabla3[[#This Row],[Cliente factura]],Tabla4[[NIT]:[TOTAL CREDITO]],6,FALSE),0)</f>
        <v>0</v>
      </c>
      <c r="S1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2" s="10" t="str">
        <f>VLOOKUP(Tabla3[[#This Row],[Razón social cliente factura]]&amp;Tabla3[[#This Row],[Desc. ciudad]],'Estandar de Rutas'!$C$1:$E$553,2,FALSE)</f>
        <v>6.2.A</v>
      </c>
      <c r="U1532" s="130">
        <f>IFERROR(VLOOKUP(Tabla3[[#This Row],[Referencia]]&amp;Tabla3[[#This Row],[Desc detalle ext 1]],Tabla1[[Referencia-Color]:[Disponibilidad]],3,FALSE),0)</f>
        <v>0</v>
      </c>
      <c r="V1532" s="13"/>
      <c r="W1532" s="17">
        <f>+Tabla3[[#This Row],[Cant. Programada]]*Tabla3[[#This Row],[Precio unit]]</f>
        <v>0</v>
      </c>
      <c r="X1532" s="8"/>
      <c r="Y1532" s="8"/>
      <c r="Z1532" s="8" t="str">
        <f>+Tabla3[[#This Row],[Referencia]]&amp;Tabla3[[#This Row],[Desc detalle ext 1]]</f>
        <v>CB 160F DLX                                       NEGRO PER</v>
      </c>
      <c r="AA1532" s="128" t="e">
        <f>+VLOOKUP(Tabla3[[#This Row],[CODIGO2]],ESTANDAR!$B$3:$C$9,2,FALSE)</f>
        <v>#N/A</v>
      </c>
      <c r="AB1532" s="128" t="str">
        <f>+MID(Tabla3[[#This Row],['# Viaje]],10,1)</f>
        <v/>
      </c>
    </row>
    <row r="1533" spans="1:28" ht="15" hidden="1" customHeight="1">
      <c r="A1533" s="53" t="s">
        <v>1753</v>
      </c>
      <c r="B1533" s="54">
        <v>42950</v>
      </c>
      <c r="C1533" s="53" t="s">
        <v>1231</v>
      </c>
      <c r="D1533" s="53" t="s">
        <v>1478</v>
      </c>
      <c r="E1533" s="53" t="s">
        <v>1232</v>
      </c>
      <c r="F1533" s="53">
        <v>1</v>
      </c>
      <c r="G1533" s="53" t="s">
        <v>125</v>
      </c>
      <c r="H1533" s="53">
        <v>1</v>
      </c>
      <c r="I1533" s="53" t="s">
        <v>1754</v>
      </c>
      <c r="J1533" s="53" t="s">
        <v>1433</v>
      </c>
      <c r="K1533" s="53" t="s">
        <v>1431</v>
      </c>
      <c r="L1533" s="54"/>
      <c r="M1533" s="53" t="s">
        <v>309</v>
      </c>
      <c r="N1533" s="53">
        <v>890207088</v>
      </c>
      <c r="O1533" s="55">
        <v>3521008</v>
      </c>
      <c r="P1533" s="7"/>
      <c r="Q15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3" s="9">
        <f>+IFERROR(VLOOKUP(Tabla3[[#This Row],[Cliente factura]],Tabla4[[NIT]:[TOTAL CREDITO]],6,FALSE),0)</f>
        <v>0</v>
      </c>
      <c r="S1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3" s="10" t="str">
        <f>VLOOKUP(Tabla3[[#This Row],[Razón social cliente factura]]&amp;Tabla3[[#This Row],[Desc. ciudad]],'Estandar de Rutas'!$C$1:$E$553,2,FALSE)</f>
        <v>6.2.A</v>
      </c>
      <c r="U1533" s="130">
        <f>IFERROR(VLOOKUP(Tabla3[[#This Row],[Referencia]]&amp;Tabla3[[#This Row],[Desc detalle ext 1]],Tabla1[[Referencia-Color]:[Disponibilidad]],3,FALSE),0)</f>
        <v>0</v>
      </c>
      <c r="V1533" s="13"/>
      <c r="W1533" s="17">
        <f>+Tabla3[[#This Row],[Cant. Programada]]*Tabla3[[#This Row],[Precio unit]]</f>
        <v>0</v>
      </c>
      <c r="X1533" s="8"/>
      <c r="Y1533" s="8"/>
      <c r="Z1533" s="8" t="str">
        <f>+Tabla3[[#This Row],[Referencia]]&amp;Tabla3[[#This Row],[Desc detalle ext 1]]</f>
        <v xml:space="preserve">DIO  110                                          ROJO     </v>
      </c>
      <c r="AA1533" s="128" t="e">
        <f>+VLOOKUP(Tabla3[[#This Row],[CODIGO2]],ESTANDAR!$B$3:$C$9,2,FALSE)</f>
        <v>#N/A</v>
      </c>
      <c r="AB1533" s="128" t="str">
        <f>+MID(Tabla3[[#This Row],['# Viaje]],10,1)</f>
        <v/>
      </c>
    </row>
    <row r="1534" spans="1:28" ht="15" hidden="1" customHeight="1">
      <c r="A1534" s="53" t="s">
        <v>1753</v>
      </c>
      <c r="B1534" s="54">
        <v>42950</v>
      </c>
      <c r="C1534" s="53" t="s">
        <v>1231</v>
      </c>
      <c r="D1534" s="53" t="s">
        <v>1478</v>
      </c>
      <c r="E1534" s="53" t="s">
        <v>1232</v>
      </c>
      <c r="F1534" s="53">
        <v>1</v>
      </c>
      <c r="G1534" s="53" t="s">
        <v>125</v>
      </c>
      <c r="H1534" s="53">
        <v>1</v>
      </c>
      <c r="I1534" s="53" t="s">
        <v>1754</v>
      </c>
      <c r="J1534" s="53" t="s">
        <v>1453</v>
      </c>
      <c r="K1534" s="53" t="s">
        <v>11</v>
      </c>
      <c r="L1534" s="54"/>
      <c r="M1534" s="53" t="s">
        <v>309</v>
      </c>
      <c r="N1534" s="53">
        <v>890207088</v>
      </c>
      <c r="O1534" s="55">
        <v>7730252</v>
      </c>
      <c r="P1534" s="7"/>
      <c r="Q15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4" s="9">
        <f>+IFERROR(VLOOKUP(Tabla3[[#This Row],[Cliente factura]],Tabla4[[NIT]:[TOTAL CREDITO]],6,FALSE),0)</f>
        <v>0</v>
      </c>
      <c r="S1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4" s="10" t="str">
        <f>VLOOKUP(Tabla3[[#This Row],[Razón social cliente factura]]&amp;Tabla3[[#This Row],[Desc. ciudad]],'Estandar de Rutas'!$C$1:$E$553,2,FALSE)</f>
        <v>6.2.A</v>
      </c>
      <c r="U1534" s="130">
        <f>IFERROR(VLOOKUP(Tabla3[[#This Row],[Referencia]]&amp;Tabla3[[#This Row],[Desc detalle ext 1]],Tabla1[[Referencia-Color]:[Disponibilidad]],3,FALSE),0)</f>
        <v>0</v>
      </c>
      <c r="V1534" s="13"/>
      <c r="W1534" s="17">
        <f>+Tabla3[[#This Row],[Cant. Programada]]*Tabla3[[#This Row],[Precio unit]]</f>
        <v>0</v>
      </c>
      <c r="X1534" s="8"/>
      <c r="Y1534" s="8"/>
      <c r="Z1534" s="8" t="str">
        <f>+Tabla3[[#This Row],[Referencia]]&amp;Tabla3[[#This Row],[Desc detalle ext 1]]</f>
        <v>CB 190R INSTINTO R                                NEGRO ONI</v>
      </c>
      <c r="AA1534" s="128" t="e">
        <f>+VLOOKUP(Tabla3[[#This Row],[CODIGO2]],ESTANDAR!$B$3:$C$9,2,FALSE)</f>
        <v>#N/A</v>
      </c>
      <c r="AB1534" s="128" t="str">
        <f>+MID(Tabla3[[#This Row],['# Viaje]],10,1)</f>
        <v/>
      </c>
    </row>
    <row r="1535" spans="1:28" ht="15" hidden="1" customHeight="1">
      <c r="A1535" s="53" t="s">
        <v>1753</v>
      </c>
      <c r="B1535" s="54">
        <v>42950</v>
      </c>
      <c r="C1535" s="53" t="s">
        <v>1231</v>
      </c>
      <c r="D1535" s="53" t="s">
        <v>1478</v>
      </c>
      <c r="E1535" s="53" t="s">
        <v>1232</v>
      </c>
      <c r="F1535" s="53">
        <v>5</v>
      </c>
      <c r="G1535" s="53" t="s">
        <v>125</v>
      </c>
      <c r="H1535" s="53">
        <v>5</v>
      </c>
      <c r="I1535" s="53" t="s">
        <v>1754</v>
      </c>
      <c r="J1535" s="53" t="s">
        <v>1428</v>
      </c>
      <c r="K1535" s="53" t="s">
        <v>1461</v>
      </c>
      <c r="L1535" s="54"/>
      <c r="M1535" s="53" t="s">
        <v>309</v>
      </c>
      <c r="N1535" s="53">
        <v>890207088</v>
      </c>
      <c r="O1535" s="55">
        <v>3067227</v>
      </c>
      <c r="P1535" s="7"/>
      <c r="Q15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5" s="9">
        <f>+IFERROR(VLOOKUP(Tabla3[[#This Row],[Cliente factura]],Tabla4[[NIT]:[TOTAL CREDITO]],6,FALSE),0)</f>
        <v>0</v>
      </c>
      <c r="S1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5" s="10" t="str">
        <f>VLOOKUP(Tabla3[[#This Row],[Razón social cliente factura]]&amp;Tabla3[[#This Row],[Desc. ciudad]],'Estandar de Rutas'!$C$1:$E$553,2,FALSE)</f>
        <v>6.2.A</v>
      </c>
      <c r="U1535" s="130">
        <f>IFERROR(VLOOKUP(Tabla3[[#This Row],[Referencia]]&amp;Tabla3[[#This Row],[Desc detalle ext 1]],Tabla1[[Referencia-Color]:[Disponibilidad]],3,FALSE),0)</f>
        <v>0</v>
      </c>
      <c r="V1535" s="13"/>
      <c r="W1535" s="17">
        <f>+Tabla3[[#This Row],[Cant. Programada]]*Tabla3[[#This Row],[Precio unit]]</f>
        <v>0</v>
      </c>
      <c r="X1535" s="8"/>
      <c r="Y1535" s="8"/>
      <c r="Z1535" s="8" t="str">
        <f>+Tabla3[[#This Row],[Referencia]]&amp;Tabla3[[#This Row],[Desc detalle ext 1]]</f>
        <v>DREAM  NEO                                        ROJO ALFA</v>
      </c>
      <c r="AA1535" s="128" t="e">
        <f>+VLOOKUP(Tabla3[[#This Row],[CODIGO2]],ESTANDAR!$B$3:$C$9,2,FALSE)</f>
        <v>#N/A</v>
      </c>
      <c r="AB1535" s="128" t="str">
        <f>+MID(Tabla3[[#This Row],['# Viaje]],10,1)</f>
        <v/>
      </c>
    </row>
    <row r="1536" spans="1:28" ht="15" hidden="1" customHeight="1">
      <c r="A1536" s="53" t="s">
        <v>1753</v>
      </c>
      <c r="B1536" s="54">
        <v>42950</v>
      </c>
      <c r="C1536" s="53" t="s">
        <v>1231</v>
      </c>
      <c r="D1536" s="53" t="s">
        <v>1478</v>
      </c>
      <c r="E1536" s="53" t="s">
        <v>1232</v>
      </c>
      <c r="F1536" s="53">
        <v>2</v>
      </c>
      <c r="G1536" s="53" t="s">
        <v>125</v>
      </c>
      <c r="H1536" s="53">
        <v>2</v>
      </c>
      <c r="I1536" s="53" t="s">
        <v>1754</v>
      </c>
      <c r="J1536" s="53" t="s">
        <v>1428</v>
      </c>
      <c r="K1536" s="53" t="s">
        <v>1429</v>
      </c>
      <c r="L1536" s="54"/>
      <c r="M1536" s="53" t="s">
        <v>309</v>
      </c>
      <c r="N1536" s="53">
        <v>890207088</v>
      </c>
      <c r="O1536" s="55">
        <v>3067227</v>
      </c>
      <c r="P1536" s="7"/>
      <c r="Q15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6" s="9">
        <f>+IFERROR(VLOOKUP(Tabla3[[#This Row],[Cliente factura]],Tabla4[[NIT]:[TOTAL CREDITO]],6,FALSE),0)</f>
        <v>0</v>
      </c>
      <c r="S1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6" s="10" t="str">
        <f>VLOOKUP(Tabla3[[#This Row],[Razón social cliente factura]]&amp;Tabla3[[#This Row],[Desc. ciudad]],'Estandar de Rutas'!$C$1:$E$553,2,FALSE)</f>
        <v>6.2.A</v>
      </c>
      <c r="U1536" s="130">
        <f>IFERROR(VLOOKUP(Tabla3[[#This Row],[Referencia]]&amp;Tabla3[[#This Row],[Desc detalle ext 1]],Tabla1[[Referencia-Color]:[Disponibilidad]],3,FALSE),0)</f>
        <v>0</v>
      </c>
      <c r="V1536" s="13"/>
      <c r="W1536" s="17">
        <f>+Tabla3[[#This Row],[Cant. Programada]]*Tabla3[[#This Row],[Precio unit]]</f>
        <v>0</v>
      </c>
      <c r="X1536" s="8"/>
      <c r="Y1536" s="8"/>
      <c r="Z1536" s="8" t="str">
        <f>+Tabla3[[#This Row],[Referencia]]&amp;Tabla3[[#This Row],[Desc detalle ext 1]]</f>
        <v>DREAM  NEO                                        NEGRO AZU</v>
      </c>
      <c r="AA1536" s="128" t="e">
        <f>+VLOOKUP(Tabla3[[#This Row],[CODIGO2]],ESTANDAR!$B$3:$C$9,2,FALSE)</f>
        <v>#N/A</v>
      </c>
      <c r="AB1536" s="128" t="str">
        <f>+MID(Tabla3[[#This Row],['# Viaje]],10,1)</f>
        <v/>
      </c>
    </row>
    <row r="1537" spans="1:28" ht="15" hidden="1" customHeight="1">
      <c r="A1537" s="53" t="s">
        <v>1753</v>
      </c>
      <c r="B1537" s="54">
        <v>42950</v>
      </c>
      <c r="C1537" s="53" t="s">
        <v>1231</v>
      </c>
      <c r="D1537" s="53" t="s">
        <v>1478</v>
      </c>
      <c r="E1537" s="53" t="s">
        <v>1232</v>
      </c>
      <c r="F1537" s="53">
        <v>1</v>
      </c>
      <c r="G1537" s="53" t="s">
        <v>125</v>
      </c>
      <c r="H1537" s="53">
        <v>1</v>
      </c>
      <c r="I1537" s="53" t="s">
        <v>1754</v>
      </c>
      <c r="J1537" s="53" t="s">
        <v>1234</v>
      </c>
      <c r="K1537" s="53" t="s">
        <v>17</v>
      </c>
      <c r="L1537" s="54"/>
      <c r="M1537" s="53" t="s">
        <v>309</v>
      </c>
      <c r="N1537" s="53">
        <v>890207088</v>
      </c>
      <c r="O1537" s="55">
        <v>5453782</v>
      </c>
      <c r="P1537" s="7"/>
      <c r="Q15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7" s="9">
        <f>+IFERROR(VLOOKUP(Tabla3[[#This Row],[Cliente factura]],Tabla4[[NIT]:[TOTAL CREDITO]],6,FALSE),0)</f>
        <v>0</v>
      </c>
      <c r="S1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7" s="10" t="str">
        <f>VLOOKUP(Tabla3[[#This Row],[Razón social cliente factura]]&amp;Tabla3[[#This Row],[Desc. ciudad]],'Estandar de Rutas'!$C$1:$E$553,2,FALSE)</f>
        <v>6.2.A</v>
      </c>
      <c r="U1537" s="130">
        <f>IFERROR(VLOOKUP(Tabla3[[#This Row],[Referencia]]&amp;Tabla3[[#This Row],[Desc detalle ext 1]],Tabla1[[Referencia-Color]:[Disponibilidad]],3,FALSE),0)</f>
        <v>0</v>
      </c>
      <c r="V1537" s="13"/>
      <c r="W1537" s="17">
        <f>+Tabla3[[#This Row],[Cant. Programada]]*Tabla3[[#This Row],[Precio unit]]</f>
        <v>0</v>
      </c>
      <c r="X1537" s="8"/>
      <c r="Y1537" s="8"/>
      <c r="Z1537" s="8" t="str">
        <f>+Tabla3[[#This Row],[Referencia]]&amp;Tabla3[[#This Row],[Desc detalle ext 1]]</f>
        <v>CB 160F STD                                       ROJO SPOR</v>
      </c>
      <c r="AA1537" s="128" t="e">
        <f>+VLOOKUP(Tabla3[[#This Row],[CODIGO2]],ESTANDAR!$B$3:$C$9,2,FALSE)</f>
        <v>#N/A</v>
      </c>
      <c r="AB1537" s="128" t="str">
        <f>+MID(Tabla3[[#This Row],['# Viaje]],10,1)</f>
        <v/>
      </c>
    </row>
    <row r="1538" spans="1:28" ht="15" hidden="1" customHeight="1">
      <c r="A1538" s="56" t="s">
        <v>1753</v>
      </c>
      <c r="B1538" s="57">
        <v>42950</v>
      </c>
      <c r="C1538" s="56" t="s">
        <v>1231</v>
      </c>
      <c r="D1538" s="56" t="s">
        <v>1478</v>
      </c>
      <c r="E1538" s="56" t="s">
        <v>1232</v>
      </c>
      <c r="F1538" s="56">
        <v>2</v>
      </c>
      <c r="G1538" s="56" t="s">
        <v>125</v>
      </c>
      <c r="H1538" s="56">
        <v>2</v>
      </c>
      <c r="I1538" s="56" t="s">
        <v>1754</v>
      </c>
      <c r="J1538" s="56" t="s">
        <v>1234</v>
      </c>
      <c r="K1538" s="56" t="s">
        <v>355</v>
      </c>
      <c r="L1538" s="57"/>
      <c r="M1538" s="56" t="s">
        <v>309</v>
      </c>
      <c r="N1538" s="56">
        <v>890207088</v>
      </c>
      <c r="O1538" s="58">
        <v>5453782</v>
      </c>
      <c r="P1538" s="7"/>
      <c r="Q15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8" s="9">
        <f>+IFERROR(VLOOKUP(Tabla3[[#This Row],[Cliente factura]],Tabla4[[NIT]:[TOTAL CREDITO]],6,FALSE),0)</f>
        <v>0</v>
      </c>
      <c r="S1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8" s="10" t="str">
        <f>VLOOKUP(Tabla3[[#This Row],[Razón social cliente factura]]&amp;Tabla3[[#This Row],[Desc. ciudad]],'Estandar de Rutas'!$C$1:$E$553,2,FALSE)</f>
        <v>6.2.A</v>
      </c>
      <c r="U1538" s="130">
        <f>IFERROR(VLOOKUP(Tabla3[[#This Row],[Referencia]]&amp;Tabla3[[#This Row],[Desc detalle ext 1]],Tabla1[[Referencia-Color]:[Disponibilidad]],3,FALSE),0)</f>
        <v>0</v>
      </c>
      <c r="V1538" s="13"/>
      <c r="W1538" s="17">
        <f>+Tabla3[[#This Row],[Cant. Programada]]*Tabla3[[#This Row],[Precio unit]]</f>
        <v>0</v>
      </c>
      <c r="X1538" s="8"/>
      <c r="Y1538" s="8"/>
      <c r="Z1538" s="8" t="str">
        <f>+Tabla3[[#This Row],[Referencia]]&amp;Tabla3[[#This Row],[Desc detalle ext 1]]</f>
        <v>CB 160F STD                                       NEGRO PER</v>
      </c>
      <c r="AA1538" s="128" t="e">
        <f>+VLOOKUP(Tabla3[[#This Row],[CODIGO2]],ESTANDAR!$B$3:$C$9,2,FALSE)</f>
        <v>#N/A</v>
      </c>
      <c r="AB1538" s="128" t="str">
        <f>+MID(Tabla3[[#This Row],['# Viaje]],10,1)</f>
        <v/>
      </c>
    </row>
    <row r="1539" spans="1:28" ht="15" hidden="1" customHeight="1">
      <c r="A1539" s="56" t="s">
        <v>1753</v>
      </c>
      <c r="B1539" s="57">
        <v>42950</v>
      </c>
      <c r="C1539" s="56" t="s">
        <v>1231</v>
      </c>
      <c r="D1539" s="56" t="s">
        <v>1478</v>
      </c>
      <c r="E1539" s="56" t="s">
        <v>1232</v>
      </c>
      <c r="F1539" s="56">
        <v>1</v>
      </c>
      <c r="G1539" s="56" t="s">
        <v>125</v>
      </c>
      <c r="H1539" s="56">
        <v>1</v>
      </c>
      <c r="I1539" s="56" t="s">
        <v>1754</v>
      </c>
      <c r="J1539" s="56" t="s">
        <v>1234</v>
      </c>
      <c r="K1539" s="56" t="s">
        <v>44</v>
      </c>
      <c r="L1539" s="57"/>
      <c r="M1539" s="56" t="s">
        <v>309</v>
      </c>
      <c r="N1539" s="56">
        <v>890207088</v>
      </c>
      <c r="O1539" s="58">
        <v>5453782</v>
      </c>
      <c r="P1539" s="7"/>
      <c r="Q15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9" s="9">
        <f>+IFERROR(VLOOKUP(Tabla3[[#This Row],[Cliente factura]],Tabla4[[NIT]:[TOTAL CREDITO]],6,FALSE),0)</f>
        <v>0</v>
      </c>
      <c r="S1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9" s="10" t="str">
        <f>VLOOKUP(Tabla3[[#This Row],[Razón social cliente factura]]&amp;Tabla3[[#This Row],[Desc. ciudad]],'Estandar de Rutas'!$C$1:$E$553,2,FALSE)</f>
        <v>6.2.A</v>
      </c>
      <c r="U1539" s="130">
        <f>IFERROR(VLOOKUP(Tabla3[[#This Row],[Referencia]]&amp;Tabla3[[#This Row],[Desc detalle ext 1]],Tabla1[[Referencia-Color]:[Disponibilidad]],3,FALSE),0)</f>
        <v>1</v>
      </c>
      <c r="V1539" s="13"/>
      <c r="W1539" s="17">
        <f>+Tabla3[[#This Row],[Cant. Programada]]*Tabla3[[#This Row],[Precio unit]]</f>
        <v>0</v>
      </c>
      <c r="X1539" s="8"/>
      <c r="Y1539" s="8"/>
      <c r="Z1539" s="8" t="str">
        <f>+Tabla3[[#This Row],[Referencia]]&amp;Tabla3[[#This Row],[Desc detalle ext 1]]</f>
        <v>CB 160F STD                                       BLANCO PE</v>
      </c>
      <c r="AA1539" s="128" t="e">
        <f>+VLOOKUP(Tabla3[[#This Row],[CODIGO2]],ESTANDAR!$B$3:$C$9,2,FALSE)</f>
        <v>#N/A</v>
      </c>
      <c r="AB1539" s="128" t="str">
        <f>+MID(Tabla3[[#This Row],['# Viaje]],10,1)</f>
        <v/>
      </c>
    </row>
    <row r="1540" spans="1:28" ht="15" hidden="1" customHeight="1">
      <c r="A1540" s="56" t="s">
        <v>1753</v>
      </c>
      <c r="B1540" s="57">
        <v>42950</v>
      </c>
      <c r="C1540" s="56" t="s">
        <v>1231</v>
      </c>
      <c r="D1540" s="56" t="s">
        <v>1478</v>
      </c>
      <c r="E1540" s="56" t="s">
        <v>1232</v>
      </c>
      <c r="F1540" s="56">
        <v>1</v>
      </c>
      <c r="G1540" s="56" t="s">
        <v>125</v>
      </c>
      <c r="H1540" s="56">
        <v>1</v>
      </c>
      <c r="I1540" s="56" t="s">
        <v>1754</v>
      </c>
      <c r="J1540" s="56" t="s">
        <v>1451</v>
      </c>
      <c r="K1540" s="56" t="s">
        <v>1449</v>
      </c>
      <c r="L1540" s="57"/>
      <c r="M1540" s="56" t="s">
        <v>309</v>
      </c>
      <c r="N1540" s="56">
        <v>890207088</v>
      </c>
      <c r="O1540" s="58">
        <v>3696639</v>
      </c>
      <c r="P1540" s="7"/>
      <c r="Q15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0" s="9">
        <f>+IFERROR(VLOOKUP(Tabla3[[#This Row],[Cliente factura]],Tabla4[[NIT]:[TOTAL CREDITO]],6,FALSE),0)</f>
        <v>0</v>
      </c>
      <c r="S1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0" s="10" t="str">
        <f>VLOOKUP(Tabla3[[#This Row],[Razón social cliente factura]]&amp;Tabla3[[#This Row],[Desc. ciudad]],'Estandar de Rutas'!$C$1:$E$553,2,FALSE)</f>
        <v>6.2.A</v>
      </c>
      <c r="U1540" s="130">
        <f>IFERROR(VLOOKUP(Tabla3[[#This Row],[Referencia]]&amp;Tabla3[[#This Row],[Desc detalle ext 1]],Tabla1[[Referencia-Color]:[Disponibilidad]],3,FALSE),0)</f>
        <v>24</v>
      </c>
      <c r="V1540" s="13"/>
      <c r="W1540" s="17">
        <f>+Tabla3[[#This Row],[Cant. Programada]]*Tabla3[[#This Row],[Precio unit]]</f>
        <v>0</v>
      </c>
      <c r="X1540" s="8"/>
      <c r="Y1540" s="8"/>
      <c r="Z1540" s="8" t="str">
        <f>+Tabla3[[#This Row],[Referencia]]&amp;Tabla3[[#This Row],[Desc detalle ext 1]]</f>
        <v xml:space="preserve">CB 110 DLX                                        GRIS     </v>
      </c>
      <c r="AA1540" s="128" t="e">
        <f>+VLOOKUP(Tabla3[[#This Row],[CODIGO2]],ESTANDAR!$B$3:$C$9,2,FALSE)</f>
        <v>#N/A</v>
      </c>
      <c r="AB1540" s="128" t="str">
        <f>+MID(Tabla3[[#This Row],['# Viaje]],10,1)</f>
        <v/>
      </c>
    </row>
    <row r="1541" spans="1:28" ht="15" hidden="1" customHeight="1">
      <c r="A1541" s="56" t="s">
        <v>1753</v>
      </c>
      <c r="B1541" s="57">
        <v>42950</v>
      </c>
      <c r="C1541" s="56" t="s">
        <v>1231</v>
      </c>
      <c r="D1541" s="56" t="s">
        <v>1478</v>
      </c>
      <c r="E1541" s="56" t="s">
        <v>1232</v>
      </c>
      <c r="F1541" s="56">
        <v>1</v>
      </c>
      <c r="G1541" s="56" t="s">
        <v>125</v>
      </c>
      <c r="H1541" s="56">
        <v>1</v>
      </c>
      <c r="I1541" s="56" t="s">
        <v>1754</v>
      </c>
      <c r="J1541" s="56" t="s">
        <v>1451</v>
      </c>
      <c r="K1541" s="56" t="s">
        <v>16</v>
      </c>
      <c r="L1541" s="57"/>
      <c r="M1541" s="56" t="s">
        <v>309</v>
      </c>
      <c r="N1541" s="56">
        <v>890207088</v>
      </c>
      <c r="O1541" s="58">
        <v>3696639</v>
      </c>
      <c r="P1541" s="7"/>
      <c r="Q15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1" s="9">
        <f>+IFERROR(VLOOKUP(Tabla3[[#This Row],[Cliente factura]],Tabla4[[NIT]:[TOTAL CREDITO]],6,FALSE),0)</f>
        <v>0</v>
      </c>
      <c r="S1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1" s="10" t="str">
        <f>VLOOKUP(Tabla3[[#This Row],[Razón social cliente factura]]&amp;Tabla3[[#This Row],[Desc. ciudad]],'Estandar de Rutas'!$C$1:$E$553,2,FALSE)</f>
        <v>6.2.A</v>
      </c>
      <c r="U1541" s="130">
        <f>IFERROR(VLOOKUP(Tabla3[[#This Row],[Referencia]]&amp;Tabla3[[#This Row],[Desc detalle ext 1]],Tabla1[[Referencia-Color]:[Disponibilidad]],3,FALSE),0)</f>
        <v>3</v>
      </c>
      <c r="V1541" s="13"/>
      <c r="W1541" s="17">
        <f>+Tabla3[[#This Row],[Cant. Programada]]*Tabla3[[#This Row],[Precio unit]]</f>
        <v>0</v>
      </c>
      <c r="X1541" s="8"/>
      <c r="Y1541" s="8"/>
      <c r="Z1541" s="8" t="str">
        <f>+Tabla3[[#This Row],[Referencia]]&amp;Tabla3[[#This Row],[Desc detalle ext 1]]</f>
        <v xml:space="preserve">CB 110 DLX                                        NEGRO    </v>
      </c>
      <c r="AA1541" s="128" t="e">
        <f>+VLOOKUP(Tabla3[[#This Row],[CODIGO2]],ESTANDAR!$B$3:$C$9,2,FALSE)</f>
        <v>#N/A</v>
      </c>
      <c r="AB1541" s="128" t="str">
        <f>+MID(Tabla3[[#This Row],['# Viaje]],10,1)</f>
        <v/>
      </c>
    </row>
    <row r="1542" spans="1:28" ht="15" hidden="1" customHeight="1">
      <c r="A1542" s="56" t="s">
        <v>1755</v>
      </c>
      <c r="B1542" s="57">
        <v>42950</v>
      </c>
      <c r="C1542" s="56" t="s">
        <v>1231</v>
      </c>
      <c r="D1542" s="56" t="s">
        <v>1478</v>
      </c>
      <c r="E1542" s="56" t="s">
        <v>1232</v>
      </c>
      <c r="F1542" s="56">
        <v>2</v>
      </c>
      <c r="G1542" s="56" t="s">
        <v>125</v>
      </c>
      <c r="H1542" s="56">
        <v>2</v>
      </c>
      <c r="I1542" s="56" t="s">
        <v>1756</v>
      </c>
      <c r="J1542" s="56" t="s">
        <v>14</v>
      </c>
      <c r="K1542" s="56" t="s">
        <v>1417</v>
      </c>
      <c r="L1542" s="57"/>
      <c r="M1542" s="56" t="s">
        <v>126</v>
      </c>
      <c r="N1542" s="56">
        <v>890207088</v>
      </c>
      <c r="O1542" s="58">
        <v>3360504</v>
      </c>
      <c r="P1542" s="7"/>
      <c r="Q15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2" s="9">
        <f>+IFERROR(VLOOKUP(Tabla3[[#This Row],[Cliente factura]],Tabla4[[NIT]:[TOTAL CREDITO]],6,FALSE),0)</f>
        <v>0</v>
      </c>
      <c r="S1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2" s="10" t="str">
        <f>VLOOKUP(Tabla3[[#This Row],[Razón social cliente factura]]&amp;Tabla3[[#This Row],[Desc. ciudad]],'Estandar de Rutas'!$C$1:$E$553,2,FALSE)</f>
        <v>6.2.B</v>
      </c>
      <c r="U1542" s="130">
        <f>IFERROR(VLOOKUP(Tabla3[[#This Row],[Referencia]]&amp;Tabla3[[#This Row],[Desc detalle ext 1]],Tabla1[[Referencia-Color]:[Disponibilidad]],3,FALSE),0)</f>
        <v>24</v>
      </c>
      <c r="V1542" s="13"/>
      <c r="W1542" s="17">
        <f>+Tabla3[[#This Row],[Cant. Programada]]*Tabla3[[#This Row],[Precio unit]]</f>
        <v>0</v>
      </c>
      <c r="X1542" s="8"/>
      <c r="Y1542" s="8"/>
      <c r="Z1542" s="8" t="str">
        <f>+Tabla3[[#This Row],[Referencia]]&amp;Tabla3[[#This Row],[Desc detalle ext 1]]</f>
        <v xml:space="preserve">*CB-110                                           GRIS MET </v>
      </c>
      <c r="AA1542" s="128" t="e">
        <f>+VLOOKUP(Tabla3[[#This Row],[CODIGO2]],ESTANDAR!$B$3:$C$9,2,FALSE)</f>
        <v>#N/A</v>
      </c>
      <c r="AB1542" s="128" t="str">
        <f>+MID(Tabla3[[#This Row],['# Viaje]],10,1)</f>
        <v/>
      </c>
    </row>
    <row r="1543" spans="1:28" ht="15" hidden="1" customHeight="1">
      <c r="A1543" s="56" t="s">
        <v>1755</v>
      </c>
      <c r="B1543" s="57">
        <v>42950</v>
      </c>
      <c r="C1543" s="56" t="s">
        <v>1231</v>
      </c>
      <c r="D1543" s="56" t="s">
        <v>1478</v>
      </c>
      <c r="E1543" s="56" t="s">
        <v>1232</v>
      </c>
      <c r="F1543" s="56">
        <v>2</v>
      </c>
      <c r="G1543" s="56" t="s">
        <v>125</v>
      </c>
      <c r="H1543" s="56">
        <v>2</v>
      </c>
      <c r="I1543" s="56" t="s">
        <v>1756</v>
      </c>
      <c r="J1543" s="56" t="s">
        <v>14</v>
      </c>
      <c r="K1543" s="56" t="s">
        <v>16</v>
      </c>
      <c r="L1543" s="57"/>
      <c r="M1543" s="56" t="s">
        <v>126</v>
      </c>
      <c r="N1543" s="56">
        <v>890207088</v>
      </c>
      <c r="O1543" s="58">
        <v>3360504</v>
      </c>
      <c r="P1543" s="7"/>
      <c r="Q15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3" s="9">
        <f>+IFERROR(VLOOKUP(Tabla3[[#This Row],[Cliente factura]],Tabla4[[NIT]:[TOTAL CREDITO]],6,FALSE),0)</f>
        <v>0</v>
      </c>
      <c r="S1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3" s="10" t="str">
        <f>VLOOKUP(Tabla3[[#This Row],[Razón social cliente factura]]&amp;Tabla3[[#This Row],[Desc. ciudad]],'Estandar de Rutas'!$C$1:$E$553,2,FALSE)</f>
        <v>6.2.B</v>
      </c>
      <c r="U1543" s="130">
        <f>IFERROR(VLOOKUP(Tabla3[[#This Row],[Referencia]]&amp;Tabla3[[#This Row],[Desc detalle ext 1]],Tabla1[[Referencia-Color]:[Disponibilidad]],3,FALSE),0)</f>
        <v>83</v>
      </c>
      <c r="V1543" s="13"/>
      <c r="W1543" s="17">
        <f>+Tabla3[[#This Row],[Cant. Programada]]*Tabla3[[#This Row],[Precio unit]]</f>
        <v>0</v>
      </c>
      <c r="X1543" s="8"/>
      <c r="Y1543" s="8"/>
      <c r="Z1543" s="8" t="str">
        <f>+Tabla3[[#This Row],[Referencia]]&amp;Tabla3[[#This Row],[Desc detalle ext 1]]</f>
        <v xml:space="preserve">*CB-110                                           NEGRO    </v>
      </c>
      <c r="AA1543" s="128" t="e">
        <f>+VLOOKUP(Tabla3[[#This Row],[CODIGO2]],ESTANDAR!$B$3:$C$9,2,FALSE)</f>
        <v>#N/A</v>
      </c>
      <c r="AB1543" s="128" t="str">
        <f>+MID(Tabla3[[#This Row],['# Viaje]],10,1)</f>
        <v/>
      </c>
    </row>
    <row r="1544" spans="1:28" ht="15" hidden="1" customHeight="1">
      <c r="A1544" s="56" t="s">
        <v>1755</v>
      </c>
      <c r="B1544" s="57">
        <v>42950</v>
      </c>
      <c r="C1544" s="56" t="s">
        <v>1231</v>
      </c>
      <c r="D1544" s="56" t="s">
        <v>1478</v>
      </c>
      <c r="E1544" s="56" t="s">
        <v>1232</v>
      </c>
      <c r="F1544" s="56">
        <v>1</v>
      </c>
      <c r="G1544" s="56" t="s">
        <v>125</v>
      </c>
      <c r="H1544" s="56">
        <v>1</v>
      </c>
      <c r="I1544" s="56" t="s">
        <v>1756</v>
      </c>
      <c r="J1544" s="56" t="s">
        <v>27</v>
      </c>
      <c r="K1544" s="56" t="s">
        <v>32</v>
      </c>
      <c r="L1544" s="57"/>
      <c r="M1544" s="56" t="s">
        <v>126</v>
      </c>
      <c r="N1544" s="56">
        <v>890207088</v>
      </c>
      <c r="O1544" s="58">
        <v>5789916</v>
      </c>
      <c r="P1544" s="7"/>
      <c r="Q15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4" s="9">
        <f>+IFERROR(VLOOKUP(Tabla3[[#This Row],[Cliente factura]],Tabla4[[NIT]:[TOTAL CREDITO]],6,FALSE),0)</f>
        <v>0</v>
      </c>
      <c r="S1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4" s="10" t="str">
        <f>VLOOKUP(Tabla3[[#This Row],[Razón social cliente factura]]&amp;Tabla3[[#This Row],[Desc. ciudad]],'Estandar de Rutas'!$C$1:$E$553,2,FALSE)</f>
        <v>6.2.B</v>
      </c>
      <c r="U1544" s="130">
        <f>IFERROR(VLOOKUP(Tabla3[[#This Row],[Referencia]]&amp;Tabla3[[#This Row],[Desc detalle ext 1]],Tabla1[[Referencia-Color]:[Disponibilidad]],3,FALSE),0)</f>
        <v>7</v>
      </c>
      <c r="V1544" s="13"/>
      <c r="W1544" s="17">
        <f>+Tabla3[[#This Row],[Cant. Programada]]*Tabla3[[#This Row],[Precio unit]]</f>
        <v>0</v>
      </c>
      <c r="X1544" s="8"/>
      <c r="Y1544" s="8"/>
      <c r="Z1544" s="8" t="str">
        <f>+Tabla3[[#This Row],[Referencia]]&amp;Tabla3[[#This Row],[Desc detalle ext 1]]</f>
        <v>*XR 150L                                          NEGRO ROJ</v>
      </c>
      <c r="AA1544" s="128" t="e">
        <f>+VLOOKUP(Tabla3[[#This Row],[CODIGO2]],ESTANDAR!$B$3:$C$9,2,FALSE)</f>
        <v>#N/A</v>
      </c>
      <c r="AB1544" s="128" t="str">
        <f>+MID(Tabla3[[#This Row],['# Viaje]],10,1)</f>
        <v/>
      </c>
    </row>
    <row r="1545" spans="1:28" ht="15" hidden="1" customHeight="1">
      <c r="A1545" s="56" t="s">
        <v>1755</v>
      </c>
      <c r="B1545" s="57">
        <v>42950</v>
      </c>
      <c r="C1545" s="56" t="s">
        <v>1231</v>
      </c>
      <c r="D1545" s="56" t="s">
        <v>1478</v>
      </c>
      <c r="E1545" s="56" t="s">
        <v>1232</v>
      </c>
      <c r="F1545" s="56">
        <v>1</v>
      </c>
      <c r="G1545" s="56" t="s">
        <v>125</v>
      </c>
      <c r="H1545" s="56">
        <v>1</v>
      </c>
      <c r="I1545" s="56" t="s">
        <v>1756</v>
      </c>
      <c r="J1545" s="56" t="s">
        <v>10</v>
      </c>
      <c r="K1545" s="56" t="s">
        <v>11</v>
      </c>
      <c r="L1545" s="57"/>
      <c r="M1545" s="56" t="s">
        <v>126</v>
      </c>
      <c r="N1545" s="56">
        <v>890207088</v>
      </c>
      <c r="O1545" s="58">
        <v>7554622</v>
      </c>
      <c r="P1545" s="7"/>
      <c r="Q15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5" s="9">
        <f>+IFERROR(VLOOKUP(Tabla3[[#This Row],[Cliente factura]],Tabla4[[NIT]:[TOTAL CREDITO]],6,FALSE),0)</f>
        <v>0</v>
      </c>
      <c r="S1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5" s="10" t="str">
        <f>VLOOKUP(Tabla3[[#This Row],[Razón social cliente factura]]&amp;Tabla3[[#This Row],[Desc. ciudad]],'Estandar de Rutas'!$C$1:$E$553,2,FALSE)</f>
        <v>6.2.B</v>
      </c>
      <c r="U1545" s="130">
        <f>IFERROR(VLOOKUP(Tabla3[[#This Row],[Referencia]]&amp;Tabla3[[#This Row],[Desc detalle ext 1]],Tabla1[[Referencia-Color]:[Disponibilidad]],3,FALSE),0)</f>
        <v>0</v>
      </c>
      <c r="V1545" s="13"/>
      <c r="W1545" s="17">
        <f>+Tabla3[[#This Row],[Cant. Programada]]*Tabla3[[#This Row],[Precio unit]]</f>
        <v>0</v>
      </c>
      <c r="X1545" s="8"/>
      <c r="Y1545" s="8"/>
      <c r="Z1545" s="8" t="str">
        <f>+Tabla3[[#This Row],[Referencia]]&amp;Tabla3[[#This Row],[Desc detalle ext 1]]</f>
        <v>CB 190R                                           NEGRO ONI</v>
      </c>
      <c r="AA1545" s="128" t="e">
        <f>+VLOOKUP(Tabla3[[#This Row],[CODIGO2]],ESTANDAR!$B$3:$C$9,2,FALSE)</f>
        <v>#N/A</v>
      </c>
      <c r="AB1545" s="128" t="str">
        <f>+MID(Tabla3[[#This Row],['# Viaje]],10,1)</f>
        <v/>
      </c>
    </row>
    <row r="1546" spans="1:28" ht="15" hidden="1" customHeight="1">
      <c r="A1546" s="56" t="s">
        <v>1755</v>
      </c>
      <c r="B1546" s="57">
        <v>42950</v>
      </c>
      <c r="C1546" s="56" t="s">
        <v>1231</v>
      </c>
      <c r="D1546" s="56" t="s">
        <v>1478</v>
      </c>
      <c r="E1546" s="56" t="s">
        <v>1232</v>
      </c>
      <c r="F1546" s="56">
        <v>1</v>
      </c>
      <c r="G1546" s="56" t="s">
        <v>125</v>
      </c>
      <c r="H1546" s="56">
        <v>1</v>
      </c>
      <c r="I1546" s="56" t="s">
        <v>1756</v>
      </c>
      <c r="J1546" s="56" t="s">
        <v>1425</v>
      </c>
      <c r="K1546" s="56" t="s">
        <v>1426</v>
      </c>
      <c r="L1546" s="57"/>
      <c r="M1546" s="56" t="s">
        <v>126</v>
      </c>
      <c r="N1546" s="56">
        <v>890207088</v>
      </c>
      <c r="O1546" s="58">
        <v>7730252</v>
      </c>
      <c r="P1546" s="7"/>
      <c r="Q15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6" s="9">
        <f>+IFERROR(VLOOKUP(Tabla3[[#This Row],[Cliente factura]],Tabla4[[NIT]:[TOTAL CREDITO]],6,FALSE),0)</f>
        <v>0</v>
      </c>
      <c r="S1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6" s="10" t="str">
        <f>VLOOKUP(Tabla3[[#This Row],[Razón social cliente factura]]&amp;Tabla3[[#This Row],[Desc. ciudad]],'Estandar de Rutas'!$C$1:$E$553,2,FALSE)</f>
        <v>6.2.B</v>
      </c>
      <c r="U1546" s="130">
        <f>IFERROR(VLOOKUP(Tabla3[[#This Row],[Referencia]]&amp;Tabla3[[#This Row],[Desc detalle ext 1]],Tabla1[[Referencia-Color]:[Disponibilidad]],3,FALSE),0)</f>
        <v>104</v>
      </c>
      <c r="V1546" s="13"/>
      <c r="W1546" s="17">
        <f>+Tabla3[[#This Row],[Cant. Programada]]*Tabla3[[#This Row],[Precio unit]]</f>
        <v>0</v>
      </c>
      <c r="X1546" s="8"/>
      <c r="Y1546" s="8"/>
      <c r="Z1546" s="8" t="str">
        <f>+Tabla3[[#This Row],[Referencia]]&amp;Tabla3[[#This Row],[Desc detalle ext 1]]</f>
        <v>CB 190 REPSOL                                     NARANJA B</v>
      </c>
      <c r="AA1546" s="128" t="e">
        <f>+VLOOKUP(Tabla3[[#This Row],[CODIGO2]],ESTANDAR!$B$3:$C$9,2,FALSE)</f>
        <v>#N/A</v>
      </c>
      <c r="AB1546" s="128" t="str">
        <f>+MID(Tabla3[[#This Row],['# Viaje]],10,1)</f>
        <v/>
      </c>
    </row>
    <row r="1547" spans="1:28" ht="15" hidden="1" customHeight="1">
      <c r="A1547" s="56" t="s">
        <v>1755</v>
      </c>
      <c r="B1547" s="57">
        <v>42950</v>
      </c>
      <c r="C1547" s="56" t="s">
        <v>1231</v>
      </c>
      <c r="D1547" s="56" t="s">
        <v>1478</v>
      </c>
      <c r="E1547" s="56" t="s">
        <v>1232</v>
      </c>
      <c r="F1547" s="56">
        <v>1</v>
      </c>
      <c r="G1547" s="56" t="s">
        <v>125</v>
      </c>
      <c r="H1547" s="56">
        <v>1</v>
      </c>
      <c r="I1547" s="56" t="s">
        <v>1756</v>
      </c>
      <c r="J1547" s="56" t="s">
        <v>354</v>
      </c>
      <c r="K1547" s="56" t="s">
        <v>17</v>
      </c>
      <c r="L1547" s="57"/>
      <c r="M1547" s="56" t="s">
        <v>126</v>
      </c>
      <c r="N1547" s="56">
        <v>890207088</v>
      </c>
      <c r="O1547" s="58">
        <v>6133613</v>
      </c>
      <c r="P1547" s="7"/>
      <c r="Q15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7" s="9">
        <f>+IFERROR(VLOOKUP(Tabla3[[#This Row],[Cliente factura]],Tabla4[[NIT]:[TOTAL CREDITO]],6,FALSE),0)</f>
        <v>0</v>
      </c>
      <c r="S1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7" s="10" t="str">
        <f>VLOOKUP(Tabla3[[#This Row],[Razón social cliente factura]]&amp;Tabla3[[#This Row],[Desc. ciudad]],'Estandar de Rutas'!$C$1:$E$553,2,FALSE)</f>
        <v>6.2.B</v>
      </c>
      <c r="U1547" s="130">
        <f>IFERROR(VLOOKUP(Tabla3[[#This Row],[Referencia]]&amp;Tabla3[[#This Row],[Desc detalle ext 1]],Tabla1[[Referencia-Color]:[Disponibilidad]],3,FALSE),0)</f>
        <v>48</v>
      </c>
      <c r="V1547" s="13"/>
      <c r="W1547" s="17">
        <f>+Tabla3[[#This Row],[Cant. Programada]]*Tabla3[[#This Row],[Precio unit]]</f>
        <v>0</v>
      </c>
      <c r="X1547" s="8"/>
      <c r="Y1547" s="8"/>
      <c r="Z1547" s="8" t="str">
        <f>+Tabla3[[#This Row],[Referencia]]&amp;Tabla3[[#This Row],[Desc detalle ext 1]]</f>
        <v>CB 160F DLX                                       ROJO SPOR</v>
      </c>
      <c r="AA1547" s="128" t="e">
        <f>+VLOOKUP(Tabla3[[#This Row],[CODIGO2]],ESTANDAR!$B$3:$C$9,2,FALSE)</f>
        <v>#N/A</v>
      </c>
      <c r="AB1547" s="128" t="str">
        <f>+MID(Tabla3[[#This Row],['# Viaje]],10,1)</f>
        <v/>
      </c>
    </row>
    <row r="1548" spans="1:28" ht="15" hidden="1" customHeight="1">
      <c r="A1548" s="56" t="s">
        <v>1755</v>
      </c>
      <c r="B1548" s="57">
        <v>42950</v>
      </c>
      <c r="C1548" s="56" t="s">
        <v>1231</v>
      </c>
      <c r="D1548" s="56" t="s">
        <v>1478</v>
      </c>
      <c r="E1548" s="56" t="s">
        <v>1232</v>
      </c>
      <c r="F1548" s="56">
        <v>1</v>
      </c>
      <c r="G1548" s="56" t="s">
        <v>125</v>
      </c>
      <c r="H1548" s="56">
        <v>1</v>
      </c>
      <c r="I1548" s="56" t="s">
        <v>1756</v>
      </c>
      <c r="J1548" s="56" t="s">
        <v>1428</v>
      </c>
      <c r="K1548" s="56" t="s">
        <v>1461</v>
      </c>
      <c r="L1548" s="57"/>
      <c r="M1548" s="56" t="s">
        <v>126</v>
      </c>
      <c r="N1548" s="56">
        <v>890207088</v>
      </c>
      <c r="O1548" s="58">
        <v>3067227</v>
      </c>
      <c r="P1548" s="7"/>
      <c r="Q15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8" s="9">
        <f>+IFERROR(VLOOKUP(Tabla3[[#This Row],[Cliente factura]],Tabla4[[NIT]:[TOTAL CREDITO]],6,FALSE),0)</f>
        <v>0</v>
      </c>
      <c r="S1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8" s="10" t="str">
        <f>VLOOKUP(Tabla3[[#This Row],[Razón social cliente factura]]&amp;Tabla3[[#This Row],[Desc. ciudad]],'Estandar de Rutas'!$C$1:$E$553,2,FALSE)</f>
        <v>6.2.B</v>
      </c>
      <c r="U1548" s="130">
        <f>IFERROR(VLOOKUP(Tabla3[[#This Row],[Referencia]]&amp;Tabla3[[#This Row],[Desc detalle ext 1]],Tabla1[[Referencia-Color]:[Disponibilidad]],3,FALSE),0)</f>
        <v>0</v>
      </c>
      <c r="V1548" s="13"/>
      <c r="W1548" s="17">
        <f>+Tabla3[[#This Row],[Cant. Programada]]*Tabla3[[#This Row],[Precio unit]]</f>
        <v>0</v>
      </c>
      <c r="X1548" s="8"/>
      <c r="Y1548" s="8"/>
      <c r="Z1548" s="8" t="str">
        <f>+Tabla3[[#This Row],[Referencia]]&amp;Tabla3[[#This Row],[Desc detalle ext 1]]</f>
        <v>DREAM  NEO                                        ROJO ALFA</v>
      </c>
      <c r="AA1548" s="128" t="e">
        <f>+VLOOKUP(Tabla3[[#This Row],[CODIGO2]],ESTANDAR!$B$3:$C$9,2,FALSE)</f>
        <v>#N/A</v>
      </c>
      <c r="AB1548" s="128" t="str">
        <f>+MID(Tabla3[[#This Row],['# Viaje]],10,1)</f>
        <v/>
      </c>
    </row>
    <row r="1549" spans="1:28" ht="15" hidden="1" customHeight="1">
      <c r="A1549" s="56" t="s">
        <v>1755</v>
      </c>
      <c r="B1549" s="57">
        <v>42950</v>
      </c>
      <c r="C1549" s="56" t="s">
        <v>1231</v>
      </c>
      <c r="D1549" s="56" t="s">
        <v>1478</v>
      </c>
      <c r="E1549" s="56" t="s">
        <v>1232</v>
      </c>
      <c r="F1549" s="56">
        <v>1</v>
      </c>
      <c r="G1549" s="56" t="s">
        <v>125</v>
      </c>
      <c r="H1549" s="56">
        <v>1</v>
      </c>
      <c r="I1549" s="56" t="s">
        <v>1756</v>
      </c>
      <c r="J1549" s="56" t="s">
        <v>1428</v>
      </c>
      <c r="K1549" s="56" t="s">
        <v>32</v>
      </c>
      <c r="L1549" s="57"/>
      <c r="M1549" s="56" t="s">
        <v>126</v>
      </c>
      <c r="N1549" s="56">
        <v>890207088</v>
      </c>
      <c r="O1549" s="58">
        <v>3067227</v>
      </c>
      <c r="P1549" s="7"/>
      <c r="Q15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9" s="9">
        <f>+IFERROR(VLOOKUP(Tabla3[[#This Row],[Cliente factura]],Tabla4[[NIT]:[TOTAL CREDITO]],6,FALSE),0)</f>
        <v>0</v>
      </c>
      <c r="S1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9" s="10" t="str">
        <f>VLOOKUP(Tabla3[[#This Row],[Razón social cliente factura]]&amp;Tabla3[[#This Row],[Desc. ciudad]],'Estandar de Rutas'!$C$1:$E$553,2,FALSE)</f>
        <v>6.2.B</v>
      </c>
      <c r="U1549" s="130">
        <f>IFERROR(VLOOKUP(Tabla3[[#This Row],[Referencia]]&amp;Tabla3[[#This Row],[Desc detalle ext 1]],Tabla1[[Referencia-Color]:[Disponibilidad]],3,FALSE),0)</f>
        <v>0</v>
      </c>
      <c r="V1549" s="13"/>
      <c r="W1549" s="17">
        <f>+Tabla3[[#This Row],[Cant. Programada]]*Tabla3[[#This Row],[Precio unit]]</f>
        <v>0</v>
      </c>
      <c r="X1549" s="8"/>
      <c r="Y1549" s="8"/>
      <c r="Z1549" s="8" t="str">
        <f>+Tabla3[[#This Row],[Referencia]]&amp;Tabla3[[#This Row],[Desc detalle ext 1]]</f>
        <v>DREAM  NEO                                        NEGRO ROJ</v>
      </c>
      <c r="AA1549" s="128" t="e">
        <f>+VLOOKUP(Tabla3[[#This Row],[CODIGO2]],ESTANDAR!$B$3:$C$9,2,FALSE)</f>
        <v>#N/A</v>
      </c>
      <c r="AB1549" s="128" t="str">
        <f>+MID(Tabla3[[#This Row],['# Viaje]],10,1)</f>
        <v/>
      </c>
    </row>
    <row r="1550" spans="1:28" ht="15" hidden="1" customHeight="1">
      <c r="A1550" s="56" t="s">
        <v>1755</v>
      </c>
      <c r="B1550" s="57">
        <v>42950</v>
      </c>
      <c r="C1550" s="56" t="s">
        <v>1231</v>
      </c>
      <c r="D1550" s="56" t="s">
        <v>1478</v>
      </c>
      <c r="E1550" s="56" t="s">
        <v>1232</v>
      </c>
      <c r="F1550" s="56">
        <v>1</v>
      </c>
      <c r="G1550" s="56" t="s">
        <v>125</v>
      </c>
      <c r="H1550" s="56">
        <v>1</v>
      </c>
      <c r="I1550" s="56" t="s">
        <v>1756</v>
      </c>
      <c r="J1550" s="56" t="s">
        <v>1430</v>
      </c>
      <c r="K1550" s="56" t="s">
        <v>1431</v>
      </c>
      <c r="L1550" s="57"/>
      <c r="M1550" s="56" t="s">
        <v>126</v>
      </c>
      <c r="N1550" s="56">
        <v>890207088</v>
      </c>
      <c r="O1550" s="58">
        <v>3941176</v>
      </c>
      <c r="P1550" s="7"/>
      <c r="Q15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0" s="9">
        <f>+IFERROR(VLOOKUP(Tabla3[[#This Row],[Cliente factura]],Tabla4[[NIT]:[TOTAL CREDITO]],6,FALSE),0)</f>
        <v>0</v>
      </c>
      <c r="S1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0" s="10" t="str">
        <f>VLOOKUP(Tabla3[[#This Row],[Razón social cliente factura]]&amp;Tabla3[[#This Row],[Desc. ciudad]],'Estandar de Rutas'!$C$1:$E$553,2,FALSE)</f>
        <v>6.2.B</v>
      </c>
      <c r="U1550" s="130">
        <f>IFERROR(VLOOKUP(Tabla3[[#This Row],[Referencia]]&amp;Tabla3[[#This Row],[Desc detalle ext 1]],Tabla1[[Referencia-Color]:[Disponibilidad]],3,FALSE),0)</f>
        <v>0</v>
      </c>
      <c r="V1550" s="13"/>
      <c r="W1550" s="17">
        <f>+Tabla3[[#This Row],[Cant. Programada]]*Tabla3[[#This Row],[Precio unit]]</f>
        <v>0</v>
      </c>
      <c r="X1550" s="8"/>
      <c r="Y1550" s="8"/>
      <c r="Z1550" s="8" t="str">
        <f>+Tabla3[[#This Row],[Referencia]]&amp;Tabla3[[#This Row],[Desc detalle ext 1]]</f>
        <v xml:space="preserve">WAVE 110S                                         ROJO     </v>
      </c>
      <c r="AA1550" s="128" t="e">
        <f>+VLOOKUP(Tabla3[[#This Row],[CODIGO2]],ESTANDAR!$B$3:$C$9,2,FALSE)</f>
        <v>#N/A</v>
      </c>
      <c r="AB1550" s="128" t="str">
        <f>+MID(Tabla3[[#This Row],['# Viaje]],10,1)</f>
        <v/>
      </c>
    </row>
    <row r="1551" spans="1:28" ht="15" hidden="1" customHeight="1">
      <c r="A1551" s="56" t="s">
        <v>1755</v>
      </c>
      <c r="B1551" s="57">
        <v>42950</v>
      </c>
      <c r="C1551" s="56" t="s">
        <v>1231</v>
      </c>
      <c r="D1551" s="56" t="s">
        <v>1478</v>
      </c>
      <c r="E1551" s="56" t="s">
        <v>1232</v>
      </c>
      <c r="F1551" s="56">
        <v>1</v>
      </c>
      <c r="G1551" s="56" t="s">
        <v>125</v>
      </c>
      <c r="H1551" s="56">
        <v>1</v>
      </c>
      <c r="I1551" s="56" t="s">
        <v>1756</v>
      </c>
      <c r="J1551" s="56" t="s">
        <v>1234</v>
      </c>
      <c r="K1551" s="56" t="s">
        <v>17</v>
      </c>
      <c r="L1551" s="57"/>
      <c r="M1551" s="56" t="s">
        <v>126</v>
      </c>
      <c r="N1551" s="56">
        <v>890207088</v>
      </c>
      <c r="O1551" s="58">
        <v>5453782</v>
      </c>
      <c r="P1551" s="7"/>
      <c r="Q15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1" s="9">
        <f>+IFERROR(VLOOKUP(Tabla3[[#This Row],[Cliente factura]],Tabla4[[NIT]:[TOTAL CREDITO]],6,FALSE),0)</f>
        <v>0</v>
      </c>
      <c r="S1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1" s="10" t="str">
        <f>VLOOKUP(Tabla3[[#This Row],[Razón social cliente factura]]&amp;Tabla3[[#This Row],[Desc. ciudad]],'Estandar de Rutas'!$C$1:$E$553,2,FALSE)</f>
        <v>6.2.B</v>
      </c>
      <c r="U1551" s="130">
        <f>IFERROR(VLOOKUP(Tabla3[[#This Row],[Referencia]]&amp;Tabla3[[#This Row],[Desc detalle ext 1]],Tabla1[[Referencia-Color]:[Disponibilidad]],3,FALSE),0)</f>
        <v>0</v>
      </c>
      <c r="V1551" s="13"/>
      <c r="W1551" s="17">
        <f>+Tabla3[[#This Row],[Cant. Programada]]*Tabla3[[#This Row],[Precio unit]]</f>
        <v>0</v>
      </c>
      <c r="X1551" s="8"/>
      <c r="Y1551" s="8"/>
      <c r="Z1551" s="8" t="str">
        <f>+Tabla3[[#This Row],[Referencia]]&amp;Tabla3[[#This Row],[Desc detalle ext 1]]</f>
        <v>CB 160F STD                                       ROJO SPOR</v>
      </c>
      <c r="AA1551" s="128" t="e">
        <f>+VLOOKUP(Tabla3[[#This Row],[CODIGO2]],ESTANDAR!$B$3:$C$9,2,FALSE)</f>
        <v>#N/A</v>
      </c>
      <c r="AB1551" s="128" t="str">
        <f>+MID(Tabla3[[#This Row],['# Viaje]],10,1)</f>
        <v/>
      </c>
    </row>
    <row r="1552" spans="1:28" ht="15" hidden="1" customHeight="1">
      <c r="A1552" s="56" t="s">
        <v>1755</v>
      </c>
      <c r="B1552" s="57">
        <v>42950</v>
      </c>
      <c r="C1552" s="56" t="s">
        <v>1231</v>
      </c>
      <c r="D1552" s="56" t="s">
        <v>1478</v>
      </c>
      <c r="E1552" s="56" t="s">
        <v>1232</v>
      </c>
      <c r="F1552" s="56">
        <v>1</v>
      </c>
      <c r="G1552" s="56" t="s">
        <v>125</v>
      </c>
      <c r="H1552" s="56">
        <v>1</v>
      </c>
      <c r="I1552" s="56" t="s">
        <v>1756</v>
      </c>
      <c r="J1552" s="56" t="s">
        <v>1234</v>
      </c>
      <c r="K1552" s="56" t="s">
        <v>355</v>
      </c>
      <c r="L1552" s="57"/>
      <c r="M1552" s="56" t="s">
        <v>126</v>
      </c>
      <c r="N1552" s="56">
        <v>890207088</v>
      </c>
      <c r="O1552" s="58">
        <v>5453782</v>
      </c>
      <c r="P1552" s="7"/>
      <c r="Q15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2" s="9">
        <f>+IFERROR(VLOOKUP(Tabla3[[#This Row],[Cliente factura]],Tabla4[[NIT]:[TOTAL CREDITO]],6,FALSE),0)</f>
        <v>0</v>
      </c>
      <c r="S1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2" s="10" t="str">
        <f>VLOOKUP(Tabla3[[#This Row],[Razón social cliente factura]]&amp;Tabla3[[#This Row],[Desc. ciudad]],'Estandar de Rutas'!$C$1:$E$553,2,FALSE)</f>
        <v>6.2.B</v>
      </c>
      <c r="U1552" s="130">
        <f>IFERROR(VLOOKUP(Tabla3[[#This Row],[Referencia]]&amp;Tabla3[[#This Row],[Desc detalle ext 1]],Tabla1[[Referencia-Color]:[Disponibilidad]],3,FALSE),0)</f>
        <v>0</v>
      </c>
      <c r="V1552" s="13"/>
      <c r="W1552" s="17">
        <f>+Tabla3[[#This Row],[Cant. Programada]]*Tabla3[[#This Row],[Precio unit]]</f>
        <v>0</v>
      </c>
      <c r="X1552" s="8"/>
      <c r="Y1552" s="8"/>
      <c r="Z1552" s="8" t="str">
        <f>+Tabla3[[#This Row],[Referencia]]&amp;Tabla3[[#This Row],[Desc detalle ext 1]]</f>
        <v>CB 160F STD                                       NEGRO PER</v>
      </c>
      <c r="AA1552" s="128" t="e">
        <f>+VLOOKUP(Tabla3[[#This Row],[CODIGO2]],ESTANDAR!$B$3:$C$9,2,FALSE)</f>
        <v>#N/A</v>
      </c>
      <c r="AB1552" s="128" t="str">
        <f>+MID(Tabla3[[#This Row],['# Viaje]],10,1)</f>
        <v/>
      </c>
    </row>
    <row r="1553" spans="1:28" ht="15" hidden="1" customHeight="1">
      <c r="A1553" s="59" t="s">
        <v>1755</v>
      </c>
      <c r="B1553" s="60">
        <v>42950</v>
      </c>
      <c r="C1553" s="59" t="s">
        <v>1231</v>
      </c>
      <c r="D1553" s="59" t="s">
        <v>1478</v>
      </c>
      <c r="E1553" s="59" t="s">
        <v>1232</v>
      </c>
      <c r="F1553" s="59">
        <v>2</v>
      </c>
      <c r="G1553" s="59" t="s">
        <v>125</v>
      </c>
      <c r="H1553" s="59">
        <v>2</v>
      </c>
      <c r="I1553" s="59" t="s">
        <v>1756</v>
      </c>
      <c r="J1553" s="59" t="s">
        <v>1451</v>
      </c>
      <c r="K1553" s="59" t="s">
        <v>1449</v>
      </c>
      <c r="L1553" s="60"/>
      <c r="M1553" s="59" t="s">
        <v>126</v>
      </c>
      <c r="N1553" s="59">
        <v>890207088</v>
      </c>
      <c r="O1553" s="61">
        <v>3696639</v>
      </c>
      <c r="P1553" s="7"/>
      <c r="Q15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3" s="9">
        <f>+IFERROR(VLOOKUP(Tabla3[[#This Row],[Cliente factura]],Tabla4[[NIT]:[TOTAL CREDITO]],6,FALSE),0)</f>
        <v>0</v>
      </c>
      <c r="S1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3" s="10" t="str">
        <f>VLOOKUP(Tabla3[[#This Row],[Razón social cliente factura]]&amp;Tabla3[[#This Row],[Desc. ciudad]],'Estandar de Rutas'!$C$1:$E$553,2,FALSE)</f>
        <v>6.2.B</v>
      </c>
      <c r="U1553" s="130">
        <f>IFERROR(VLOOKUP(Tabla3[[#This Row],[Referencia]]&amp;Tabla3[[#This Row],[Desc detalle ext 1]],Tabla1[[Referencia-Color]:[Disponibilidad]],3,FALSE),0)</f>
        <v>24</v>
      </c>
      <c r="V1553" s="13"/>
      <c r="W1553" s="17">
        <f>+Tabla3[[#This Row],[Cant. Programada]]*Tabla3[[#This Row],[Precio unit]]</f>
        <v>0</v>
      </c>
      <c r="X1553" s="8"/>
      <c r="Y1553" s="8"/>
      <c r="Z1553" s="8" t="str">
        <f>+Tabla3[[#This Row],[Referencia]]&amp;Tabla3[[#This Row],[Desc detalle ext 1]]</f>
        <v xml:space="preserve">CB 110 DLX                                        GRIS     </v>
      </c>
      <c r="AA1553" s="128" t="e">
        <f>+VLOOKUP(Tabla3[[#This Row],[CODIGO2]],ESTANDAR!$B$3:$C$9,2,FALSE)</f>
        <v>#N/A</v>
      </c>
      <c r="AB1553" s="128" t="str">
        <f>+MID(Tabla3[[#This Row],['# Viaje]],10,1)</f>
        <v/>
      </c>
    </row>
    <row r="1554" spans="1:28" ht="15" hidden="1" customHeight="1">
      <c r="A1554" s="44" t="s">
        <v>1755</v>
      </c>
      <c r="B1554" s="45">
        <v>42950</v>
      </c>
      <c r="C1554" s="44" t="s">
        <v>1231</v>
      </c>
      <c r="D1554" s="44" t="s">
        <v>1478</v>
      </c>
      <c r="E1554" s="44" t="s">
        <v>1232</v>
      </c>
      <c r="F1554" s="44">
        <v>2</v>
      </c>
      <c r="G1554" s="44" t="s">
        <v>125</v>
      </c>
      <c r="H1554" s="44">
        <v>2</v>
      </c>
      <c r="I1554" s="44" t="s">
        <v>1756</v>
      </c>
      <c r="J1554" s="44" t="s">
        <v>1451</v>
      </c>
      <c r="K1554" s="44" t="s">
        <v>16</v>
      </c>
      <c r="L1554" s="45"/>
      <c r="M1554" s="44" t="s">
        <v>126</v>
      </c>
      <c r="N1554" s="44">
        <v>890207088</v>
      </c>
      <c r="O1554" s="46">
        <v>3696639</v>
      </c>
      <c r="P1554" s="7"/>
      <c r="Q15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4" s="9">
        <f>+IFERROR(VLOOKUP(Tabla3[[#This Row],[Cliente factura]],Tabla4[[NIT]:[TOTAL CREDITO]],6,FALSE),0)</f>
        <v>0</v>
      </c>
      <c r="S1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4" s="10" t="str">
        <f>VLOOKUP(Tabla3[[#This Row],[Razón social cliente factura]]&amp;Tabla3[[#This Row],[Desc. ciudad]],'Estandar de Rutas'!$C$1:$E$553,2,FALSE)</f>
        <v>6.2.B</v>
      </c>
      <c r="U1554" s="130">
        <f>IFERROR(VLOOKUP(Tabla3[[#This Row],[Referencia]]&amp;Tabla3[[#This Row],[Desc detalle ext 1]],Tabla1[[Referencia-Color]:[Disponibilidad]],3,FALSE),0)</f>
        <v>3</v>
      </c>
      <c r="V1554" s="13"/>
      <c r="W1554" s="17">
        <f>+Tabla3[[#This Row],[Cant. Programada]]*Tabla3[[#This Row],[Precio unit]]</f>
        <v>0</v>
      </c>
      <c r="X1554" s="8"/>
      <c r="Y1554" s="8"/>
      <c r="Z1554" s="8" t="str">
        <f>+Tabla3[[#This Row],[Referencia]]&amp;Tabla3[[#This Row],[Desc detalle ext 1]]</f>
        <v xml:space="preserve">CB 110 DLX                                        NEGRO    </v>
      </c>
      <c r="AA1554" s="128" t="e">
        <f>+VLOOKUP(Tabla3[[#This Row],[CODIGO2]],ESTANDAR!$B$3:$C$9,2,FALSE)</f>
        <v>#N/A</v>
      </c>
      <c r="AB1554" s="128" t="str">
        <f>+MID(Tabla3[[#This Row],['# Viaje]],10,1)</f>
        <v/>
      </c>
    </row>
    <row r="1555" spans="1:28" ht="15" hidden="1" customHeight="1">
      <c r="A1555" s="44" t="s">
        <v>1757</v>
      </c>
      <c r="B1555" s="45">
        <v>42950</v>
      </c>
      <c r="C1555" s="44" t="s">
        <v>1231</v>
      </c>
      <c r="D1555" s="44" t="s">
        <v>1478</v>
      </c>
      <c r="E1555" s="44" t="s">
        <v>1232</v>
      </c>
      <c r="F1555" s="44">
        <v>3</v>
      </c>
      <c r="G1555" s="44" t="s">
        <v>125</v>
      </c>
      <c r="H1555" s="44">
        <v>3</v>
      </c>
      <c r="I1555" s="44" t="s">
        <v>1758</v>
      </c>
      <c r="J1555" s="44" t="s">
        <v>27</v>
      </c>
      <c r="K1555" s="44" t="s">
        <v>32</v>
      </c>
      <c r="L1555" s="45"/>
      <c r="M1555" s="44" t="s">
        <v>1281</v>
      </c>
      <c r="N1555" s="44">
        <v>890207088</v>
      </c>
      <c r="O1555" s="46">
        <v>5789916</v>
      </c>
      <c r="P1555" s="7"/>
      <c r="Q15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5" s="9">
        <f>+IFERROR(VLOOKUP(Tabla3[[#This Row],[Cliente factura]],Tabla4[[NIT]:[TOTAL CREDITO]],6,FALSE),0)</f>
        <v>0</v>
      </c>
      <c r="S1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5" s="10" t="str">
        <f>VLOOKUP(Tabla3[[#This Row],[Razón social cliente factura]]&amp;Tabla3[[#This Row],[Desc. ciudad]],'Estandar de Rutas'!$C$1:$E$553,2,FALSE)</f>
        <v>6.2.B</v>
      </c>
      <c r="U1555" s="130">
        <f>IFERROR(VLOOKUP(Tabla3[[#This Row],[Referencia]]&amp;Tabla3[[#This Row],[Desc detalle ext 1]],Tabla1[[Referencia-Color]:[Disponibilidad]],3,FALSE),0)</f>
        <v>7</v>
      </c>
      <c r="V1555" s="13"/>
      <c r="W1555" s="17">
        <f>+Tabla3[[#This Row],[Cant. Programada]]*Tabla3[[#This Row],[Precio unit]]</f>
        <v>0</v>
      </c>
      <c r="X1555" s="8"/>
      <c r="Y1555" s="8"/>
      <c r="Z1555" s="8" t="str">
        <f>+Tabla3[[#This Row],[Referencia]]&amp;Tabla3[[#This Row],[Desc detalle ext 1]]</f>
        <v>*XR 150L                                          NEGRO ROJ</v>
      </c>
      <c r="AA1555" s="128" t="e">
        <f>+VLOOKUP(Tabla3[[#This Row],[CODIGO2]],ESTANDAR!$B$3:$C$9,2,FALSE)</f>
        <v>#N/A</v>
      </c>
      <c r="AB1555" s="128" t="str">
        <f>+MID(Tabla3[[#This Row],['# Viaje]],10,1)</f>
        <v/>
      </c>
    </row>
    <row r="1556" spans="1:28" ht="15" hidden="1" customHeight="1">
      <c r="A1556" s="44" t="s">
        <v>1757</v>
      </c>
      <c r="B1556" s="45">
        <v>42950</v>
      </c>
      <c r="C1556" s="44" t="s">
        <v>1231</v>
      </c>
      <c r="D1556" s="44" t="s">
        <v>1478</v>
      </c>
      <c r="E1556" s="44" t="s">
        <v>1232</v>
      </c>
      <c r="F1556" s="44">
        <v>2</v>
      </c>
      <c r="G1556" s="44" t="s">
        <v>125</v>
      </c>
      <c r="H1556" s="44">
        <v>2</v>
      </c>
      <c r="I1556" s="44" t="s">
        <v>1758</v>
      </c>
      <c r="J1556" s="44" t="s">
        <v>27</v>
      </c>
      <c r="K1556" s="44" t="s">
        <v>26</v>
      </c>
      <c r="L1556" s="45"/>
      <c r="M1556" s="44" t="s">
        <v>1281</v>
      </c>
      <c r="N1556" s="44">
        <v>890207088</v>
      </c>
      <c r="O1556" s="46">
        <v>5789916</v>
      </c>
      <c r="P1556" s="7"/>
      <c r="Q15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6" s="9">
        <f>+IFERROR(VLOOKUP(Tabla3[[#This Row],[Cliente factura]],Tabla4[[NIT]:[TOTAL CREDITO]],6,FALSE),0)</f>
        <v>0</v>
      </c>
      <c r="S1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6" s="10" t="str">
        <f>VLOOKUP(Tabla3[[#This Row],[Razón social cliente factura]]&amp;Tabla3[[#This Row],[Desc. ciudad]],'Estandar de Rutas'!$C$1:$E$553,2,FALSE)</f>
        <v>6.2.B</v>
      </c>
      <c r="U1556" s="130">
        <f>IFERROR(VLOOKUP(Tabla3[[#This Row],[Referencia]]&amp;Tabla3[[#This Row],[Desc detalle ext 1]],Tabla1[[Referencia-Color]:[Disponibilidad]],3,FALSE),0)</f>
        <v>59</v>
      </c>
      <c r="V1556" s="13">
        <v>2</v>
      </c>
      <c r="W1556" s="17">
        <f>+Tabla3[[#This Row],[Cant. Programada]]*Tabla3[[#This Row],[Precio unit]]</f>
        <v>11579832</v>
      </c>
      <c r="X1556" s="130" t="s">
        <v>1903</v>
      </c>
      <c r="Y1556" s="8">
        <v>3</v>
      </c>
      <c r="Z1556" s="8" t="str">
        <f>+Tabla3[[#This Row],[Referencia]]&amp;Tabla3[[#This Row],[Desc detalle ext 1]]</f>
        <v>*XR 150L                                          NEGRO BLA</v>
      </c>
      <c r="AA1556" s="128" t="str">
        <f>+VLOOKUP(Tabla3[[#This Row],[CODIGO2]],ESTANDAR!$B$3:$C$9,2,FALSE)</f>
        <v>ENTREGAS</v>
      </c>
      <c r="AB1556" s="128" t="str">
        <f>+MID(Tabla3[[#This Row],['# Viaje]],10,1)</f>
        <v>E</v>
      </c>
    </row>
    <row r="1557" spans="1:28" ht="15" hidden="1" customHeight="1">
      <c r="A1557" s="44" t="s">
        <v>1757</v>
      </c>
      <c r="B1557" s="45">
        <v>42950</v>
      </c>
      <c r="C1557" s="44" t="s">
        <v>1231</v>
      </c>
      <c r="D1557" s="44" t="s">
        <v>1478</v>
      </c>
      <c r="E1557" s="44" t="s">
        <v>1232</v>
      </c>
      <c r="F1557" s="44">
        <v>2</v>
      </c>
      <c r="G1557" s="44" t="s">
        <v>125</v>
      </c>
      <c r="H1557" s="44">
        <v>2</v>
      </c>
      <c r="I1557" s="44" t="s">
        <v>1758</v>
      </c>
      <c r="J1557" s="44" t="s">
        <v>27</v>
      </c>
      <c r="K1557" s="44" t="s">
        <v>16</v>
      </c>
      <c r="L1557" s="45"/>
      <c r="M1557" s="44" t="s">
        <v>1281</v>
      </c>
      <c r="N1557" s="44">
        <v>890207088</v>
      </c>
      <c r="O1557" s="46">
        <v>5789916</v>
      </c>
      <c r="P1557" s="7"/>
      <c r="Q15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7" s="9">
        <f>+IFERROR(VLOOKUP(Tabla3[[#This Row],[Cliente factura]],Tabla4[[NIT]:[TOTAL CREDITO]],6,FALSE),0)</f>
        <v>0</v>
      </c>
      <c r="S1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7" s="10" t="str">
        <f>VLOOKUP(Tabla3[[#This Row],[Razón social cliente factura]]&amp;Tabla3[[#This Row],[Desc. ciudad]],'Estandar de Rutas'!$C$1:$E$553,2,FALSE)</f>
        <v>6.2.B</v>
      </c>
      <c r="U1557" s="130">
        <f>IFERROR(VLOOKUP(Tabla3[[#This Row],[Referencia]]&amp;Tabla3[[#This Row],[Desc detalle ext 1]],Tabla1[[Referencia-Color]:[Disponibilidad]],3,FALSE),0)</f>
        <v>3</v>
      </c>
      <c r="V1557" s="13">
        <v>1</v>
      </c>
      <c r="W1557" s="17">
        <f>+Tabla3[[#This Row],[Cant. Programada]]*Tabla3[[#This Row],[Precio unit]]</f>
        <v>5789916</v>
      </c>
      <c r="X1557" s="130" t="s">
        <v>1903</v>
      </c>
      <c r="Y1557" s="8">
        <v>3</v>
      </c>
      <c r="Z1557" s="8" t="str">
        <f>+Tabla3[[#This Row],[Referencia]]&amp;Tabla3[[#This Row],[Desc detalle ext 1]]</f>
        <v xml:space="preserve">*XR 150L                                          NEGRO    </v>
      </c>
      <c r="AA1557" s="128" t="str">
        <f>+VLOOKUP(Tabla3[[#This Row],[CODIGO2]],ESTANDAR!$B$3:$C$9,2,FALSE)</f>
        <v>ENTREGAS</v>
      </c>
      <c r="AB1557" s="128" t="str">
        <f>+MID(Tabla3[[#This Row],['# Viaje]],10,1)</f>
        <v>E</v>
      </c>
    </row>
    <row r="1558" spans="1:28" ht="15" hidden="1" customHeight="1">
      <c r="A1558" s="44" t="s">
        <v>1757</v>
      </c>
      <c r="B1558" s="45">
        <v>42950</v>
      </c>
      <c r="C1558" s="44" t="s">
        <v>1231</v>
      </c>
      <c r="D1558" s="44" t="s">
        <v>1478</v>
      </c>
      <c r="E1558" s="44" t="s">
        <v>1232</v>
      </c>
      <c r="F1558" s="44">
        <v>1</v>
      </c>
      <c r="G1558" s="44" t="s">
        <v>125</v>
      </c>
      <c r="H1558" s="44">
        <v>1</v>
      </c>
      <c r="I1558" s="44" t="s">
        <v>1758</v>
      </c>
      <c r="J1558" s="44" t="s">
        <v>1425</v>
      </c>
      <c r="K1558" s="44" t="s">
        <v>1426</v>
      </c>
      <c r="L1558" s="45"/>
      <c r="M1558" s="44" t="s">
        <v>1281</v>
      </c>
      <c r="N1558" s="44">
        <v>890207088</v>
      </c>
      <c r="O1558" s="46">
        <v>7730252</v>
      </c>
      <c r="P1558" s="7"/>
      <c r="Q15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8" s="9">
        <f>+IFERROR(VLOOKUP(Tabla3[[#This Row],[Cliente factura]],Tabla4[[NIT]:[TOTAL CREDITO]],6,FALSE),0)</f>
        <v>0</v>
      </c>
      <c r="S1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8" s="10" t="str">
        <f>VLOOKUP(Tabla3[[#This Row],[Razón social cliente factura]]&amp;Tabla3[[#This Row],[Desc. ciudad]],'Estandar de Rutas'!$C$1:$E$553,2,FALSE)</f>
        <v>6.2.B</v>
      </c>
      <c r="U1558" s="130">
        <f>IFERROR(VLOOKUP(Tabla3[[#This Row],[Referencia]]&amp;Tabla3[[#This Row],[Desc detalle ext 1]],Tabla1[[Referencia-Color]:[Disponibilidad]],3,FALSE),0)</f>
        <v>104</v>
      </c>
      <c r="V1558" s="13"/>
      <c r="W1558" s="17">
        <f>+Tabla3[[#This Row],[Cant. Programada]]*Tabla3[[#This Row],[Precio unit]]</f>
        <v>0</v>
      </c>
      <c r="X1558" s="8"/>
      <c r="Y1558" s="8"/>
      <c r="Z1558" s="8" t="str">
        <f>+Tabla3[[#This Row],[Referencia]]&amp;Tabla3[[#This Row],[Desc detalle ext 1]]</f>
        <v>CB 190 REPSOL                                     NARANJA B</v>
      </c>
      <c r="AA1558" s="128" t="e">
        <f>+VLOOKUP(Tabla3[[#This Row],[CODIGO2]],ESTANDAR!$B$3:$C$9,2,FALSE)</f>
        <v>#N/A</v>
      </c>
      <c r="AB1558" s="128" t="str">
        <f>+MID(Tabla3[[#This Row],['# Viaje]],10,1)</f>
        <v/>
      </c>
    </row>
    <row r="1559" spans="1:28" ht="15" hidden="1" customHeight="1">
      <c r="A1559" s="44" t="s">
        <v>1757</v>
      </c>
      <c r="B1559" s="45">
        <v>42950</v>
      </c>
      <c r="C1559" s="44" t="s">
        <v>1231</v>
      </c>
      <c r="D1559" s="44" t="s">
        <v>1478</v>
      </c>
      <c r="E1559" s="44" t="s">
        <v>1232</v>
      </c>
      <c r="F1559" s="44">
        <v>1</v>
      </c>
      <c r="G1559" s="44" t="s">
        <v>125</v>
      </c>
      <c r="H1559" s="44">
        <v>1</v>
      </c>
      <c r="I1559" s="44" t="s">
        <v>1758</v>
      </c>
      <c r="J1559" s="44" t="s">
        <v>354</v>
      </c>
      <c r="K1559" s="44" t="s">
        <v>17</v>
      </c>
      <c r="L1559" s="45"/>
      <c r="M1559" s="44" t="s">
        <v>1281</v>
      </c>
      <c r="N1559" s="44">
        <v>890207088</v>
      </c>
      <c r="O1559" s="46">
        <v>6133613</v>
      </c>
      <c r="P1559" s="7"/>
      <c r="Q15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9" s="9">
        <f>+IFERROR(VLOOKUP(Tabla3[[#This Row],[Cliente factura]],Tabla4[[NIT]:[TOTAL CREDITO]],6,FALSE),0)</f>
        <v>0</v>
      </c>
      <c r="S1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9" s="10" t="str">
        <f>VLOOKUP(Tabla3[[#This Row],[Razón social cliente factura]]&amp;Tabla3[[#This Row],[Desc. ciudad]],'Estandar de Rutas'!$C$1:$E$553,2,FALSE)</f>
        <v>6.2.B</v>
      </c>
      <c r="U1559" s="130">
        <f>IFERROR(VLOOKUP(Tabla3[[#This Row],[Referencia]]&amp;Tabla3[[#This Row],[Desc detalle ext 1]],Tabla1[[Referencia-Color]:[Disponibilidad]],3,FALSE),0)</f>
        <v>48</v>
      </c>
      <c r="V1559" s="13"/>
      <c r="W1559" s="17">
        <f>+Tabla3[[#This Row],[Cant. Programada]]*Tabla3[[#This Row],[Precio unit]]</f>
        <v>0</v>
      </c>
      <c r="X1559" s="8"/>
      <c r="Y1559" s="8"/>
      <c r="Z1559" s="8" t="str">
        <f>+Tabla3[[#This Row],[Referencia]]&amp;Tabla3[[#This Row],[Desc detalle ext 1]]</f>
        <v>CB 160F DLX                                       ROJO SPOR</v>
      </c>
      <c r="AA1559" s="128" t="e">
        <f>+VLOOKUP(Tabla3[[#This Row],[CODIGO2]],ESTANDAR!$B$3:$C$9,2,FALSE)</f>
        <v>#N/A</v>
      </c>
      <c r="AB1559" s="128" t="str">
        <f>+MID(Tabla3[[#This Row],['# Viaje]],10,1)</f>
        <v/>
      </c>
    </row>
    <row r="1560" spans="1:28" ht="15" hidden="1" customHeight="1">
      <c r="A1560" s="44" t="s">
        <v>1757</v>
      </c>
      <c r="B1560" s="45">
        <v>42950</v>
      </c>
      <c r="C1560" s="44" t="s">
        <v>1231</v>
      </c>
      <c r="D1560" s="44" t="s">
        <v>1478</v>
      </c>
      <c r="E1560" s="44" t="s">
        <v>1232</v>
      </c>
      <c r="F1560" s="44">
        <v>1</v>
      </c>
      <c r="G1560" s="44" t="s">
        <v>125</v>
      </c>
      <c r="H1560" s="44">
        <v>1</v>
      </c>
      <c r="I1560" s="44" t="s">
        <v>1758</v>
      </c>
      <c r="J1560" s="44" t="s">
        <v>354</v>
      </c>
      <c r="K1560" s="44" t="s">
        <v>355</v>
      </c>
      <c r="L1560" s="45"/>
      <c r="M1560" s="44" t="s">
        <v>1281</v>
      </c>
      <c r="N1560" s="44">
        <v>890207088</v>
      </c>
      <c r="O1560" s="46">
        <v>6133613</v>
      </c>
      <c r="P1560" s="7"/>
      <c r="Q15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0" s="9">
        <f>+IFERROR(VLOOKUP(Tabla3[[#This Row],[Cliente factura]],Tabla4[[NIT]:[TOTAL CREDITO]],6,FALSE),0)</f>
        <v>0</v>
      </c>
      <c r="S1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0" s="10" t="str">
        <f>VLOOKUP(Tabla3[[#This Row],[Razón social cliente factura]]&amp;Tabla3[[#This Row],[Desc. ciudad]],'Estandar de Rutas'!$C$1:$E$553,2,FALSE)</f>
        <v>6.2.B</v>
      </c>
      <c r="U1560" s="130">
        <f>IFERROR(VLOOKUP(Tabla3[[#This Row],[Referencia]]&amp;Tabla3[[#This Row],[Desc detalle ext 1]],Tabla1[[Referencia-Color]:[Disponibilidad]],3,FALSE),0)</f>
        <v>0</v>
      </c>
      <c r="V1560" s="13"/>
      <c r="W1560" s="17">
        <f>+Tabla3[[#This Row],[Cant. Programada]]*Tabla3[[#This Row],[Precio unit]]</f>
        <v>0</v>
      </c>
      <c r="X1560" s="8"/>
      <c r="Y1560" s="8"/>
      <c r="Z1560" s="8" t="str">
        <f>+Tabla3[[#This Row],[Referencia]]&amp;Tabla3[[#This Row],[Desc detalle ext 1]]</f>
        <v>CB 160F DLX                                       NEGRO PER</v>
      </c>
      <c r="AA1560" s="128" t="e">
        <f>+VLOOKUP(Tabla3[[#This Row],[CODIGO2]],ESTANDAR!$B$3:$C$9,2,FALSE)</f>
        <v>#N/A</v>
      </c>
      <c r="AB1560" s="128" t="str">
        <f>+MID(Tabla3[[#This Row],['# Viaje]],10,1)</f>
        <v/>
      </c>
    </row>
    <row r="1561" spans="1:28" ht="15" hidden="1" customHeight="1">
      <c r="A1561" s="44" t="s">
        <v>1757</v>
      </c>
      <c r="B1561" s="45">
        <v>42950</v>
      </c>
      <c r="C1561" s="44" t="s">
        <v>1231</v>
      </c>
      <c r="D1561" s="44" t="s">
        <v>1478</v>
      </c>
      <c r="E1561" s="44" t="s">
        <v>1232</v>
      </c>
      <c r="F1561" s="44">
        <v>2</v>
      </c>
      <c r="G1561" s="44" t="s">
        <v>125</v>
      </c>
      <c r="H1561" s="44">
        <v>2</v>
      </c>
      <c r="I1561" s="44" t="s">
        <v>1758</v>
      </c>
      <c r="J1561" s="44" t="s">
        <v>1428</v>
      </c>
      <c r="K1561" s="44" t="s">
        <v>1461</v>
      </c>
      <c r="L1561" s="45"/>
      <c r="M1561" s="44" t="s">
        <v>1281</v>
      </c>
      <c r="N1561" s="44">
        <v>890207088</v>
      </c>
      <c r="O1561" s="46">
        <v>3067227</v>
      </c>
      <c r="P1561" s="7"/>
      <c r="Q15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1" s="9">
        <f>+IFERROR(VLOOKUP(Tabla3[[#This Row],[Cliente factura]],Tabla4[[NIT]:[TOTAL CREDITO]],6,FALSE),0)</f>
        <v>0</v>
      </c>
      <c r="S1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1" s="10" t="str">
        <f>VLOOKUP(Tabla3[[#This Row],[Razón social cliente factura]]&amp;Tabla3[[#This Row],[Desc. ciudad]],'Estandar de Rutas'!$C$1:$E$553,2,FALSE)</f>
        <v>6.2.B</v>
      </c>
      <c r="U1561" s="130">
        <f>IFERROR(VLOOKUP(Tabla3[[#This Row],[Referencia]]&amp;Tabla3[[#This Row],[Desc detalle ext 1]],Tabla1[[Referencia-Color]:[Disponibilidad]],3,FALSE),0)</f>
        <v>0</v>
      </c>
      <c r="V1561" s="13"/>
      <c r="W1561" s="17">
        <f>+Tabla3[[#This Row],[Cant. Programada]]*Tabla3[[#This Row],[Precio unit]]</f>
        <v>0</v>
      </c>
      <c r="X1561" s="8"/>
      <c r="Y1561" s="8"/>
      <c r="Z1561" s="8" t="str">
        <f>+Tabla3[[#This Row],[Referencia]]&amp;Tabla3[[#This Row],[Desc detalle ext 1]]</f>
        <v>DREAM  NEO                                        ROJO ALFA</v>
      </c>
      <c r="AA1561" s="128" t="e">
        <f>+VLOOKUP(Tabla3[[#This Row],[CODIGO2]],ESTANDAR!$B$3:$C$9,2,FALSE)</f>
        <v>#N/A</v>
      </c>
      <c r="AB1561" s="128" t="str">
        <f>+MID(Tabla3[[#This Row],['# Viaje]],10,1)</f>
        <v/>
      </c>
    </row>
    <row r="1562" spans="1:28" ht="15" hidden="1" customHeight="1">
      <c r="A1562" s="44" t="s">
        <v>1757</v>
      </c>
      <c r="B1562" s="45">
        <v>42950</v>
      </c>
      <c r="C1562" s="44" t="s">
        <v>1231</v>
      </c>
      <c r="D1562" s="44" t="s">
        <v>1478</v>
      </c>
      <c r="E1562" s="44" t="s">
        <v>1232</v>
      </c>
      <c r="F1562" s="44">
        <v>1</v>
      </c>
      <c r="G1562" s="44" t="s">
        <v>125</v>
      </c>
      <c r="H1562" s="44">
        <v>1</v>
      </c>
      <c r="I1562" s="44" t="s">
        <v>1758</v>
      </c>
      <c r="J1562" s="44" t="s">
        <v>1428</v>
      </c>
      <c r="K1562" s="44" t="s">
        <v>1429</v>
      </c>
      <c r="L1562" s="45"/>
      <c r="M1562" s="44" t="s">
        <v>1281</v>
      </c>
      <c r="N1562" s="44">
        <v>890207088</v>
      </c>
      <c r="O1562" s="46">
        <v>3067227</v>
      </c>
      <c r="P1562" s="7"/>
      <c r="Q15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2" s="9">
        <f>+IFERROR(VLOOKUP(Tabla3[[#This Row],[Cliente factura]],Tabla4[[NIT]:[TOTAL CREDITO]],6,FALSE),0)</f>
        <v>0</v>
      </c>
      <c r="S1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2" s="10" t="str">
        <f>VLOOKUP(Tabla3[[#This Row],[Razón social cliente factura]]&amp;Tabla3[[#This Row],[Desc. ciudad]],'Estandar de Rutas'!$C$1:$E$553,2,FALSE)</f>
        <v>6.2.B</v>
      </c>
      <c r="U1562" s="130">
        <f>IFERROR(VLOOKUP(Tabla3[[#This Row],[Referencia]]&amp;Tabla3[[#This Row],[Desc detalle ext 1]],Tabla1[[Referencia-Color]:[Disponibilidad]],3,FALSE),0)</f>
        <v>0</v>
      </c>
      <c r="V1562" s="13"/>
      <c r="W1562" s="17">
        <f>+Tabla3[[#This Row],[Cant. Programada]]*Tabla3[[#This Row],[Precio unit]]</f>
        <v>0</v>
      </c>
      <c r="X1562" s="8"/>
      <c r="Y1562" s="8"/>
      <c r="Z1562" s="8" t="str">
        <f>+Tabla3[[#This Row],[Referencia]]&amp;Tabla3[[#This Row],[Desc detalle ext 1]]</f>
        <v>DREAM  NEO                                        NEGRO AZU</v>
      </c>
      <c r="AA1562" s="128" t="e">
        <f>+VLOOKUP(Tabla3[[#This Row],[CODIGO2]],ESTANDAR!$B$3:$C$9,2,FALSE)</f>
        <v>#N/A</v>
      </c>
      <c r="AB1562" s="128" t="str">
        <f>+MID(Tabla3[[#This Row],['# Viaje]],10,1)</f>
        <v/>
      </c>
    </row>
    <row r="1563" spans="1:28" ht="15" hidden="1" customHeight="1">
      <c r="A1563" s="44" t="s">
        <v>1757</v>
      </c>
      <c r="B1563" s="45">
        <v>42950</v>
      </c>
      <c r="C1563" s="44" t="s">
        <v>1231</v>
      </c>
      <c r="D1563" s="44" t="s">
        <v>1478</v>
      </c>
      <c r="E1563" s="44" t="s">
        <v>1232</v>
      </c>
      <c r="F1563" s="44">
        <v>2</v>
      </c>
      <c r="G1563" s="44" t="s">
        <v>125</v>
      </c>
      <c r="H1563" s="44">
        <v>2</v>
      </c>
      <c r="I1563" s="44" t="s">
        <v>1758</v>
      </c>
      <c r="J1563" s="44" t="s">
        <v>1428</v>
      </c>
      <c r="K1563" s="44" t="s">
        <v>32</v>
      </c>
      <c r="L1563" s="45"/>
      <c r="M1563" s="44" t="s">
        <v>1281</v>
      </c>
      <c r="N1563" s="44">
        <v>890207088</v>
      </c>
      <c r="O1563" s="46">
        <v>3067227</v>
      </c>
      <c r="P1563" s="7"/>
      <c r="Q15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3" s="9">
        <f>+IFERROR(VLOOKUP(Tabla3[[#This Row],[Cliente factura]],Tabla4[[NIT]:[TOTAL CREDITO]],6,FALSE),0)</f>
        <v>0</v>
      </c>
      <c r="S1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3" s="10" t="str">
        <f>VLOOKUP(Tabla3[[#This Row],[Razón social cliente factura]]&amp;Tabla3[[#This Row],[Desc. ciudad]],'Estandar de Rutas'!$C$1:$E$553,2,FALSE)</f>
        <v>6.2.B</v>
      </c>
      <c r="U1563" s="130">
        <f>IFERROR(VLOOKUP(Tabla3[[#This Row],[Referencia]]&amp;Tabla3[[#This Row],[Desc detalle ext 1]],Tabla1[[Referencia-Color]:[Disponibilidad]],3,FALSE),0)</f>
        <v>0</v>
      </c>
      <c r="V1563" s="13"/>
      <c r="W1563" s="17">
        <f>+Tabla3[[#This Row],[Cant. Programada]]*Tabla3[[#This Row],[Precio unit]]</f>
        <v>0</v>
      </c>
      <c r="X1563" s="8"/>
      <c r="Y1563" s="8"/>
      <c r="Z1563" s="8" t="str">
        <f>+Tabla3[[#This Row],[Referencia]]&amp;Tabla3[[#This Row],[Desc detalle ext 1]]</f>
        <v>DREAM  NEO                                        NEGRO ROJ</v>
      </c>
      <c r="AA1563" s="128" t="e">
        <f>+VLOOKUP(Tabla3[[#This Row],[CODIGO2]],ESTANDAR!$B$3:$C$9,2,FALSE)</f>
        <v>#N/A</v>
      </c>
      <c r="AB1563" s="128" t="str">
        <f>+MID(Tabla3[[#This Row],['# Viaje]],10,1)</f>
        <v/>
      </c>
    </row>
    <row r="1564" spans="1:28" ht="15" hidden="1" customHeight="1">
      <c r="A1564" s="44" t="s">
        <v>1757</v>
      </c>
      <c r="B1564" s="45">
        <v>42950</v>
      </c>
      <c r="C1564" s="44" t="s">
        <v>1231</v>
      </c>
      <c r="D1564" s="44" t="s">
        <v>1478</v>
      </c>
      <c r="E1564" s="44" t="s">
        <v>1232</v>
      </c>
      <c r="F1564" s="44">
        <v>1</v>
      </c>
      <c r="G1564" s="44" t="s">
        <v>125</v>
      </c>
      <c r="H1564" s="44">
        <v>1</v>
      </c>
      <c r="I1564" s="44" t="s">
        <v>1758</v>
      </c>
      <c r="J1564" s="44" t="s">
        <v>1430</v>
      </c>
      <c r="K1564" s="44" t="s">
        <v>16</v>
      </c>
      <c r="L1564" s="45"/>
      <c r="M1564" s="44" t="s">
        <v>1281</v>
      </c>
      <c r="N1564" s="44">
        <v>890207088</v>
      </c>
      <c r="O1564" s="46">
        <v>3941176</v>
      </c>
      <c r="P1564" s="7"/>
      <c r="Q15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4" s="9">
        <f>+IFERROR(VLOOKUP(Tabla3[[#This Row],[Cliente factura]],Tabla4[[NIT]:[TOTAL CREDITO]],6,FALSE),0)</f>
        <v>0</v>
      </c>
      <c r="S1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4" s="10" t="str">
        <f>VLOOKUP(Tabla3[[#This Row],[Razón social cliente factura]]&amp;Tabla3[[#This Row],[Desc. ciudad]],'Estandar de Rutas'!$C$1:$E$553,2,FALSE)</f>
        <v>6.2.B</v>
      </c>
      <c r="U1564" s="130">
        <f>IFERROR(VLOOKUP(Tabla3[[#This Row],[Referencia]]&amp;Tabla3[[#This Row],[Desc detalle ext 1]],Tabla1[[Referencia-Color]:[Disponibilidad]],3,FALSE),0)</f>
        <v>0</v>
      </c>
      <c r="V1564" s="13"/>
      <c r="W1564" s="17">
        <f>+Tabla3[[#This Row],[Cant. Programada]]*Tabla3[[#This Row],[Precio unit]]</f>
        <v>0</v>
      </c>
      <c r="X1564" s="8"/>
      <c r="Y1564" s="8"/>
      <c r="Z1564" s="8" t="str">
        <f>+Tabla3[[#This Row],[Referencia]]&amp;Tabla3[[#This Row],[Desc detalle ext 1]]</f>
        <v xml:space="preserve">WAVE 110S                                         NEGRO    </v>
      </c>
      <c r="AA1564" s="128" t="e">
        <f>+VLOOKUP(Tabla3[[#This Row],[CODIGO2]],ESTANDAR!$B$3:$C$9,2,FALSE)</f>
        <v>#N/A</v>
      </c>
      <c r="AB1564" s="128" t="str">
        <f>+MID(Tabla3[[#This Row],['# Viaje]],10,1)</f>
        <v/>
      </c>
    </row>
    <row r="1565" spans="1:28" ht="15" hidden="1" customHeight="1">
      <c r="A1565" s="44" t="s">
        <v>1757</v>
      </c>
      <c r="B1565" s="45">
        <v>42950</v>
      </c>
      <c r="C1565" s="44" t="s">
        <v>1231</v>
      </c>
      <c r="D1565" s="44" t="s">
        <v>1478</v>
      </c>
      <c r="E1565" s="44" t="s">
        <v>1232</v>
      </c>
      <c r="F1565" s="44">
        <v>1</v>
      </c>
      <c r="G1565" s="44" t="s">
        <v>125</v>
      </c>
      <c r="H1565" s="44">
        <v>1</v>
      </c>
      <c r="I1565" s="44" t="s">
        <v>1758</v>
      </c>
      <c r="J1565" s="44" t="s">
        <v>1234</v>
      </c>
      <c r="K1565" s="44" t="s">
        <v>17</v>
      </c>
      <c r="L1565" s="45"/>
      <c r="M1565" s="44" t="s">
        <v>1281</v>
      </c>
      <c r="N1565" s="44">
        <v>890207088</v>
      </c>
      <c r="O1565" s="46">
        <v>5453782</v>
      </c>
      <c r="P1565" s="7"/>
      <c r="Q15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5" s="9">
        <f>+IFERROR(VLOOKUP(Tabla3[[#This Row],[Cliente factura]],Tabla4[[NIT]:[TOTAL CREDITO]],6,FALSE),0)</f>
        <v>0</v>
      </c>
      <c r="S1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5" s="10" t="str">
        <f>VLOOKUP(Tabla3[[#This Row],[Razón social cliente factura]]&amp;Tabla3[[#This Row],[Desc. ciudad]],'Estandar de Rutas'!$C$1:$E$553,2,FALSE)</f>
        <v>6.2.B</v>
      </c>
      <c r="U1565" s="130">
        <f>IFERROR(VLOOKUP(Tabla3[[#This Row],[Referencia]]&amp;Tabla3[[#This Row],[Desc detalle ext 1]],Tabla1[[Referencia-Color]:[Disponibilidad]],3,FALSE),0)</f>
        <v>0</v>
      </c>
      <c r="V1565" s="13"/>
      <c r="W1565" s="17">
        <f>+Tabla3[[#This Row],[Cant. Programada]]*Tabla3[[#This Row],[Precio unit]]</f>
        <v>0</v>
      </c>
      <c r="X1565" s="8"/>
      <c r="Y1565" s="8"/>
      <c r="Z1565" s="8" t="str">
        <f>+Tabla3[[#This Row],[Referencia]]&amp;Tabla3[[#This Row],[Desc detalle ext 1]]</f>
        <v>CB 160F STD                                       ROJO SPOR</v>
      </c>
      <c r="AA1565" s="128" t="e">
        <f>+VLOOKUP(Tabla3[[#This Row],[CODIGO2]],ESTANDAR!$B$3:$C$9,2,FALSE)</f>
        <v>#N/A</v>
      </c>
      <c r="AB1565" s="128" t="str">
        <f>+MID(Tabla3[[#This Row],['# Viaje]],10,1)</f>
        <v/>
      </c>
    </row>
    <row r="1566" spans="1:28" ht="15" hidden="1" customHeight="1">
      <c r="A1566" s="44" t="s">
        <v>1757</v>
      </c>
      <c r="B1566" s="45">
        <v>42950</v>
      </c>
      <c r="C1566" s="44" t="s">
        <v>1231</v>
      </c>
      <c r="D1566" s="44" t="s">
        <v>1478</v>
      </c>
      <c r="E1566" s="44" t="s">
        <v>1232</v>
      </c>
      <c r="F1566" s="44">
        <v>1</v>
      </c>
      <c r="G1566" s="44" t="s">
        <v>125</v>
      </c>
      <c r="H1566" s="44">
        <v>1</v>
      </c>
      <c r="I1566" s="44" t="s">
        <v>1758</v>
      </c>
      <c r="J1566" s="44" t="s">
        <v>1451</v>
      </c>
      <c r="K1566" s="44" t="s">
        <v>1452</v>
      </c>
      <c r="L1566" s="45"/>
      <c r="M1566" s="44" t="s">
        <v>1281</v>
      </c>
      <c r="N1566" s="44">
        <v>890207088</v>
      </c>
      <c r="O1566" s="46">
        <v>3696639</v>
      </c>
      <c r="P1566" s="7"/>
      <c r="Q15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6" s="9">
        <f>+IFERROR(VLOOKUP(Tabla3[[#This Row],[Cliente factura]],Tabla4[[NIT]:[TOTAL CREDITO]],6,FALSE),0)</f>
        <v>0</v>
      </c>
      <c r="S1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6" s="10" t="str">
        <f>VLOOKUP(Tabla3[[#This Row],[Razón social cliente factura]]&amp;Tabla3[[#This Row],[Desc. ciudad]],'Estandar de Rutas'!$C$1:$E$553,2,FALSE)</f>
        <v>6.2.B</v>
      </c>
      <c r="U1566" s="130">
        <f>IFERROR(VLOOKUP(Tabla3[[#This Row],[Referencia]]&amp;Tabla3[[#This Row],[Desc detalle ext 1]],Tabla1[[Referencia-Color]:[Disponibilidad]],3,FALSE),0)</f>
        <v>21</v>
      </c>
      <c r="V1566" s="13"/>
      <c r="W1566" s="17">
        <f>+Tabla3[[#This Row],[Cant. Programada]]*Tabla3[[#This Row],[Precio unit]]</f>
        <v>0</v>
      </c>
      <c r="X1566" s="8"/>
      <c r="Y1566" s="8"/>
      <c r="Z1566" s="8" t="str">
        <f>+Tabla3[[#This Row],[Referencia]]&amp;Tabla3[[#This Row],[Desc detalle ext 1]]</f>
        <v xml:space="preserve">CB 110 DLX                                        AZUL     </v>
      </c>
      <c r="AA1566" s="128" t="e">
        <f>+VLOOKUP(Tabla3[[#This Row],[CODIGO2]],ESTANDAR!$B$3:$C$9,2,FALSE)</f>
        <v>#N/A</v>
      </c>
      <c r="AB1566" s="128" t="str">
        <f>+MID(Tabla3[[#This Row],['# Viaje]],10,1)</f>
        <v/>
      </c>
    </row>
    <row r="1567" spans="1:28" ht="15" hidden="1" customHeight="1">
      <c r="A1567" s="44" t="s">
        <v>1757</v>
      </c>
      <c r="B1567" s="45">
        <v>42950</v>
      </c>
      <c r="C1567" s="44" t="s">
        <v>1231</v>
      </c>
      <c r="D1567" s="44" t="s">
        <v>1478</v>
      </c>
      <c r="E1567" s="44" t="s">
        <v>1232</v>
      </c>
      <c r="F1567" s="44">
        <v>1</v>
      </c>
      <c r="G1567" s="44" t="s">
        <v>125</v>
      </c>
      <c r="H1567" s="44">
        <v>1</v>
      </c>
      <c r="I1567" s="44" t="s">
        <v>1758</v>
      </c>
      <c r="J1567" s="44" t="s">
        <v>1451</v>
      </c>
      <c r="K1567" s="44" t="s">
        <v>16</v>
      </c>
      <c r="L1567" s="45"/>
      <c r="M1567" s="44" t="s">
        <v>1281</v>
      </c>
      <c r="N1567" s="44">
        <v>890207088</v>
      </c>
      <c r="O1567" s="46">
        <v>3696639</v>
      </c>
      <c r="P1567" s="7"/>
      <c r="Q15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7" s="9">
        <f>+IFERROR(VLOOKUP(Tabla3[[#This Row],[Cliente factura]],Tabla4[[NIT]:[TOTAL CREDITO]],6,FALSE),0)</f>
        <v>0</v>
      </c>
      <c r="S1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7" s="10" t="str">
        <f>VLOOKUP(Tabla3[[#This Row],[Razón social cliente factura]]&amp;Tabla3[[#This Row],[Desc. ciudad]],'Estandar de Rutas'!$C$1:$E$553,2,FALSE)</f>
        <v>6.2.B</v>
      </c>
      <c r="U1567" s="130">
        <f>IFERROR(VLOOKUP(Tabla3[[#This Row],[Referencia]]&amp;Tabla3[[#This Row],[Desc detalle ext 1]],Tabla1[[Referencia-Color]:[Disponibilidad]],3,FALSE),0)</f>
        <v>3</v>
      </c>
      <c r="V1567" s="13"/>
      <c r="W1567" s="17">
        <f>+Tabla3[[#This Row],[Cant. Programada]]*Tabla3[[#This Row],[Precio unit]]</f>
        <v>0</v>
      </c>
      <c r="X1567" s="8"/>
      <c r="Y1567" s="8"/>
      <c r="Z1567" s="8" t="str">
        <f>+Tabla3[[#This Row],[Referencia]]&amp;Tabla3[[#This Row],[Desc detalle ext 1]]</f>
        <v xml:space="preserve">CB 110 DLX                                        NEGRO    </v>
      </c>
      <c r="AA1567" s="128" t="e">
        <f>+VLOOKUP(Tabla3[[#This Row],[CODIGO2]],ESTANDAR!$B$3:$C$9,2,FALSE)</f>
        <v>#N/A</v>
      </c>
      <c r="AB1567" s="128" t="str">
        <f>+MID(Tabla3[[#This Row],['# Viaje]],10,1)</f>
        <v/>
      </c>
    </row>
    <row r="1568" spans="1:28" ht="15" hidden="1" customHeight="1">
      <c r="A1568" s="44" t="s">
        <v>1759</v>
      </c>
      <c r="B1568" s="45">
        <v>42950</v>
      </c>
      <c r="C1568" s="44" t="s">
        <v>1231</v>
      </c>
      <c r="D1568" s="44" t="s">
        <v>1487</v>
      </c>
      <c r="E1568" s="44" t="s">
        <v>1232</v>
      </c>
      <c r="F1568" s="44">
        <v>8</v>
      </c>
      <c r="G1568" s="44" t="s">
        <v>178</v>
      </c>
      <c r="H1568" s="44">
        <v>1</v>
      </c>
      <c r="I1568" s="44" t="s">
        <v>178</v>
      </c>
      <c r="J1568" s="44" t="s">
        <v>14</v>
      </c>
      <c r="K1568" s="44" t="s">
        <v>16</v>
      </c>
      <c r="L1568" s="45">
        <v>42951</v>
      </c>
      <c r="M1568" s="44" t="s">
        <v>179</v>
      </c>
      <c r="N1568" s="44">
        <v>800191135</v>
      </c>
      <c r="O1568" s="46">
        <v>3360504</v>
      </c>
      <c r="P1568" s="7"/>
      <c r="Q15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8" s="9">
        <f>+IFERROR(VLOOKUP(Tabla3[[#This Row],[Cliente factura]],Tabla4[[NIT]:[TOTAL CREDITO]],6,FALSE),0)</f>
        <v>0</v>
      </c>
      <c r="S1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8" s="10" t="str">
        <f>VLOOKUP(Tabla3[[#This Row],[Razón social cliente factura]]&amp;Tabla3[[#This Row],[Desc. ciudad]],'Estandar de Rutas'!$C$1:$E$553,2,FALSE)</f>
        <v>11.2</v>
      </c>
      <c r="U1568" s="130">
        <f>IFERROR(VLOOKUP(Tabla3[[#This Row],[Referencia]]&amp;Tabla3[[#This Row],[Desc detalle ext 1]],Tabla1[[Referencia-Color]:[Disponibilidad]],3,FALSE),0)</f>
        <v>83</v>
      </c>
      <c r="V1568" s="13"/>
      <c r="W1568" s="17">
        <f>+Tabla3[[#This Row],[Cant. Programada]]*Tabla3[[#This Row],[Precio unit]]</f>
        <v>0</v>
      </c>
      <c r="X1568" s="8"/>
      <c r="Y1568" s="8"/>
      <c r="Z1568" s="8" t="str">
        <f>+Tabla3[[#This Row],[Referencia]]&amp;Tabla3[[#This Row],[Desc detalle ext 1]]</f>
        <v xml:space="preserve">*CB-110                                           NEGRO    </v>
      </c>
      <c r="AA1568" s="128" t="e">
        <f>+VLOOKUP(Tabla3[[#This Row],[CODIGO2]],ESTANDAR!$B$3:$C$9,2,FALSE)</f>
        <v>#N/A</v>
      </c>
      <c r="AB1568" s="128" t="str">
        <f>+MID(Tabla3[[#This Row],['# Viaje]],10,1)</f>
        <v/>
      </c>
    </row>
    <row r="1569" spans="1:28" ht="15" hidden="1" customHeight="1">
      <c r="A1569" s="44" t="s">
        <v>1760</v>
      </c>
      <c r="B1569" s="45">
        <v>42950</v>
      </c>
      <c r="C1569" s="44" t="s">
        <v>1231</v>
      </c>
      <c r="D1569" s="44" t="s">
        <v>1478</v>
      </c>
      <c r="E1569" s="44" t="s">
        <v>1232</v>
      </c>
      <c r="F1569" s="44">
        <v>5</v>
      </c>
      <c r="G1569" s="44" t="s">
        <v>125</v>
      </c>
      <c r="H1569" s="44">
        <v>5</v>
      </c>
      <c r="I1569" s="44" t="s">
        <v>1761</v>
      </c>
      <c r="J1569" s="44" t="s">
        <v>27</v>
      </c>
      <c r="K1569" s="44" t="s">
        <v>32</v>
      </c>
      <c r="L1569" s="45"/>
      <c r="M1569" s="44" t="s">
        <v>132</v>
      </c>
      <c r="N1569" s="44">
        <v>890207088</v>
      </c>
      <c r="O1569" s="46">
        <v>5789916</v>
      </c>
      <c r="P1569" s="7"/>
      <c r="Q15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9" s="9">
        <f>+IFERROR(VLOOKUP(Tabla3[[#This Row],[Cliente factura]],Tabla4[[NIT]:[TOTAL CREDITO]],6,FALSE),0)</f>
        <v>0</v>
      </c>
      <c r="S1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9" s="10" t="str">
        <f>VLOOKUP(Tabla3[[#This Row],[Razón social cliente factura]]&amp;Tabla3[[#This Row],[Desc. ciudad]],'Estandar de Rutas'!$C$1:$E$553,2,FALSE)</f>
        <v>6.2.B</v>
      </c>
      <c r="U1569" s="130">
        <f>IFERROR(VLOOKUP(Tabla3[[#This Row],[Referencia]]&amp;Tabla3[[#This Row],[Desc detalle ext 1]],Tabla1[[Referencia-Color]:[Disponibilidad]],3,FALSE),0)</f>
        <v>7</v>
      </c>
      <c r="V1569" s="13"/>
      <c r="W1569" s="17">
        <f>+Tabla3[[#This Row],[Cant. Programada]]*Tabla3[[#This Row],[Precio unit]]</f>
        <v>0</v>
      </c>
      <c r="X1569" s="8"/>
      <c r="Y1569" s="8"/>
      <c r="Z1569" s="8" t="str">
        <f>+Tabla3[[#This Row],[Referencia]]&amp;Tabla3[[#This Row],[Desc detalle ext 1]]</f>
        <v>*XR 150L                                          NEGRO ROJ</v>
      </c>
      <c r="AA1569" s="128" t="e">
        <f>+VLOOKUP(Tabla3[[#This Row],[CODIGO2]],ESTANDAR!$B$3:$C$9,2,FALSE)</f>
        <v>#N/A</v>
      </c>
      <c r="AB1569" s="128" t="str">
        <f>+MID(Tabla3[[#This Row],['# Viaje]],10,1)</f>
        <v/>
      </c>
    </row>
    <row r="1570" spans="1:28" ht="15" hidden="1" customHeight="1">
      <c r="A1570" s="44" t="s">
        <v>1760</v>
      </c>
      <c r="B1570" s="45">
        <v>42950</v>
      </c>
      <c r="C1570" s="44" t="s">
        <v>1231</v>
      </c>
      <c r="D1570" s="44" t="s">
        <v>1478</v>
      </c>
      <c r="E1570" s="44" t="s">
        <v>1232</v>
      </c>
      <c r="F1570" s="44">
        <v>2</v>
      </c>
      <c r="G1570" s="44" t="s">
        <v>125</v>
      </c>
      <c r="H1570" s="44">
        <v>2</v>
      </c>
      <c r="I1570" s="44" t="s">
        <v>1761</v>
      </c>
      <c r="J1570" s="44" t="s">
        <v>27</v>
      </c>
      <c r="K1570" s="44" t="s">
        <v>26</v>
      </c>
      <c r="L1570" s="45"/>
      <c r="M1570" s="44" t="s">
        <v>132</v>
      </c>
      <c r="N1570" s="44">
        <v>890207088</v>
      </c>
      <c r="O1570" s="46">
        <v>5789916</v>
      </c>
      <c r="P1570" s="7"/>
      <c r="Q15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0" s="9">
        <f>+IFERROR(VLOOKUP(Tabla3[[#This Row],[Cliente factura]],Tabla4[[NIT]:[TOTAL CREDITO]],6,FALSE),0)</f>
        <v>0</v>
      </c>
      <c r="S1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0" s="10" t="str">
        <f>VLOOKUP(Tabla3[[#This Row],[Razón social cliente factura]]&amp;Tabla3[[#This Row],[Desc. ciudad]],'Estandar de Rutas'!$C$1:$E$553,2,FALSE)</f>
        <v>6.2.B</v>
      </c>
      <c r="U1570" s="130">
        <f>IFERROR(VLOOKUP(Tabla3[[#This Row],[Referencia]]&amp;Tabla3[[#This Row],[Desc detalle ext 1]],Tabla1[[Referencia-Color]:[Disponibilidad]],3,FALSE),0)</f>
        <v>59</v>
      </c>
      <c r="V1570" s="13">
        <v>2</v>
      </c>
      <c r="W1570" s="17">
        <f>+Tabla3[[#This Row],[Cant. Programada]]*Tabla3[[#This Row],[Precio unit]]</f>
        <v>11579832</v>
      </c>
      <c r="X1570" s="130" t="s">
        <v>1903</v>
      </c>
      <c r="Y1570" s="8">
        <v>3</v>
      </c>
      <c r="Z1570" s="8" t="str">
        <f>+Tabla3[[#This Row],[Referencia]]&amp;Tabla3[[#This Row],[Desc detalle ext 1]]</f>
        <v>*XR 150L                                          NEGRO BLA</v>
      </c>
      <c r="AA1570" s="128" t="str">
        <f>+VLOOKUP(Tabla3[[#This Row],[CODIGO2]],ESTANDAR!$B$3:$C$9,2,FALSE)</f>
        <v>ENTREGAS</v>
      </c>
      <c r="AB1570" s="128" t="str">
        <f>+MID(Tabla3[[#This Row],['# Viaje]],10,1)</f>
        <v>E</v>
      </c>
    </row>
    <row r="1571" spans="1:28" ht="15" hidden="1" customHeight="1">
      <c r="A1571" s="44" t="s">
        <v>1760</v>
      </c>
      <c r="B1571" s="45">
        <v>42950</v>
      </c>
      <c r="C1571" s="44" t="s">
        <v>1231</v>
      </c>
      <c r="D1571" s="44" t="s">
        <v>1478</v>
      </c>
      <c r="E1571" s="44" t="s">
        <v>1232</v>
      </c>
      <c r="F1571" s="44">
        <v>1</v>
      </c>
      <c r="G1571" s="44" t="s">
        <v>125</v>
      </c>
      <c r="H1571" s="44">
        <v>1</v>
      </c>
      <c r="I1571" s="44" t="s">
        <v>1761</v>
      </c>
      <c r="J1571" s="44" t="s">
        <v>27</v>
      </c>
      <c r="K1571" s="44" t="s">
        <v>16</v>
      </c>
      <c r="L1571" s="45"/>
      <c r="M1571" s="44" t="s">
        <v>132</v>
      </c>
      <c r="N1571" s="44">
        <v>890207088</v>
      </c>
      <c r="O1571" s="46">
        <v>5789916</v>
      </c>
      <c r="P1571" s="7"/>
      <c r="Q15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1" s="9">
        <f>+IFERROR(VLOOKUP(Tabla3[[#This Row],[Cliente factura]],Tabla4[[NIT]:[TOTAL CREDITO]],6,FALSE),0)</f>
        <v>0</v>
      </c>
      <c r="S1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1" s="10" t="str">
        <f>VLOOKUP(Tabla3[[#This Row],[Razón social cliente factura]]&amp;Tabla3[[#This Row],[Desc. ciudad]],'Estandar de Rutas'!$C$1:$E$553,2,FALSE)</f>
        <v>6.2.B</v>
      </c>
      <c r="U1571" s="130">
        <f>IFERROR(VLOOKUP(Tabla3[[#This Row],[Referencia]]&amp;Tabla3[[#This Row],[Desc detalle ext 1]],Tabla1[[Referencia-Color]:[Disponibilidad]],3,FALSE),0)</f>
        <v>3</v>
      </c>
      <c r="V1571" s="13"/>
      <c r="W1571" s="17">
        <f>+Tabla3[[#This Row],[Cant. Programada]]*Tabla3[[#This Row],[Precio unit]]</f>
        <v>0</v>
      </c>
      <c r="X1571" s="8"/>
      <c r="Y1571" s="8"/>
      <c r="Z1571" s="8" t="str">
        <f>+Tabla3[[#This Row],[Referencia]]&amp;Tabla3[[#This Row],[Desc detalle ext 1]]</f>
        <v xml:space="preserve">*XR 150L                                          NEGRO    </v>
      </c>
      <c r="AA1571" s="128" t="e">
        <f>+VLOOKUP(Tabla3[[#This Row],[CODIGO2]],ESTANDAR!$B$3:$C$9,2,FALSE)</f>
        <v>#N/A</v>
      </c>
      <c r="AB1571" s="128" t="str">
        <f>+MID(Tabla3[[#This Row],['# Viaje]],10,1)</f>
        <v/>
      </c>
    </row>
    <row r="1572" spans="1:28" ht="15" hidden="1" customHeight="1">
      <c r="A1572" s="44" t="s">
        <v>1760</v>
      </c>
      <c r="B1572" s="45">
        <v>42950</v>
      </c>
      <c r="C1572" s="44" t="s">
        <v>1231</v>
      </c>
      <c r="D1572" s="44" t="s">
        <v>1478</v>
      </c>
      <c r="E1572" s="44" t="s">
        <v>1232</v>
      </c>
      <c r="F1572" s="44">
        <v>2</v>
      </c>
      <c r="G1572" s="44" t="s">
        <v>125</v>
      </c>
      <c r="H1572" s="44">
        <v>2</v>
      </c>
      <c r="I1572" s="44" t="s">
        <v>1761</v>
      </c>
      <c r="J1572" s="44" t="s">
        <v>1425</v>
      </c>
      <c r="K1572" s="44" t="s">
        <v>1426</v>
      </c>
      <c r="L1572" s="45"/>
      <c r="M1572" s="44" t="s">
        <v>132</v>
      </c>
      <c r="N1572" s="44">
        <v>890207088</v>
      </c>
      <c r="O1572" s="46">
        <v>7730252</v>
      </c>
      <c r="P1572" s="7"/>
      <c r="Q15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2" s="9">
        <f>+IFERROR(VLOOKUP(Tabla3[[#This Row],[Cliente factura]],Tabla4[[NIT]:[TOTAL CREDITO]],6,FALSE),0)</f>
        <v>0</v>
      </c>
      <c r="S1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2" s="10" t="str">
        <f>VLOOKUP(Tabla3[[#This Row],[Razón social cliente factura]]&amp;Tabla3[[#This Row],[Desc. ciudad]],'Estandar de Rutas'!$C$1:$E$553,2,FALSE)</f>
        <v>6.2.B</v>
      </c>
      <c r="U1572" s="130">
        <f>IFERROR(VLOOKUP(Tabla3[[#This Row],[Referencia]]&amp;Tabla3[[#This Row],[Desc detalle ext 1]],Tabla1[[Referencia-Color]:[Disponibilidad]],3,FALSE),0)</f>
        <v>104</v>
      </c>
      <c r="V1572" s="13"/>
      <c r="W1572" s="17">
        <f>+Tabla3[[#This Row],[Cant. Programada]]*Tabla3[[#This Row],[Precio unit]]</f>
        <v>0</v>
      </c>
      <c r="X1572" s="8"/>
      <c r="Y1572" s="8"/>
      <c r="Z1572" s="8" t="str">
        <f>+Tabla3[[#This Row],[Referencia]]&amp;Tabla3[[#This Row],[Desc detalle ext 1]]</f>
        <v>CB 190 REPSOL                                     NARANJA B</v>
      </c>
      <c r="AA1572" s="128" t="e">
        <f>+VLOOKUP(Tabla3[[#This Row],[CODIGO2]],ESTANDAR!$B$3:$C$9,2,FALSE)</f>
        <v>#N/A</v>
      </c>
      <c r="AB1572" s="128" t="str">
        <f>+MID(Tabla3[[#This Row],['# Viaje]],10,1)</f>
        <v/>
      </c>
    </row>
    <row r="1573" spans="1:28" ht="15" hidden="1" customHeight="1">
      <c r="A1573" s="44" t="s">
        <v>1760</v>
      </c>
      <c r="B1573" s="45">
        <v>42950</v>
      </c>
      <c r="C1573" s="44" t="s">
        <v>1231</v>
      </c>
      <c r="D1573" s="44" t="s">
        <v>1478</v>
      </c>
      <c r="E1573" s="44" t="s">
        <v>1232</v>
      </c>
      <c r="F1573" s="44">
        <v>2</v>
      </c>
      <c r="G1573" s="44" t="s">
        <v>125</v>
      </c>
      <c r="H1573" s="44">
        <v>2</v>
      </c>
      <c r="I1573" s="44" t="s">
        <v>1761</v>
      </c>
      <c r="J1573" s="44" t="s">
        <v>354</v>
      </c>
      <c r="K1573" s="44" t="s">
        <v>17</v>
      </c>
      <c r="L1573" s="45"/>
      <c r="M1573" s="44" t="s">
        <v>132</v>
      </c>
      <c r="N1573" s="44">
        <v>890207088</v>
      </c>
      <c r="O1573" s="46">
        <v>6133613</v>
      </c>
      <c r="P1573" s="7"/>
      <c r="Q15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3" s="9">
        <f>+IFERROR(VLOOKUP(Tabla3[[#This Row],[Cliente factura]],Tabla4[[NIT]:[TOTAL CREDITO]],6,FALSE),0)</f>
        <v>0</v>
      </c>
      <c r="S1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3" s="10" t="str">
        <f>VLOOKUP(Tabla3[[#This Row],[Razón social cliente factura]]&amp;Tabla3[[#This Row],[Desc. ciudad]],'Estandar de Rutas'!$C$1:$E$553,2,FALSE)</f>
        <v>6.2.B</v>
      </c>
      <c r="U1573" s="130">
        <f>IFERROR(VLOOKUP(Tabla3[[#This Row],[Referencia]]&amp;Tabla3[[#This Row],[Desc detalle ext 1]],Tabla1[[Referencia-Color]:[Disponibilidad]],3,FALSE),0)</f>
        <v>48</v>
      </c>
      <c r="V1573" s="13"/>
      <c r="W1573" s="17">
        <f>+Tabla3[[#This Row],[Cant. Programada]]*Tabla3[[#This Row],[Precio unit]]</f>
        <v>0</v>
      </c>
      <c r="X1573" s="8"/>
      <c r="Y1573" s="8"/>
      <c r="Z1573" s="8" t="str">
        <f>+Tabla3[[#This Row],[Referencia]]&amp;Tabla3[[#This Row],[Desc detalle ext 1]]</f>
        <v>CB 160F DLX                                       ROJO SPOR</v>
      </c>
      <c r="AA1573" s="128" t="e">
        <f>+VLOOKUP(Tabla3[[#This Row],[CODIGO2]],ESTANDAR!$B$3:$C$9,2,FALSE)</f>
        <v>#N/A</v>
      </c>
      <c r="AB1573" s="128" t="str">
        <f>+MID(Tabla3[[#This Row],['# Viaje]],10,1)</f>
        <v/>
      </c>
    </row>
    <row r="1574" spans="1:28" ht="15" hidden="1" customHeight="1">
      <c r="A1574" s="44" t="s">
        <v>1760</v>
      </c>
      <c r="B1574" s="45">
        <v>42950</v>
      </c>
      <c r="C1574" s="44" t="s">
        <v>1231</v>
      </c>
      <c r="D1574" s="44" t="s">
        <v>1478</v>
      </c>
      <c r="E1574" s="44" t="s">
        <v>1232</v>
      </c>
      <c r="F1574" s="44">
        <v>1</v>
      </c>
      <c r="G1574" s="44" t="s">
        <v>125</v>
      </c>
      <c r="H1574" s="44">
        <v>1</v>
      </c>
      <c r="I1574" s="44" t="s">
        <v>1761</v>
      </c>
      <c r="J1574" s="44" t="s">
        <v>354</v>
      </c>
      <c r="K1574" s="44" t="s">
        <v>355</v>
      </c>
      <c r="L1574" s="45"/>
      <c r="M1574" s="44" t="s">
        <v>132</v>
      </c>
      <c r="N1574" s="44">
        <v>890207088</v>
      </c>
      <c r="O1574" s="46">
        <v>6133613</v>
      </c>
      <c r="P1574" s="7"/>
      <c r="Q15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4" s="9">
        <f>+IFERROR(VLOOKUP(Tabla3[[#This Row],[Cliente factura]],Tabla4[[NIT]:[TOTAL CREDITO]],6,FALSE),0)</f>
        <v>0</v>
      </c>
      <c r="S1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4" s="10" t="str">
        <f>VLOOKUP(Tabla3[[#This Row],[Razón social cliente factura]]&amp;Tabla3[[#This Row],[Desc. ciudad]],'Estandar de Rutas'!$C$1:$E$553,2,FALSE)</f>
        <v>6.2.B</v>
      </c>
      <c r="U1574" s="130">
        <f>IFERROR(VLOOKUP(Tabla3[[#This Row],[Referencia]]&amp;Tabla3[[#This Row],[Desc detalle ext 1]],Tabla1[[Referencia-Color]:[Disponibilidad]],3,FALSE),0)</f>
        <v>0</v>
      </c>
      <c r="V1574" s="13"/>
      <c r="W1574" s="17">
        <f>+Tabla3[[#This Row],[Cant. Programada]]*Tabla3[[#This Row],[Precio unit]]</f>
        <v>0</v>
      </c>
      <c r="X1574" s="8"/>
      <c r="Y1574" s="8"/>
      <c r="Z1574" s="8" t="str">
        <f>+Tabla3[[#This Row],[Referencia]]&amp;Tabla3[[#This Row],[Desc detalle ext 1]]</f>
        <v>CB 160F DLX                                       NEGRO PER</v>
      </c>
      <c r="AA1574" s="128" t="e">
        <f>+VLOOKUP(Tabla3[[#This Row],[CODIGO2]],ESTANDAR!$B$3:$C$9,2,FALSE)</f>
        <v>#N/A</v>
      </c>
      <c r="AB1574" s="128" t="str">
        <f>+MID(Tabla3[[#This Row],['# Viaje]],10,1)</f>
        <v/>
      </c>
    </row>
    <row r="1575" spans="1:28" ht="15" hidden="1" customHeight="1">
      <c r="A1575" s="44" t="s">
        <v>1760</v>
      </c>
      <c r="B1575" s="45">
        <v>42950</v>
      </c>
      <c r="C1575" s="44" t="s">
        <v>1231</v>
      </c>
      <c r="D1575" s="44" t="s">
        <v>1478</v>
      </c>
      <c r="E1575" s="44" t="s">
        <v>1232</v>
      </c>
      <c r="F1575" s="44">
        <v>2</v>
      </c>
      <c r="G1575" s="44" t="s">
        <v>125</v>
      </c>
      <c r="H1575" s="44">
        <v>2</v>
      </c>
      <c r="I1575" s="44" t="s">
        <v>1761</v>
      </c>
      <c r="J1575" s="44" t="s">
        <v>354</v>
      </c>
      <c r="K1575" s="44" t="s">
        <v>44</v>
      </c>
      <c r="L1575" s="45"/>
      <c r="M1575" s="44" t="s">
        <v>132</v>
      </c>
      <c r="N1575" s="44">
        <v>890207088</v>
      </c>
      <c r="O1575" s="46">
        <v>6133613</v>
      </c>
      <c r="P1575" s="7"/>
      <c r="Q15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5" s="9">
        <f>+IFERROR(VLOOKUP(Tabla3[[#This Row],[Cliente factura]],Tabla4[[NIT]:[TOTAL CREDITO]],6,FALSE),0)</f>
        <v>0</v>
      </c>
      <c r="S1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5" s="10" t="str">
        <f>VLOOKUP(Tabla3[[#This Row],[Razón social cliente factura]]&amp;Tabla3[[#This Row],[Desc. ciudad]],'Estandar de Rutas'!$C$1:$E$553,2,FALSE)</f>
        <v>6.2.B</v>
      </c>
      <c r="U1575" s="130">
        <f>IFERROR(VLOOKUP(Tabla3[[#This Row],[Referencia]]&amp;Tabla3[[#This Row],[Desc detalle ext 1]],Tabla1[[Referencia-Color]:[Disponibilidad]],3,FALSE),0)</f>
        <v>6</v>
      </c>
      <c r="V1575" s="13"/>
      <c r="W1575" s="17">
        <f>+Tabla3[[#This Row],[Cant. Programada]]*Tabla3[[#This Row],[Precio unit]]</f>
        <v>0</v>
      </c>
      <c r="X1575" s="8"/>
      <c r="Y1575" s="8"/>
      <c r="Z1575" s="8" t="str">
        <f>+Tabla3[[#This Row],[Referencia]]&amp;Tabla3[[#This Row],[Desc detalle ext 1]]</f>
        <v>CB 160F DLX                                       BLANCO PE</v>
      </c>
      <c r="AA1575" s="128" t="e">
        <f>+VLOOKUP(Tabla3[[#This Row],[CODIGO2]],ESTANDAR!$B$3:$C$9,2,FALSE)</f>
        <v>#N/A</v>
      </c>
      <c r="AB1575" s="128" t="str">
        <f>+MID(Tabla3[[#This Row],['# Viaje]],10,1)</f>
        <v/>
      </c>
    </row>
    <row r="1576" spans="1:28" ht="15" hidden="1" customHeight="1">
      <c r="A1576" s="44" t="s">
        <v>1760</v>
      </c>
      <c r="B1576" s="45">
        <v>42950</v>
      </c>
      <c r="C1576" s="44" t="s">
        <v>1231</v>
      </c>
      <c r="D1576" s="44" t="s">
        <v>1478</v>
      </c>
      <c r="E1576" s="44" t="s">
        <v>1232</v>
      </c>
      <c r="F1576" s="44">
        <v>1</v>
      </c>
      <c r="G1576" s="44" t="s">
        <v>125</v>
      </c>
      <c r="H1576" s="44">
        <v>1</v>
      </c>
      <c r="I1576" s="44" t="s">
        <v>1761</v>
      </c>
      <c r="J1576" s="44" t="s">
        <v>1433</v>
      </c>
      <c r="K1576" s="44" t="s">
        <v>1431</v>
      </c>
      <c r="L1576" s="45"/>
      <c r="M1576" s="44" t="s">
        <v>132</v>
      </c>
      <c r="N1576" s="44">
        <v>890207088</v>
      </c>
      <c r="O1576" s="46">
        <v>3521008</v>
      </c>
      <c r="P1576" s="7"/>
      <c r="Q15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6" s="9">
        <f>+IFERROR(VLOOKUP(Tabla3[[#This Row],[Cliente factura]],Tabla4[[NIT]:[TOTAL CREDITO]],6,FALSE),0)</f>
        <v>0</v>
      </c>
      <c r="S1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6" s="10" t="str">
        <f>VLOOKUP(Tabla3[[#This Row],[Razón social cliente factura]]&amp;Tabla3[[#This Row],[Desc. ciudad]],'Estandar de Rutas'!$C$1:$E$553,2,FALSE)</f>
        <v>6.2.B</v>
      </c>
      <c r="U1576" s="130">
        <f>IFERROR(VLOOKUP(Tabla3[[#This Row],[Referencia]]&amp;Tabla3[[#This Row],[Desc detalle ext 1]],Tabla1[[Referencia-Color]:[Disponibilidad]],3,FALSE),0)</f>
        <v>0</v>
      </c>
      <c r="V1576" s="13"/>
      <c r="W1576" s="17">
        <f>+Tabla3[[#This Row],[Cant. Programada]]*Tabla3[[#This Row],[Precio unit]]</f>
        <v>0</v>
      </c>
      <c r="X1576" s="8"/>
      <c r="Y1576" s="8"/>
      <c r="Z1576" s="8" t="str">
        <f>+Tabla3[[#This Row],[Referencia]]&amp;Tabla3[[#This Row],[Desc detalle ext 1]]</f>
        <v xml:space="preserve">DIO  110                                          ROJO     </v>
      </c>
      <c r="AA1576" s="128" t="e">
        <f>+VLOOKUP(Tabla3[[#This Row],[CODIGO2]],ESTANDAR!$B$3:$C$9,2,FALSE)</f>
        <v>#N/A</v>
      </c>
      <c r="AB1576" s="128" t="str">
        <f>+MID(Tabla3[[#This Row],['# Viaje]],10,1)</f>
        <v/>
      </c>
    </row>
    <row r="1577" spans="1:28" ht="15" hidden="1" customHeight="1">
      <c r="A1577" s="44" t="s">
        <v>1760</v>
      </c>
      <c r="B1577" s="45">
        <v>42950</v>
      </c>
      <c r="C1577" s="44" t="s">
        <v>1231</v>
      </c>
      <c r="D1577" s="44" t="s">
        <v>1478</v>
      </c>
      <c r="E1577" s="44" t="s">
        <v>1232</v>
      </c>
      <c r="F1577" s="44">
        <v>3</v>
      </c>
      <c r="G1577" s="44" t="s">
        <v>125</v>
      </c>
      <c r="H1577" s="44">
        <v>3</v>
      </c>
      <c r="I1577" s="44" t="s">
        <v>1761</v>
      </c>
      <c r="J1577" s="44" t="s">
        <v>1428</v>
      </c>
      <c r="K1577" s="44" t="s">
        <v>1461</v>
      </c>
      <c r="L1577" s="45"/>
      <c r="M1577" s="44" t="s">
        <v>132</v>
      </c>
      <c r="N1577" s="44">
        <v>890207088</v>
      </c>
      <c r="O1577" s="46">
        <v>3067227</v>
      </c>
      <c r="P1577" s="7"/>
      <c r="Q15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7" s="9">
        <f>+IFERROR(VLOOKUP(Tabla3[[#This Row],[Cliente factura]],Tabla4[[NIT]:[TOTAL CREDITO]],6,FALSE),0)</f>
        <v>0</v>
      </c>
      <c r="S1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7" s="10" t="str">
        <f>VLOOKUP(Tabla3[[#This Row],[Razón social cliente factura]]&amp;Tabla3[[#This Row],[Desc. ciudad]],'Estandar de Rutas'!$C$1:$E$553,2,FALSE)</f>
        <v>6.2.B</v>
      </c>
      <c r="U1577" s="130">
        <f>IFERROR(VLOOKUP(Tabla3[[#This Row],[Referencia]]&amp;Tabla3[[#This Row],[Desc detalle ext 1]],Tabla1[[Referencia-Color]:[Disponibilidad]],3,FALSE),0)</f>
        <v>0</v>
      </c>
      <c r="V1577" s="13"/>
      <c r="W1577" s="17">
        <f>+Tabla3[[#This Row],[Cant. Programada]]*Tabla3[[#This Row],[Precio unit]]</f>
        <v>0</v>
      </c>
      <c r="X1577" s="8"/>
      <c r="Y1577" s="8"/>
      <c r="Z1577" s="8" t="str">
        <f>+Tabla3[[#This Row],[Referencia]]&amp;Tabla3[[#This Row],[Desc detalle ext 1]]</f>
        <v>DREAM  NEO                                        ROJO ALFA</v>
      </c>
      <c r="AA1577" s="128" t="e">
        <f>+VLOOKUP(Tabla3[[#This Row],[CODIGO2]],ESTANDAR!$B$3:$C$9,2,FALSE)</f>
        <v>#N/A</v>
      </c>
      <c r="AB1577" s="128" t="str">
        <f>+MID(Tabla3[[#This Row],['# Viaje]],10,1)</f>
        <v/>
      </c>
    </row>
    <row r="1578" spans="1:28" ht="15" hidden="1" customHeight="1">
      <c r="A1578" s="44" t="s">
        <v>1760</v>
      </c>
      <c r="B1578" s="45">
        <v>42950</v>
      </c>
      <c r="C1578" s="44" t="s">
        <v>1231</v>
      </c>
      <c r="D1578" s="44" t="s">
        <v>1478</v>
      </c>
      <c r="E1578" s="44" t="s">
        <v>1232</v>
      </c>
      <c r="F1578" s="44">
        <v>3</v>
      </c>
      <c r="G1578" s="44" t="s">
        <v>125</v>
      </c>
      <c r="H1578" s="44">
        <v>3</v>
      </c>
      <c r="I1578" s="44" t="s">
        <v>1761</v>
      </c>
      <c r="J1578" s="44" t="s">
        <v>1428</v>
      </c>
      <c r="K1578" s="44" t="s">
        <v>32</v>
      </c>
      <c r="L1578" s="45"/>
      <c r="M1578" s="44" t="s">
        <v>132</v>
      </c>
      <c r="N1578" s="44">
        <v>890207088</v>
      </c>
      <c r="O1578" s="46">
        <v>3067227</v>
      </c>
      <c r="P1578" s="7"/>
      <c r="Q15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8" s="9">
        <f>+IFERROR(VLOOKUP(Tabla3[[#This Row],[Cliente factura]],Tabla4[[NIT]:[TOTAL CREDITO]],6,FALSE),0)</f>
        <v>0</v>
      </c>
      <c r="S1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8" s="10" t="str">
        <f>VLOOKUP(Tabla3[[#This Row],[Razón social cliente factura]]&amp;Tabla3[[#This Row],[Desc. ciudad]],'Estandar de Rutas'!$C$1:$E$553,2,FALSE)</f>
        <v>6.2.B</v>
      </c>
      <c r="U1578" s="130">
        <f>IFERROR(VLOOKUP(Tabla3[[#This Row],[Referencia]]&amp;Tabla3[[#This Row],[Desc detalle ext 1]],Tabla1[[Referencia-Color]:[Disponibilidad]],3,FALSE),0)</f>
        <v>0</v>
      </c>
      <c r="V1578" s="13"/>
      <c r="W1578" s="17">
        <f>+Tabla3[[#This Row],[Cant. Programada]]*Tabla3[[#This Row],[Precio unit]]</f>
        <v>0</v>
      </c>
      <c r="X1578" s="8"/>
      <c r="Y1578" s="8"/>
      <c r="Z1578" s="8" t="str">
        <f>+Tabla3[[#This Row],[Referencia]]&amp;Tabla3[[#This Row],[Desc detalle ext 1]]</f>
        <v>DREAM  NEO                                        NEGRO ROJ</v>
      </c>
      <c r="AA1578" s="128" t="e">
        <f>+VLOOKUP(Tabla3[[#This Row],[CODIGO2]],ESTANDAR!$B$3:$C$9,2,FALSE)</f>
        <v>#N/A</v>
      </c>
      <c r="AB1578" s="128" t="str">
        <f>+MID(Tabla3[[#This Row],['# Viaje]],10,1)</f>
        <v/>
      </c>
    </row>
    <row r="1579" spans="1:28" ht="15" hidden="1" customHeight="1">
      <c r="A1579" s="44" t="s">
        <v>1760</v>
      </c>
      <c r="B1579" s="45">
        <v>42950</v>
      </c>
      <c r="C1579" s="44" t="s">
        <v>1231</v>
      </c>
      <c r="D1579" s="44" t="s">
        <v>1478</v>
      </c>
      <c r="E1579" s="44" t="s">
        <v>1232</v>
      </c>
      <c r="F1579" s="44">
        <v>3</v>
      </c>
      <c r="G1579" s="44" t="s">
        <v>125</v>
      </c>
      <c r="H1579" s="44">
        <v>3</v>
      </c>
      <c r="I1579" s="44" t="s">
        <v>1761</v>
      </c>
      <c r="J1579" s="44" t="s">
        <v>1428</v>
      </c>
      <c r="K1579" s="44" t="s">
        <v>1429</v>
      </c>
      <c r="L1579" s="45"/>
      <c r="M1579" s="44" t="s">
        <v>132</v>
      </c>
      <c r="N1579" s="44">
        <v>890207088</v>
      </c>
      <c r="O1579" s="46">
        <v>3067227</v>
      </c>
      <c r="P1579" s="7"/>
      <c r="Q15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9" s="9">
        <f>+IFERROR(VLOOKUP(Tabla3[[#This Row],[Cliente factura]],Tabla4[[NIT]:[TOTAL CREDITO]],6,FALSE),0)</f>
        <v>0</v>
      </c>
      <c r="S1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9" s="10" t="str">
        <f>VLOOKUP(Tabla3[[#This Row],[Razón social cliente factura]]&amp;Tabla3[[#This Row],[Desc. ciudad]],'Estandar de Rutas'!$C$1:$E$553,2,FALSE)</f>
        <v>6.2.B</v>
      </c>
      <c r="U1579" s="130">
        <f>IFERROR(VLOOKUP(Tabla3[[#This Row],[Referencia]]&amp;Tabla3[[#This Row],[Desc detalle ext 1]],Tabla1[[Referencia-Color]:[Disponibilidad]],3,FALSE),0)</f>
        <v>0</v>
      </c>
      <c r="V1579" s="13"/>
      <c r="W1579" s="17">
        <f>+Tabla3[[#This Row],[Cant. Programada]]*Tabla3[[#This Row],[Precio unit]]</f>
        <v>0</v>
      </c>
      <c r="X1579" s="8"/>
      <c r="Y1579" s="8"/>
      <c r="Z1579" s="8" t="str">
        <f>+Tabla3[[#This Row],[Referencia]]&amp;Tabla3[[#This Row],[Desc detalle ext 1]]</f>
        <v>DREAM  NEO                                        NEGRO AZU</v>
      </c>
      <c r="AA1579" s="128" t="e">
        <f>+VLOOKUP(Tabla3[[#This Row],[CODIGO2]],ESTANDAR!$B$3:$C$9,2,FALSE)</f>
        <v>#N/A</v>
      </c>
      <c r="AB1579" s="128" t="str">
        <f>+MID(Tabla3[[#This Row],['# Viaje]],10,1)</f>
        <v/>
      </c>
    </row>
    <row r="1580" spans="1:28" ht="15" hidden="1" customHeight="1">
      <c r="A1580" s="44" t="s">
        <v>1760</v>
      </c>
      <c r="B1580" s="45">
        <v>42950</v>
      </c>
      <c r="C1580" s="44" t="s">
        <v>1231</v>
      </c>
      <c r="D1580" s="44" t="s">
        <v>1478</v>
      </c>
      <c r="E1580" s="44" t="s">
        <v>1232</v>
      </c>
      <c r="F1580" s="44">
        <v>1</v>
      </c>
      <c r="G1580" s="44" t="s">
        <v>125</v>
      </c>
      <c r="H1580" s="44">
        <v>1</v>
      </c>
      <c r="I1580" s="44" t="s">
        <v>1761</v>
      </c>
      <c r="J1580" s="44" t="s">
        <v>1430</v>
      </c>
      <c r="K1580" s="44" t="s">
        <v>16</v>
      </c>
      <c r="L1580" s="45"/>
      <c r="M1580" s="44" t="s">
        <v>132</v>
      </c>
      <c r="N1580" s="44">
        <v>890207088</v>
      </c>
      <c r="O1580" s="46">
        <v>3941176</v>
      </c>
      <c r="P1580" s="7"/>
      <c r="Q15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0" s="9">
        <f>+IFERROR(VLOOKUP(Tabla3[[#This Row],[Cliente factura]],Tabla4[[NIT]:[TOTAL CREDITO]],6,FALSE),0)</f>
        <v>0</v>
      </c>
      <c r="S1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0" s="10" t="str">
        <f>VLOOKUP(Tabla3[[#This Row],[Razón social cliente factura]]&amp;Tabla3[[#This Row],[Desc. ciudad]],'Estandar de Rutas'!$C$1:$E$553,2,FALSE)</f>
        <v>6.2.B</v>
      </c>
      <c r="U1580" s="130">
        <f>IFERROR(VLOOKUP(Tabla3[[#This Row],[Referencia]]&amp;Tabla3[[#This Row],[Desc detalle ext 1]],Tabla1[[Referencia-Color]:[Disponibilidad]],3,FALSE),0)</f>
        <v>0</v>
      </c>
      <c r="V1580" s="13"/>
      <c r="W1580" s="17">
        <f>+Tabla3[[#This Row],[Cant. Programada]]*Tabla3[[#This Row],[Precio unit]]</f>
        <v>0</v>
      </c>
      <c r="X1580" s="8"/>
      <c r="Y1580" s="8"/>
      <c r="Z1580" s="8" t="str">
        <f>+Tabla3[[#This Row],[Referencia]]&amp;Tabla3[[#This Row],[Desc detalle ext 1]]</f>
        <v xml:space="preserve">WAVE 110S                                         NEGRO    </v>
      </c>
      <c r="AA1580" s="128" t="e">
        <f>+VLOOKUP(Tabla3[[#This Row],[CODIGO2]],ESTANDAR!$B$3:$C$9,2,FALSE)</f>
        <v>#N/A</v>
      </c>
      <c r="AB1580" s="128" t="str">
        <f>+MID(Tabla3[[#This Row],['# Viaje]],10,1)</f>
        <v/>
      </c>
    </row>
    <row r="1581" spans="1:28" ht="15" hidden="1" customHeight="1">
      <c r="A1581" s="44" t="s">
        <v>1760</v>
      </c>
      <c r="B1581" s="45">
        <v>42950</v>
      </c>
      <c r="C1581" s="44" t="s">
        <v>1231</v>
      </c>
      <c r="D1581" s="44" t="s">
        <v>1478</v>
      </c>
      <c r="E1581" s="44" t="s">
        <v>1232</v>
      </c>
      <c r="F1581" s="44">
        <v>1</v>
      </c>
      <c r="G1581" s="44" t="s">
        <v>125</v>
      </c>
      <c r="H1581" s="44">
        <v>1</v>
      </c>
      <c r="I1581" s="44" t="s">
        <v>1761</v>
      </c>
      <c r="J1581" s="44" t="s">
        <v>1234</v>
      </c>
      <c r="K1581" s="44" t="s">
        <v>17</v>
      </c>
      <c r="L1581" s="45"/>
      <c r="M1581" s="44" t="s">
        <v>132</v>
      </c>
      <c r="N1581" s="44">
        <v>890207088</v>
      </c>
      <c r="O1581" s="46">
        <v>5453782</v>
      </c>
      <c r="P1581" s="7"/>
      <c r="Q15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1" s="9">
        <f>+IFERROR(VLOOKUP(Tabla3[[#This Row],[Cliente factura]],Tabla4[[NIT]:[TOTAL CREDITO]],6,FALSE),0)</f>
        <v>0</v>
      </c>
      <c r="S1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1" s="10" t="str">
        <f>VLOOKUP(Tabla3[[#This Row],[Razón social cliente factura]]&amp;Tabla3[[#This Row],[Desc. ciudad]],'Estandar de Rutas'!$C$1:$E$553,2,FALSE)</f>
        <v>6.2.B</v>
      </c>
      <c r="U1581" s="130">
        <f>IFERROR(VLOOKUP(Tabla3[[#This Row],[Referencia]]&amp;Tabla3[[#This Row],[Desc detalle ext 1]],Tabla1[[Referencia-Color]:[Disponibilidad]],3,FALSE),0)</f>
        <v>0</v>
      </c>
      <c r="V1581" s="13"/>
      <c r="W1581" s="17">
        <f>+Tabla3[[#This Row],[Cant. Programada]]*Tabla3[[#This Row],[Precio unit]]</f>
        <v>0</v>
      </c>
      <c r="X1581" s="8"/>
      <c r="Y1581" s="8"/>
      <c r="Z1581" s="8" t="str">
        <f>+Tabla3[[#This Row],[Referencia]]&amp;Tabla3[[#This Row],[Desc detalle ext 1]]</f>
        <v>CB 160F STD                                       ROJO SPOR</v>
      </c>
      <c r="AA1581" s="128" t="e">
        <f>+VLOOKUP(Tabla3[[#This Row],[CODIGO2]],ESTANDAR!$B$3:$C$9,2,FALSE)</f>
        <v>#N/A</v>
      </c>
      <c r="AB1581" s="128" t="str">
        <f>+MID(Tabla3[[#This Row],['# Viaje]],10,1)</f>
        <v/>
      </c>
    </row>
    <row r="1582" spans="1:28" ht="15" hidden="1" customHeight="1">
      <c r="A1582" s="44" t="s">
        <v>1760</v>
      </c>
      <c r="B1582" s="45">
        <v>42950</v>
      </c>
      <c r="C1582" s="44" t="s">
        <v>1231</v>
      </c>
      <c r="D1582" s="44" t="s">
        <v>1478</v>
      </c>
      <c r="E1582" s="44" t="s">
        <v>1232</v>
      </c>
      <c r="F1582" s="44">
        <v>1</v>
      </c>
      <c r="G1582" s="44" t="s">
        <v>125</v>
      </c>
      <c r="H1582" s="44">
        <v>1</v>
      </c>
      <c r="I1582" s="44" t="s">
        <v>1761</v>
      </c>
      <c r="J1582" s="44" t="s">
        <v>1234</v>
      </c>
      <c r="K1582" s="44" t="s">
        <v>44</v>
      </c>
      <c r="L1582" s="45"/>
      <c r="M1582" s="44" t="s">
        <v>132</v>
      </c>
      <c r="N1582" s="44">
        <v>890207088</v>
      </c>
      <c r="O1582" s="46">
        <v>5453782</v>
      </c>
      <c r="P1582" s="7"/>
      <c r="Q15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2" s="9">
        <f>+IFERROR(VLOOKUP(Tabla3[[#This Row],[Cliente factura]],Tabla4[[NIT]:[TOTAL CREDITO]],6,FALSE),0)</f>
        <v>0</v>
      </c>
      <c r="S1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2" s="10" t="str">
        <f>VLOOKUP(Tabla3[[#This Row],[Razón social cliente factura]]&amp;Tabla3[[#This Row],[Desc. ciudad]],'Estandar de Rutas'!$C$1:$E$553,2,FALSE)</f>
        <v>6.2.B</v>
      </c>
      <c r="U1582" s="130">
        <f>IFERROR(VLOOKUP(Tabla3[[#This Row],[Referencia]]&amp;Tabla3[[#This Row],[Desc detalle ext 1]],Tabla1[[Referencia-Color]:[Disponibilidad]],3,FALSE),0)</f>
        <v>1</v>
      </c>
      <c r="V1582" s="13"/>
      <c r="W1582" s="17">
        <f>+Tabla3[[#This Row],[Cant. Programada]]*Tabla3[[#This Row],[Precio unit]]</f>
        <v>0</v>
      </c>
      <c r="X1582" s="8"/>
      <c r="Y1582" s="8"/>
      <c r="Z1582" s="8" t="str">
        <f>+Tabla3[[#This Row],[Referencia]]&amp;Tabla3[[#This Row],[Desc detalle ext 1]]</f>
        <v>CB 160F STD                                       BLANCO PE</v>
      </c>
      <c r="AA1582" s="128" t="e">
        <f>+VLOOKUP(Tabla3[[#This Row],[CODIGO2]],ESTANDAR!$B$3:$C$9,2,FALSE)</f>
        <v>#N/A</v>
      </c>
      <c r="AB1582" s="128" t="str">
        <f>+MID(Tabla3[[#This Row],['# Viaje]],10,1)</f>
        <v/>
      </c>
    </row>
    <row r="1583" spans="1:28" ht="15" hidden="1" customHeight="1">
      <c r="A1583" s="44" t="s">
        <v>1760</v>
      </c>
      <c r="B1583" s="45">
        <v>42950</v>
      </c>
      <c r="C1583" s="44" t="s">
        <v>1231</v>
      </c>
      <c r="D1583" s="44" t="s">
        <v>1478</v>
      </c>
      <c r="E1583" s="44" t="s">
        <v>1232</v>
      </c>
      <c r="F1583" s="44">
        <v>1</v>
      </c>
      <c r="G1583" s="44" t="s">
        <v>125</v>
      </c>
      <c r="H1583" s="44">
        <v>1</v>
      </c>
      <c r="I1583" s="44" t="s">
        <v>1761</v>
      </c>
      <c r="J1583" s="44" t="s">
        <v>1451</v>
      </c>
      <c r="K1583" s="44" t="s">
        <v>1452</v>
      </c>
      <c r="L1583" s="45"/>
      <c r="M1583" s="44" t="s">
        <v>132</v>
      </c>
      <c r="N1583" s="44">
        <v>890207088</v>
      </c>
      <c r="O1583" s="46">
        <v>3696639</v>
      </c>
      <c r="P1583" s="7"/>
      <c r="Q15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3" s="9">
        <f>+IFERROR(VLOOKUP(Tabla3[[#This Row],[Cliente factura]],Tabla4[[NIT]:[TOTAL CREDITO]],6,FALSE),0)</f>
        <v>0</v>
      </c>
      <c r="S1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3" s="10" t="str">
        <f>VLOOKUP(Tabla3[[#This Row],[Razón social cliente factura]]&amp;Tabla3[[#This Row],[Desc. ciudad]],'Estandar de Rutas'!$C$1:$E$553,2,FALSE)</f>
        <v>6.2.B</v>
      </c>
      <c r="U1583" s="130">
        <f>IFERROR(VLOOKUP(Tabla3[[#This Row],[Referencia]]&amp;Tabla3[[#This Row],[Desc detalle ext 1]],Tabla1[[Referencia-Color]:[Disponibilidad]],3,FALSE),0)</f>
        <v>21</v>
      </c>
      <c r="V1583" s="13"/>
      <c r="W1583" s="17">
        <f>+Tabla3[[#This Row],[Cant. Programada]]*Tabla3[[#This Row],[Precio unit]]</f>
        <v>0</v>
      </c>
      <c r="X1583" s="8"/>
      <c r="Y1583" s="8"/>
      <c r="Z1583" s="8" t="str">
        <f>+Tabla3[[#This Row],[Referencia]]&amp;Tabla3[[#This Row],[Desc detalle ext 1]]</f>
        <v xml:space="preserve">CB 110 DLX                                        AZUL     </v>
      </c>
      <c r="AA1583" s="128" t="e">
        <f>+VLOOKUP(Tabla3[[#This Row],[CODIGO2]],ESTANDAR!$B$3:$C$9,2,FALSE)</f>
        <v>#N/A</v>
      </c>
      <c r="AB1583" s="128" t="str">
        <f>+MID(Tabla3[[#This Row],['# Viaje]],10,1)</f>
        <v/>
      </c>
    </row>
    <row r="1584" spans="1:28" ht="15" hidden="1" customHeight="1">
      <c r="A1584" s="44" t="s">
        <v>1762</v>
      </c>
      <c r="B1584" s="45">
        <v>42950</v>
      </c>
      <c r="C1584" s="44" t="s">
        <v>1231</v>
      </c>
      <c r="D1584" s="44" t="s">
        <v>1487</v>
      </c>
      <c r="E1584" s="44" t="s">
        <v>1232</v>
      </c>
      <c r="F1584" s="44">
        <v>4</v>
      </c>
      <c r="G1584" s="44" t="s">
        <v>85</v>
      </c>
      <c r="H1584" s="44">
        <v>2</v>
      </c>
      <c r="I1584" s="44" t="s">
        <v>1517</v>
      </c>
      <c r="J1584" s="44" t="s">
        <v>1428</v>
      </c>
      <c r="K1584" s="44" t="s">
        <v>1429</v>
      </c>
      <c r="L1584" s="45">
        <v>42951</v>
      </c>
      <c r="M1584" s="44" t="s">
        <v>86</v>
      </c>
      <c r="N1584" s="44">
        <v>900052338</v>
      </c>
      <c r="O1584" s="46">
        <v>3067227</v>
      </c>
      <c r="P1584" s="7"/>
      <c r="Q15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4" s="9">
        <f>+IFERROR(VLOOKUP(Tabla3[[#This Row],[Cliente factura]],Tabla4[[NIT]:[TOTAL CREDITO]],6,FALSE),0)</f>
        <v>0</v>
      </c>
      <c r="S1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4" s="10" t="str">
        <f>VLOOKUP(Tabla3[[#This Row],[Razón social cliente factura]]&amp;Tabla3[[#This Row],[Desc. ciudad]],'Estandar de Rutas'!$C$1:$E$553,2,FALSE)</f>
        <v>11.2</v>
      </c>
      <c r="U1584" s="130">
        <f>IFERROR(VLOOKUP(Tabla3[[#This Row],[Referencia]]&amp;Tabla3[[#This Row],[Desc detalle ext 1]],Tabla1[[Referencia-Color]:[Disponibilidad]],3,FALSE),0)</f>
        <v>0</v>
      </c>
      <c r="V1584" s="13"/>
      <c r="W1584" s="17">
        <f>+Tabla3[[#This Row],[Cant. Programada]]*Tabla3[[#This Row],[Precio unit]]</f>
        <v>0</v>
      </c>
      <c r="X1584" s="8"/>
      <c r="Y1584" s="8"/>
      <c r="Z1584" s="8" t="str">
        <f>+Tabla3[[#This Row],[Referencia]]&amp;Tabla3[[#This Row],[Desc detalle ext 1]]</f>
        <v>DREAM  NEO                                        NEGRO AZU</v>
      </c>
      <c r="AA1584" s="128" t="e">
        <f>+VLOOKUP(Tabla3[[#This Row],[CODIGO2]],ESTANDAR!$B$3:$C$9,2,FALSE)</f>
        <v>#N/A</v>
      </c>
      <c r="AB1584" s="128" t="str">
        <f>+MID(Tabla3[[#This Row],['# Viaje]],10,1)</f>
        <v/>
      </c>
    </row>
    <row r="1585" spans="1:28" ht="15" hidden="1" customHeight="1">
      <c r="A1585" s="44" t="s">
        <v>1763</v>
      </c>
      <c r="B1585" s="45">
        <v>42950</v>
      </c>
      <c r="C1585" s="44" t="s">
        <v>1231</v>
      </c>
      <c r="D1585" s="44" t="s">
        <v>1478</v>
      </c>
      <c r="E1585" s="44" t="s">
        <v>1479</v>
      </c>
      <c r="F1585" s="44">
        <v>2</v>
      </c>
      <c r="G1585" s="44" t="s">
        <v>278</v>
      </c>
      <c r="H1585" s="44">
        <v>2</v>
      </c>
      <c r="I1585" s="44" t="s">
        <v>278</v>
      </c>
      <c r="J1585" s="44" t="s">
        <v>27</v>
      </c>
      <c r="K1585" s="44" t="s">
        <v>32</v>
      </c>
      <c r="L1585" s="45"/>
      <c r="M1585" s="44" t="s">
        <v>312</v>
      </c>
      <c r="N1585" s="44">
        <v>91239403</v>
      </c>
      <c r="O1585" s="46">
        <v>5789916</v>
      </c>
      <c r="P1585" s="7"/>
      <c r="Q1585" s="16">
        <f>+IF(IFERROR(VLOOKUP(Tabla3[[#This Row],[Cliente factura]],Tabla4[[NIT]:[TOTAL CREDITO]],3,FALSE),0)="",0,IFERROR(VLOOKUP(Tabla3[[#This Row],[Cliente factura]],Tabla4[[NIT]:[TOTAL CREDITO]],3,FALSE),0))</f>
        <v>15423685</v>
      </c>
      <c r="R1585" s="9">
        <f>+IFERROR(VLOOKUP(Tabla3[[#This Row],[Cliente factura]],Tabla4[[NIT]:[TOTAL CREDITO]],6,FALSE),0)</f>
        <v>0</v>
      </c>
      <c r="S1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5" s="10" t="str">
        <f>VLOOKUP(Tabla3[[#This Row],[Razón social cliente factura]]&amp;Tabla3[[#This Row],[Desc. ciudad]],'Estandar de Rutas'!$C$1:$E$553,2,FALSE)</f>
        <v>7.2.A</v>
      </c>
      <c r="U1585" s="130">
        <f>IFERROR(VLOOKUP(Tabla3[[#This Row],[Referencia]]&amp;Tabla3[[#This Row],[Desc detalle ext 1]],Tabla1[[Referencia-Color]:[Disponibilidad]],3,FALSE),0)</f>
        <v>7</v>
      </c>
      <c r="V1585" s="13"/>
      <c r="W1585" s="17">
        <f>+Tabla3[[#This Row],[Cant. Programada]]*Tabla3[[#This Row],[Precio unit]]</f>
        <v>0</v>
      </c>
      <c r="X1585" s="8"/>
      <c r="Y1585" s="8"/>
      <c r="Z1585" s="8" t="str">
        <f>+Tabla3[[#This Row],[Referencia]]&amp;Tabla3[[#This Row],[Desc detalle ext 1]]</f>
        <v>*XR 150L                                          NEGRO ROJ</v>
      </c>
      <c r="AA1585" s="128" t="e">
        <f>+VLOOKUP(Tabla3[[#This Row],[CODIGO2]],ESTANDAR!$B$3:$C$9,2,FALSE)</f>
        <v>#N/A</v>
      </c>
      <c r="AB1585" s="128" t="str">
        <f>+MID(Tabla3[[#This Row],['# Viaje]],10,1)</f>
        <v/>
      </c>
    </row>
    <row r="1586" spans="1:28" ht="15" hidden="1" customHeight="1">
      <c r="A1586" s="44" t="s">
        <v>1763</v>
      </c>
      <c r="B1586" s="45">
        <v>42950</v>
      </c>
      <c r="C1586" s="44" t="s">
        <v>1231</v>
      </c>
      <c r="D1586" s="44" t="s">
        <v>1478</v>
      </c>
      <c r="E1586" s="44" t="s">
        <v>1479</v>
      </c>
      <c r="F1586" s="44">
        <v>1</v>
      </c>
      <c r="G1586" s="44" t="s">
        <v>278</v>
      </c>
      <c r="H1586" s="44">
        <v>1</v>
      </c>
      <c r="I1586" s="44" t="s">
        <v>278</v>
      </c>
      <c r="J1586" s="44" t="s">
        <v>1451</v>
      </c>
      <c r="K1586" s="44" t="s">
        <v>16</v>
      </c>
      <c r="L1586" s="45"/>
      <c r="M1586" s="44" t="s">
        <v>312</v>
      </c>
      <c r="N1586" s="44">
        <v>91239403</v>
      </c>
      <c r="O1586" s="46">
        <v>3696639</v>
      </c>
      <c r="P1586" s="7"/>
      <c r="Q1586" s="16">
        <f>+IF(IFERROR(VLOOKUP(Tabla3[[#This Row],[Cliente factura]],Tabla4[[NIT]:[TOTAL CREDITO]],3,FALSE),0)="",0,IFERROR(VLOOKUP(Tabla3[[#This Row],[Cliente factura]],Tabla4[[NIT]:[TOTAL CREDITO]],3,FALSE),0))</f>
        <v>15423685</v>
      </c>
      <c r="R1586" s="9">
        <f>+IFERROR(VLOOKUP(Tabla3[[#This Row],[Cliente factura]],Tabla4[[NIT]:[TOTAL CREDITO]],6,FALSE),0)</f>
        <v>0</v>
      </c>
      <c r="S1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6" s="10" t="str">
        <f>VLOOKUP(Tabla3[[#This Row],[Razón social cliente factura]]&amp;Tabla3[[#This Row],[Desc. ciudad]],'Estandar de Rutas'!$C$1:$E$553,2,FALSE)</f>
        <v>7.2.A</v>
      </c>
      <c r="U1586" s="130">
        <f>IFERROR(VLOOKUP(Tabla3[[#This Row],[Referencia]]&amp;Tabla3[[#This Row],[Desc detalle ext 1]],Tabla1[[Referencia-Color]:[Disponibilidad]],3,FALSE),0)</f>
        <v>3</v>
      </c>
      <c r="V1586" s="13"/>
      <c r="W1586" s="17">
        <f>+Tabla3[[#This Row],[Cant. Programada]]*Tabla3[[#This Row],[Precio unit]]</f>
        <v>0</v>
      </c>
      <c r="X1586" s="8"/>
      <c r="Y1586" s="8"/>
      <c r="Z1586" s="8" t="str">
        <f>+Tabla3[[#This Row],[Referencia]]&amp;Tabla3[[#This Row],[Desc detalle ext 1]]</f>
        <v xml:space="preserve">CB 110 DLX                                        NEGRO    </v>
      </c>
      <c r="AA1586" s="128" t="e">
        <f>+VLOOKUP(Tabla3[[#This Row],[CODIGO2]],ESTANDAR!$B$3:$C$9,2,FALSE)</f>
        <v>#N/A</v>
      </c>
      <c r="AB1586" s="128" t="str">
        <f>+MID(Tabla3[[#This Row],['# Viaje]],10,1)</f>
        <v/>
      </c>
    </row>
    <row r="1587" spans="1:28" ht="15" hidden="1" customHeight="1">
      <c r="A1587" s="44" t="s">
        <v>1764</v>
      </c>
      <c r="B1587" s="45">
        <v>42950</v>
      </c>
      <c r="C1587" s="44" t="s">
        <v>1477</v>
      </c>
      <c r="D1587" s="44" t="s">
        <v>1478</v>
      </c>
      <c r="E1587" s="44" t="s">
        <v>1479</v>
      </c>
      <c r="F1587" s="44">
        <v>1</v>
      </c>
      <c r="G1587" s="44" t="s">
        <v>68</v>
      </c>
      <c r="H1587" s="44">
        <v>1</v>
      </c>
      <c r="I1587" s="44" t="s">
        <v>1668</v>
      </c>
      <c r="J1587" s="44" t="s">
        <v>1436</v>
      </c>
      <c r="K1587" s="44" t="s">
        <v>16</v>
      </c>
      <c r="L1587" s="45"/>
      <c r="M1587" s="44" t="s">
        <v>67</v>
      </c>
      <c r="N1587" s="44">
        <v>9398760</v>
      </c>
      <c r="O1587" s="46">
        <v>9762992</v>
      </c>
      <c r="P1587" s="7"/>
      <c r="Q1587" s="16">
        <f>+IF(IFERROR(VLOOKUP(Tabla3[[#This Row],[Cliente factura]],Tabla4[[NIT]:[TOTAL CREDITO]],3,FALSE),0)="",0,IFERROR(VLOOKUP(Tabla3[[#This Row],[Cliente factura]],Tabla4[[NIT]:[TOTAL CREDITO]],3,FALSE),0))</f>
        <v>954027</v>
      </c>
      <c r="R1587" s="9">
        <f>+IFERROR(VLOOKUP(Tabla3[[#This Row],[Cliente factura]],Tabla4[[NIT]:[TOTAL CREDITO]],6,FALSE),0)</f>
        <v>0</v>
      </c>
      <c r="S1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7" s="10" t="str">
        <f>VLOOKUP(Tabla3[[#This Row],[Razón social cliente factura]]&amp;Tabla3[[#This Row],[Desc. ciudad]],'Estandar de Rutas'!$C$1:$E$553,2,FALSE)</f>
        <v>7.2.B</v>
      </c>
      <c r="U1587" s="130">
        <f>IFERROR(VLOOKUP(Tabla3[[#This Row],[Referencia]]&amp;Tabla3[[#This Row],[Desc detalle ext 1]],Tabla1[[Referencia-Color]:[Disponibilidad]],3,FALSE),0)</f>
        <v>25</v>
      </c>
      <c r="V1587" s="13"/>
      <c r="W1587" s="17">
        <f>+Tabla3[[#This Row],[Cant. Programada]]*Tabla3[[#This Row],[Precio unit]]</f>
        <v>0</v>
      </c>
      <c r="X1587" s="8"/>
      <c r="Y1587" s="8"/>
      <c r="Z1587" s="8" t="str">
        <f>+Tabla3[[#This Row],[Referencia]]&amp;Tabla3[[#This Row],[Desc detalle ext 1]]</f>
        <v xml:space="preserve">CB 250 TWISTER                                    NEGRO    </v>
      </c>
      <c r="AA1587" s="128" t="e">
        <f>+VLOOKUP(Tabla3[[#This Row],[CODIGO2]],ESTANDAR!$B$3:$C$9,2,FALSE)</f>
        <v>#N/A</v>
      </c>
      <c r="AB1587" s="128" t="str">
        <f>+MID(Tabla3[[#This Row],['# Viaje]],10,1)</f>
        <v/>
      </c>
    </row>
    <row r="1588" spans="1:28" ht="15" hidden="1" customHeight="1">
      <c r="A1588" s="44" t="s">
        <v>1765</v>
      </c>
      <c r="B1588" s="45">
        <v>42950</v>
      </c>
      <c r="C1588" s="44" t="s">
        <v>1231</v>
      </c>
      <c r="D1588" s="44" t="s">
        <v>1478</v>
      </c>
      <c r="E1588" s="44" t="s">
        <v>1479</v>
      </c>
      <c r="F1588" s="44">
        <v>2</v>
      </c>
      <c r="G1588" s="44" t="s">
        <v>66</v>
      </c>
      <c r="H1588" s="44">
        <v>2</v>
      </c>
      <c r="I1588" s="44" t="s">
        <v>1658</v>
      </c>
      <c r="J1588" s="44" t="s">
        <v>14</v>
      </c>
      <c r="K1588" s="44" t="s">
        <v>17</v>
      </c>
      <c r="L1588" s="45"/>
      <c r="M1588" s="44" t="s">
        <v>67</v>
      </c>
      <c r="N1588" s="44">
        <v>800155894</v>
      </c>
      <c r="O1588" s="46">
        <v>3360504</v>
      </c>
      <c r="P1588" s="7"/>
      <c r="Q1588" s="16">
        <f>+IF(IFERROR(VLOOKUP(Tabla3[[#This Row],[Cliente factura]],Tabla4[[NIT]:[TOTAL CREDITO]],3,FALSE),0)="",0,IFERROR(VLOOKUP(Tabla3[[#This Row],[Cliente factura]],Tabla4[[NIT]:[TOTAL CREDITO]],3,FALSE),0))</f>
        <v>0</v>
      </c>
      <c r="R1588" s="9">
        <f>+IFERROR(VLOOKUP(Tabla3[[#This Row],[Cliente factura]],Tabla4[[NIT]:[TOTAL CREDITO]],6,FALSE),0)</f>
        <v>143290932</v>
      </c>
      <c r="S1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8" s="10" t="str">
        <f>VLOOKUP(Tabla3[[#This Row],[Razón social cliente factura]]&amp;Tabla3[[#This Row],[Desc. ciudad]],'Estandar de Rutas'!$C$1:$E$553,2,FALSE)</f>
        <v>7.2.B</v>
      </c>
      <c r="U1588" s="130">
        <f>IFERROR(VLOOKUP(Tabla3[[#This Row],[Referencia]]&amp;Tabla3[[#This Row],[Desc detalle ext 1]],Tabla1[[Referencia-Color]:[Disponibilidad]],3,FALSE),0)</f>
        <v>38</v>
      </c>
      <c r="V1588" s="13"/>
      <c r="W1588" s="17">
        <f>+Tabla3[[#This Row],[Cant. Programada]]*Tabla3[[#This Row],[Precio unit]]</f>
        <v>0</v>
      </c>
      <c r="X1588" s="8"/>
      <c r="Y1588" s="8"/>
      <c r="Z1588" s="8" t="str">
        <f>+Tabla3[[#This Row],[Referencia]]&amp;Tabla3[[#This Row],[Desc detalle ext 1]]</f>
        <v>*CB-110                                           ROJO SPOR</v>
      </c>
      <c r="AA1588" s="128" t="e">
        <f>+VLOOKUP(Tabla3[[#This Row],[CODIGO2]],ESTANDAR!$B$3:$C$9,2,FALSE)</f>
        <v>#N/A</v>
      </c>
      <c r="AB1588" s="128" t="str">
        <f>+MID(Tabla3[[#This Row],['# Viaje]],10,1)</f>
        <v/>
      </c>
    </row>
    <row r="1589" spans="1:28" ht="15" hidden="1" customHeight="1">
      <c r="A1589" s="44" t="s">
        <v>1765</v>
      </c>
      <c r="B1589" s="45">
        <v>42950</v>
      </c>
      <c r="C1589" s="44" t="s">
        <v>1231</v>
      </c>
      <c r="D1589" s="44" t="s">
        <v>1478</v>
      </c>
      <c r="E1589" s="44" t="s">
        <v>1479</v>
      </c>
      <c r="F1589" s="44">
        <v>4</v>
      </c>
      <c r="G1589" s="44" t="s">
        <v>66</v>
      </c>
      <c r="H1589" s="44">
        <v>4</v>
      </c>
      <c r="I1589" s="44" t="s">
        <v>1658</v>
      </c>
      <c r="J1589" s="44" t="s">
        <v>14</v>
      </c>
      <c r="K1589" s="44" t="s">
        <v>16</v>
      </c>
      <c r="L1589" s="45"/>
      <c r="M1589" s="44" t="s">
        <v>67</v>
      </c>
      <c r="N1589" s="44">
        <v>800155894</v>
      </c>
      <c r="O1589" s="46">
        <v>3360504</v>
      </c>
      <c r="P1589" s="7"/>
      <c r="Q1589" s="16">
        <f>+IF(IFERROR(VLOOKUP(Tabla3[[#This Row],[Cliente factura]],Tabla4[[NIT]:[TOTAL CREDITO]],3,FALSE),0)="",0,IFERROR(VLOOKUP(Tabla3[[#This Row],[Cliente factura]],Tabla4[[NIT]:[TOTAL CREDITO]],3,FALSE),0))</f>
        <v>0</v>
      </c>
      <c r="R1589" s="9">
        <f>+IFERROR(VLOOKUP(Tabla3[[#This Row],[Cliente factura]],Tabla4[[NIT]:[TOTAL CREDITO]],6,FALSE),0)</f>
        <v>143290932</v>
      </c>
      <c r="S1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9" s="10" t="str">
        <f>VLOOKUP(Tabla3[[#This Row],[Razón social cliente factura]]&amp;Tabla3[[#This Row],[Desc. ciudad]],'Estandar de Rutas'!$C$1:$E$553,2,FALSE)</f>
        <v>7.2.B</v>
      </c>
      <c r="U1589" s="130">
        <f>IFERROR(VLOOKUP(Tabla3[[#This Row],[Referencia]]&amp;Tabla3[[#This Row],[Desc detalle ext 1]],Tabla1[[Referencia-Color]:[Disponibilidad]],3,FALSE),0)</f>
        <v>83</v>
      </c>
      <c r="V1589" s="13"/>
      <c r="W1589" s="17">
        <f>+Tabla3[[#This Row],[Cant. Programada]]*Tabla3[[#This Row],[Precio unit]]</f>
        <v>0</v>
      </c>
      <c r="X1589" s="8"/>
      <c r="Y1589" s="8"/>
      <c r="Z1589" s="8" t="str">
        <f>+Tabla3[[#This Row],[Referencia]]&amp;Tabla3[[#This Row],[Desc detalle ext 1]]</f>
        <v xml:space="preserve">*CB-110                                           NEGRO    </v>
      </c>
      <c r="AA1589" s="128" t="e">
        <f>+VLOOKUP(Tabla3[[#This Row],[CODIGO2]],ESTANDAR!$B$3:$C$9,2,FALSE)</f>
        <v>#N/A</v>
      </c>
      <c r="AB1589" s="128" t="str">
        <f>+MID(Tabla3[[#This Row],['# Viaje]],10,1)</f>
        <v/>
      </c>
    </row>
    <row r="1590" spans="1:28" ht="15" hidden="1" customHeight="1">
      <c r="A1590" s="44" t="s">
        <v>1766</v>
      </c>
      <c r="B1590" s="45">
        <v>42950</v>
      </c>
      <c r="C1590" s="44" t="s">
        <v>1231</v>
      </c>
      <c r="D1590" s="44" t="s">
        <v>1487</v>
      </c>
      <c r="E1590" s="44" t="s">
        <v>1232</v>
      </c>
      <c r="F1590" s="44">
        <v>1</v>
      </c>
      <c r="G1590" s="44" t="s">
        <v>151</v>
      </c>
      <c r="H1590" s="44">
        <v>1</v>
      </c>
      <c r="I1590" s="44" t="s">
        <v>1767</v>
      </c>
      <c r="J1590" s="44" t="s">
        <v>1421</v>
      </c>
      <c r="K1590" s="44" t="s">
        <v>1434</v>
      </c>
      <c r="L1590" s="45"/>
      <c r="M1590" s="44" t="s">
        <v>168</v>
      </c>
      <c r="N1590" s="44">
        <v>900185816</v>
      </c>
      <c r="O1590" s="46">
        <v>11496063</v>
      </c>
      <c r="P1590" s="7"/>
      <c r="Q15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0" s="9">
        <f>+IFERROR(VLOOKUP(Tabla3[[#This Row],[Cliente factura]],Tabla4[[NIT]:[TOTAL CREDITO]],6,FALSE),0)</f>
        <v>0</v>
      </c>
      <c r="S1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0" s="10" t="str">
        <f>VLOOKUP(Tabla3[[#This Row],[Razón social cliente factura]]&amp;Tabla3[[#This Row],[Desc. ciudad]],'Estandar de Rutas'!$C$1:$E$553,2,FALSE)</f>
        <v>8.1</v>
      </c>
      <c r="U1590" s="130">
        <f>IFERROR(VLOOKUP(Tabla3[[#This Row],[Referencia]]&amp;Tabla3[[#This Row],[Desc detalle ext 1]],Tabla1[[Referencia-Color]:[Disponibilidad]],3,FALSE),0)</f>
        <v>0</v>
      </c>
      <c r="V1590" s="13"/>
      <c r="W1590" s="17">
        <f>+Tabla3[[#This Row],[Cant. Programada]]*Tabla3[[#This Row],[Precio unit]]</f>
        <v>0</v>
      </c>
      <c r="X1590" s="8"/>
      <c r="Y1590" s="8"/>
      <c r="Z1590" s="8" t="str">
        <f>+Tabla3[[#This Row],[Referencia]]&amp;Tabla3[[#This Row],[Desc detalle ext 1]]</f>
        <v>*XR-250 TORNADO pt MD34                           BLANCO NE</v>
      </c>
      <c r="AA1590" s="128" t="e">
        <f>+VLOOKUP(Tabla3[[#This Row],[CODIGO2]],ESTANDAR!$B$3:$C$9,2,FALSE)</f>
        <v>#N/A</v>
      </c>
      <c r="AB1590" s="128" t="str">
        <f>+MID(Tabla3[[#This Row],['# Viaje]],10,1)</f>
        <v/>
      </c>
    </row>
    <row r="1591" spans="1:28" ht="15" hidden="1" customHeight="1">
      <c r="A1591" s="44" t="s">
        <v>1766</v>
      </c>
      <c r="B1591" s="45">
        <v>42950</v>
      </c>
      <c r="C1591" s="44" t="s">
        <v>1231</v>
      </c>
      <c r="D1591" s="44" t="s">
        <v>1487</v>
      </c>
      <c r="E1591" s="44" t="s">
        <v>1232</v>
      </c>
      <c r="F1591" s="44">
        <v>1</v>
      </c>
      <c r="G1591" s="44" t="s">
        <v>151</v>
      </c>
      <c r="H1591" s="44">
        <v>1</v>
      </c>
      <c r="I1591" s="44" t="s">
        <v>1767</v>
      </c>
      <c r="J1591" s="44" t="s">
        <v>1421</v>
      </c>
      <c r="K1591" s="44" t="s">
        <v>16</v>
      </c>
      <c r="L1591" s="45"/>
      <c r="M1591" s="44" t="s">
        <v>168</v>
      </c>
      <c r="N1591" s="44">
        <v>900185816</v>
      </c>
      <c r="O1591" s="46">
        <v>11496063</v>
      </c>
      <c r="P1591" s="7"/>
      <c r="Q15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1" s="9">
        <f>+IFERROR(VLOOKUP(Tabla3[[#This Row],[Cliente factura]],Tabla4[[NIT]:[TOTAL CREDITO]],6,FALSE),0)</f>
        <v>0</v>
      </c>
      <c r="S1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1" s="10" t="str">
        <f>VLOOKUP(Tabla3[[#This Row],[Razón social cliente factura]]&amp;Tabla3[[#This Row],[Desc. ciudad]],'Estandar de Rutas'!$C$1:$E$553,2,FALSE)</f>
        <v>8.1</v>
      </c>
      <c r="U1591" s="130">
        <f>IFERROR(VLOOKUP(Tabla3[[#This Row],[Referencia]]&amp;Tabla3[[#This Row],[Desc detalle ext 1]],Tabla1[[Referencia-Color]:[Disponibilidad]],3,FALSE),0)</f>
        <v>0</v>
      </c>
      <c r="V1591" s="13"/>
      <c r="W1591" s="17">
        <f>+Tabla3[[#This Row],[Cant. Programada]]*Tabla3[[#This Row],[Precio unit]]</f>
        <v>0</v>
      </c>
      <c r="X1591" s="8"/>
      <c r="Y1591" s="8"/>
      <c r="Z1591" s="8" t="str">
        <f>+Tabla3[[#This Row],[Referencia]]&amp;Tabla3[[#This Row],[Desc detalle ext 1]]</f>
        <v xml:space="preserve">*XR-250 TORNADO pt MD34                           NEGRO    </v>
      </c>
      <c r="AA1591" s="128" t="e">
        <f>+VLOOKUP(Tabla3[[#This Row],[CODIGO2]],ESTANDAR!$B$3:$C$9,2,FALSE)</f>
        <v>#N/A</v>
      </c>
      <c r="AB1591" s="128" t="str">
        <f>+MID(Tabla3[[#This Row],['# Viaje]],10,1)</f>
        <v/>
      </c>
    </row>
    <row r="1592" spans="1:28" ht="15" hidden="1" customHeight="1">
      <c r="A1592" s="44" t="s">
        <v>1766</v>
      </c>
      <c r="B1592" s="45">
        <v>42950</v>
      </c>
      <c r="C1592" s="44" t="s">
        <v>1231</v>
      </c>
      <c r="D1592" s="44" t="s">
        <v>1487</v>
      </c>
      <c r="E1592" s="44" t="s">
        <v>1232</v>
      </c>
      <c r="F1592" s="44">
        <v>1</v>
      </c>
      <c r="G1592" s="44" t="s">
        <v>151</v>
      </c>
      <c r="H1592" s="44">
        <v>1</v>
      </c>
      <c r="I1592" s="44" t="s">
        <v>1767</v>
      </c>
      <c r="J1592" s="44" t="s">
        <v>14</v>
      </c>
      <c r="K1592" s="44" t="s">
        <v>16</v>
      </c>
      <c r="L1592" s="45"/>
      <c r="M1592" s="44" t="s">
        <v>168</v>
      </c>
      <c r="N1592" s="44">
        <v>900185816</v>
      </c>
      <c r="O1592" s="46">
        <v>3360504</v>
      </c>
      <c r="P1592" s="7"/>
      <c r="Q15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2" s="9">
        <f>+IFERROR(VLOOKUP(Tabla3[[#This Row],[Cliente factura]],Tabla4[[NIT]:[TOTAL CREDITO]],6,FALSE),0)</f>
        <v>0</v>
      </c>
      <c r="S1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2" s="10" t="str">
        <f>VLOOKUP(Tabla3[[#This Row],[Razón social cliente factura]]&amp;Tabla3[[#This Row],[Desc. ciudad]],'Estandar de Rutas'!$C$1:$E$553,2,FALSE)</f>
        <v>8.1</v>
      </c>
      <c r="U1592" s="130">
        <f>IFERROR(VLOOKUP(Tabla3[[#This Row],[Referencia]]&amp;Tabla3[[#This Row],[Desc detalle ext 1]],Tabla1[[Referencia-Color]:[Disponibilidad]],3,FALSE),0)</f>
        <v>83</v>
      </c>
      <c r="V1592" s="13"/>
      <c r="W1592" s="17">
        <f>+Tabla3[[#This Row],[Cant. Programada]]*Tabla3[[#This Row],[Precio unit]]</f>
        <v>0</v>
      </c>
      <c r="X1592" s="8"/>
      <c r="Y1592" s="8"/>
      <c r="Z1592" s="8" t="str">
        <f>+Tabla3[[#This Row],[Referencia]]&amp;Tabla3[[#This Row],[Desc detalle ext 1]]</f>
        <v xml:space="preserve">*CB-110                                           NEGRO    </v>
      </c>
      <c r="AA1592" s="128" t="e">
        <f>+VLOOKUP(Tabla3[[#This Row],[CODIGO2]],ESTANDAR!$B$3:$C$9,2,FALSE)</f>
        <v>#N/A</v>
      </c>
      <c r="AB1592" s="128" t="str">
        <f>+MID(Tabla3[[#This Row],['# Viaje]],10,1)</f>
        <v/>
      </c>
    </row>
    <row r="1593" spans="1:28" ht="15" hidden="1" customHeight="1">
      <c r="A1593" s="44" t="s">
        <v>1766</v>
      </c>
      <c r="B1593" s="45">
        <v>42950</v>
      </c>
      <c r="C1593" s="44" t="s">
        <v>1231</v>
      </c>
      <c r="D1593" s="44" t="s">
        <v>1487</v>
      </c>
      <c r="E1593" s="44" t="s">
        <v>1232</v>
      </c>
      <c r="F1593" s="44">
        <v>2</v>
      </c>
      <c r="G1593" s="44" t="s">
        <v>151</v>
      </c>
      <c r="H1593" s="44">
        <v>2</v>
      </c>
      <c r="I1593" s="44" t="s">
        <v>1767</v>
      </c>
      <c r="J1593" s="44" t="s">
        <v>27</v>
      </c>
      <c r="K1593" s="44" t="s">
        <v>32</v>
      </c>
      <c r="L1593" s="45"/>
      <c r="M1593" s="44" t="s">
        <v>168</v>
      </c>
      <c r="N1593" s="44">
        <v>900185816</v>
      </c>
      <c r="O1593" s="46">
        <v>5789916</v>
      </c>
      <c r="P1593" s="7"/>
      <c r="Q15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3" s="9">
        <f>+IFERROR(VLOOKUP(Tabla3[[#This Row],[Cliente factura]],Tabla4[[NIT]:[TOTAL CREDITO]],6,FALSE),0)</f>
        <v>0</v>
      </c>
      <c r="S1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3" s="10" t="str">
        <f>VLOOKUP(Tabla3[[#This Row],[Razón social cliente factura]]&amp;Tabla3[[#This Row],[Desc. ciudad]],'Estandar de Rutas'!$C$1:$E$553,2,FALSE)</f>
        <v>8.1</v>
      </c>
      <c r="U1593" s="130">
        <f>IFERROR(VLOOKUP(Tabla3[[#This Row],[Referencia]]&amp;Tabla3[[#This Row],[Desc detalle ext 1]],Tabla1[[Referencia-Color]:[Disponibilidad]],3,FALSE),0)</f>
        <v>7</v>
      </c>
      <c r="V1593" s="13"/>
      <c r="W1593" s="17">
        <f>+Tabla3[[#This Row],[Cant. Programada]]*Tabla3[[#This Row],[Precio unit]]</f>
        <v>0</v>
      </c>
      <c r="X1593" s="8"/>
      <c r="Y1593" s="8"/>
      <c r="Z1593" s="8" t="str">
        <f>+Tabla3[[#This Row],[Referencia]]&amp;Tabla3[[#This Row],[Desc detalle ext 1]]</f>
        <v>*XR 150L                                          NEGRO ROJ</v>
      </c>
      <c r="AA1593" s="128" t="e">
        <f>+VLOOKUP(Tabla3[[#This Row],[CODIGO2]],ESTANDAR!$B$3:$C$9,2,FALSE)</f>
        <v>#N/A</v>
      </c>
      <c r="AB1593" s="128" t="str">
        <f>+MID(Tabla3[[#This Row],['# Viaje]],10,1)</f>
        <v/>
      </c>
    </row>
    <row r="1594" spans="1:28" ht="15" hidden="1" customHeight="1">
      <c r="A1594" s="44" t="s">
        <v>1766</v>
      </c>
      <c r="B1594" s="45">
        <v>42950</v>
      </c>
      <c r="C1594" s="44" t="s">
        <v>1231</v>
      </c>
      <c r="D1594" s="44" t="s">
        <v>1487</v>
      </c>
      <c r="E1594" s="44" t="s">
        <v>1232</v>
      </c>
      <c r="F1594" s="44">
        <v>1</v>
      </c>
      <c r="G1594" s="44" t="s">
        <v>151</v>
      </c>
      <c r="H1594" s="44">
        <v>1</v>
      </c>
      <c r="I1594" s="44" t="s">
        <v>1767</v>
      </c>
      <c r="J1594" s="44" t="s">
        <v>27</v>
      </c>
      <c r="K1594" s="44" t="s">
        <v>26</v>
      </c>
      <c r="L1594" s="45"/>
      <c r="M1594" s="44" t="s">
        <v>168</v>
      </c>
      <c r="N1594" s="44">
        <v>900185816</v>
      </c>
      <c r="O1594" s="46">
        <v>5789916</v>
      </c>
      <c r="P1594" s="7"/>
      <c r="Q15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4" s="9">
        <f>+IFERROR(VLOOKUP(Tabla3[[#This Row],[Cliente factura]],Tabla4[[NIT]:[TOTAL CREDITO]],6,FALSE),0)</f>
        <v>0</v>
      </c>
      <c r="S1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4" s="10" t="str">
        <f>VLOOKUP(Tabla3[[#This Row],[Razón social cliente factura]]&amp;Tabla3[[#This Row],[Desc. ciudad]],'Estandar de Rutas'!$C$1:$E$553,2,FALSE)</f>
        <v>8.1</v>
      </c>
      <c r="U1594" s="130">
        <f>IFERROR(VLOOKUP(Tabla3[[#This Row],[Referencia]]&amp;Tabla3[[#This Row],[Desc detalle ext 1]],Tabla1[[Referencia-Color]:[Disponibilidad]],3,FALSE),0)</f>
        <v>59</v>
      </c>
      <c r="V1594" s="13"/>
      <c r="W1594" s="17">
        <f>+Tabla3[[#This Row],[Cant. Programada]]*Tabla3[[#This Row],[Precio unit]]</f>
        <v>0</v>
      </c>
      <c r="X1594" s="8"/>
      <c r="Y1594" s="8"/>
      <c r="Z1594" s="8" t="str">
        <f>+Tabla3[[#This Row],[Referencia]]&amp;Tabla3[[#This Row],[Desc detalle ext 1]]</f>
        <v>*XR 150L                                          NEGRO BLA</v>
      </c>
      <c r="AA1594" s="128" t="e">
        <f>+VLOOKUP(Tabla3[[#This Row],[CODIGO2]],ESTANDAR!$B$3:$C$9,2,FALSE)</f>
        <v>#N/A</v>
      </c>
      <c r="AB1594" s="128" t="str">
        <f>+MID(Tabla3[[#This Row],['# Viaje]],10,1)</f>
        <v/>
      </c>
    </row>
    <row r="1595" spans="1:28" ht="15" hidden="1" customHeight="1">
      <c r="A1595" s="44" t="s">
        <v>1766</v>
      </c>
      <c r="B1595" s="45">
        <v>42950</v>
      </c>
      <c r="C1595" s="44" t="s">
        <v>1231</v>
      </c>
      <c r="D1595" s="44" t="s">
        <v>1487</v>
      </c>
      <c r="E1595" s="44" t="s">
        <v>1232</v>
      </c>
      <c r="F1595" s="44">
        <v>1</v>
      </c>
      <c r="G1595" s="44" t="s">
        <v>151</v>
      </c>
      <c r="H1595" s="44">
        <v>1</v>
      </c>
      <c r="I1595" s="44" t="s">
        <v>1767</v>
      </c>
      <c r="J1595" s="44" t="s">
        <v>10</v>
      </c>
      <c r="K1595" s="44" t="s">
        <v>11</v>
      </c>
      <c r="L1595" s="45"/>
      <c r="M1595" s="44" t="s">
        <v>168</v>
      </c>
      <c r="N1595" s="44">
        <v>900185816</v>
      </c>
      <c r="O1595" s="46">
        <v>7554622</v>
      </c>
      <c r="P1595" s="7"/>
      <c r="Q15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5" s="9">
        <f>+IFERROR(VLOOKUP(Tabla3[[#This Row],[Cliente factura]],Tabla4[[NIT]:[TOTAL CREDITO]],6,FALSE),0)</f>
        <v>0</v>
      </c>
      <c r="S1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5" s="10" t="str">
        <f>VLOOKUP(Tabla3[[#This Row],[Razón social cliente factura]]&amp;Tabla3[[#This Row],[Desc. ciudad]],'Estandar de Rutas'!$C$1:$E$553,2,FALSE)</f>
        <v>8.1</v>
      </c>
      <c r="U1595" s="130">
        <f>IFERROR(VLOOKUP(Tabla3[[#This Row],[Referencia]]&amp;Tabla3[[#This Row],[Desc detalle ext 1]],Tabla1[[Referencia-Color]:[Disponibilidad]],3,FALSE),0)</f>
        <v>0</v>
      </c>
      <c r="V1595" s="13"/>
      <c r="W1595" s="17">
        <f>+Tabla3[[#This Row],[Cant. Programada]]*Tabla3[[#This Row],[Precio unit]]</f>
        <v>0</v>
      </c>
      <c r="X1595" s="8"/>
      <c r="Y1595" s="8"/>
      <c r="Z1595" s="8" t="str">
        <f>+Tabla3[[#This Row],[Referencia]]&amp;Tabla3[[#This Row],[Desc detalle ext 1]]</f>
        <v>CB 190R                                           NEGRO ONI</v>
      </c>
      <c r="AA1595" s="128" t="e">
        <f>+VLOOKUP(Tabla3[[#This Row],[CODIGO2]],ESTANDAR!$B$3:$C$9,2,FALSE)</f>
        <v>#N/A</v>
      </c>
      <c r="AB1595" s="128" t="str">
        <f>+MID(Tabla3[[#This Row],['# Viaje]],10,1)</f>
        <v/>
      </c>
    </row>
    <row r="1596" spans="1:28" ht="15" hidden="1" customHeight="1">
      <c r="A1596" s="44" t="s">
        <v>1766</v>
      </c>
      <c r="B1596" s="45">
        <v>42950</v>
      </c>
      <c r="C1596" s="44" t="s">
        <v>1231</v>
      </c>
      <c r="D1596" s="44" t="s">
        <v>1487</v>
      </c>
      <c r="E1596" s="44" t="s">
        <v>1232</v>
      </c>
      <c r="F1596" s="44">
        <v>1</v>
      </c>
      <c r="G1596" s="44" t="s">
        <v>151</v>
      </c>
      <c r="H1596" s="44">
        <v>1</v>
      </c>
      <c r="I1596" s="44" t="s">
        <v>1767</v>
      </c>
      <c r="J1596" s="44" t="s">
        <v>354</v>
      </c>
      <c r="K1596" s="44" t="s">
        <v>355</v>
      </c>
      <c r="L1596" s="45"/>
      <c r="M1596" s="44" t="s">
        <v>168</v>
      </c>
      <c r="N1596" s="44">
        <v>900185816</v>
      </c>
      <c r="O1596" s="46">
        <v>6133613</v>
      </c>
      <c r="P1596" s="7"/>
      <c r="Q15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6" s="9">
        <f>+IFERROR(VLOOKUP(Tabla3[[#This Row],[Cliente factura]],Tabla4[[NIT]:[TOTAL CREDITO]],6,FALSE),0)</f>
        <v>0</v>
      </c>
      <c r="S1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6" s="10" t="str">
        <f>VLOOKUP(Tabla3[[#This Row],[Razón social cliente factura]]&amp;Tabla3[[#This Row],[Desc. ciudad]],'Estandar de Rutas'!$C$1:$E$553,2,FALSE)</f>
        <v>8.1</v>
      </c>
      <c r="U1596" s="130">
        <f>IFERROR(VLOOKUP(Tabla3[[#This Row],[Referencia]]&amp;Tabla3[[#This Row],[Desc detalle ext 1]],Tabla1[[Referencia-Color]:[Disponibilidad]],3,FALSE),0)</f>
        <v>0</v>
      </c>
      <c r="V1596" s="13"/>
      <c r="W1596" s="17">
        <f>+Tabla3[[#This Row],[Cant. Programada]]*Tabla3[[#This Row],[Precio unit]]</f>
        <v>0</v>
      </c>
      <c r="X1596" s="8"/>
      <c r="Y1596" s="8"/>
      <c r="Z1596" s="8" t="str">
        <f>+Tabla3[[#This Row],[Referencia]]&amp;Tabla3[[#This Row],[Desc detalle ext 1]]</f>
        <v>CB 160F DLX                                       NEGRO PER</v>
      </c>
      <c r="AA1596" s="128" t="e">
        <f>+VLOOKUP(Tabla3[[#This Row],[CODIGO2]],ESTANDAR!$B$3:$C$9,2,FALSE)</f>
        <v>#N/A</v>
      </c>
      <c r="AB1596" s="128" t="str">
        <f>+MID(Tabla3[[#This Row],['# Viaje]],10,1)</f>
        <v/>
      </c>
    </row>
    <row r="1597" spans="1:28" ht="15" hidden="1" customHeight="1">
      <c r="A1597" s="44" t="s">
        <v>1766</v>
      </c>
      <c r="B1597" s="45">
        <v>42950</v>
      </c>
      <c r="C1597" s="44" t="s">
        <v>1231</v>
      </c>
      <c r="D1597" s="44" t="s">
        <v>1487</v>
      </c>
      <c r="E1597" s="44" t="s">
        <v>1232</v>
      </c>
      <c r="F1597" s="44">
        <v>1</v>
      </c>
      <c r="G1597" s="44" t="s">
        <v>151</v>
      </c>
      <c r="H1597" s="44">
        <v>1</v>
      </c>
      <c r="I1597" s="44" t="s">
        <v>1767</v>
      </c>
      <c r="J1597" s="44" t="s">
        <v>1453</v>
      </c>
      <c r="K1597" s="44" t="s">
        <v>11</v>
      </c>
      <c r="L1597" s="45"/>
      <c r="M1597" s="44" t="s">
        <v>168</v>
      </c>
      <c r="N1597" s="44">
        <v>900185816</v>
      </c>
      <c r="O1597" s="46">
        <v>7730252</v>
      </c>
      <c r="P1597" s="7"/>
      <c r="Q15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7" s="9">
        <f>+IFERROR(VLOOKUP(Tabla3[[#This Row],[Cliente factura]],Tabla4[[NIT]:[TOTAL CREDITO]],6,FALSE),0)</f>
        <v>0</v>
      </c>
      <c r="S1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7" s="10" t="str">
        <f>VLOOKUP(Tabla3[[#This Row],[Razón social cliente factura]]&amp;Tabla3[[#This Row],[Desc. ciudad]],'Estandar de Rutas'!$C$1:$E$553,2,FALSE)</f>
        <v>8.1</v>
      </c>
      <c r="U1597" s="130">
        <f>IFERROR(VLOOKUP(Tabla3[[#This Row],[Referencia]]&amp;Tabla3[[#This Row],[Desc detalle ext 1]],Tabla1[[Referencia-Color]:[Disponibilidad]],3,FALSE),0)</f>
        <v>0</v>
      </c>
      <c r="V1597" s="13"/>
      <c r="W1597" s="17">
        <f>+Tabla3[[#This Row],[Cant. Programada]]*Tabla3[[#This Row],[Precio unit]]</f>
        <v>0</v>
      </c>
      <c r="X1597" s="8"/>
      <c r="Y1597" s="8"/>
      <c r="Z1597" s="8" t="str">
        <f>+Tabla3[[#This Row],[Referencia]]&amp;Tabla3[[#This Row],[Desc detalle ext 1]]</f>
        <v>CB 190R INSTINTO R                                NEGRO ONI</v>
      </c>
      <c r="AA1597" s="128" t="e">
        <f>+VLOOKUP(Tabla3[[#This Row],[CODIGO2]],ESTANDAR!$B$3:$C$9,2,FALSE)</f>
        <v>#N/A</v>
      </c>
      <c r="AB1597" s="128" t="str">
        <f>+MID(Tabla3[[#This Row],['# Viaje]],10,1)</f>
        <v/>
      </c>
    </row>
    <row r="1598" spans="1:28" ht="15" hidden="1" customHeight="1">
      <c r="A1598" s="44" t="s">
        <v>1766</v>
      </c>
      <c r="B1598" s="45">
        <v>42950</v>
      </c>
      <c r="C1598" s="44" t="s">
        <v>1231</v>
      </c>
      <c r="D1598" s="44" t="s">
        <v>1487</v>
      </c>
      <c r="E1598" s="44" t="s">
        <v>1232</v>
      </c>
      <c r="F1598" s="44">
        <v>1</v>
      </c>
      <c r="G1598" s="44" t="s">
        <v>151</v>
      </c>
      <c r="H1598" s="44">
        <v>1</v>
      </c>
      <c r="I1598" s="44" t="s">
        <v>1767</v>
      </c>
      <c r="J1598" s="44" t="s">
        <v>1428</v>
      </c>
      <c r="K1598" s="44" t="s">
        <v>1429</v>
      </c>
      <c r="L1598" s="45"/>
      <c r="M1598" s="44" t="s">
        <v>168</v>
      </c>
      <c r="N1598" s="44">
        <v>900185816</v>
      </c>
      <c r="O1598" s="46">
        <v>3067227</v>
      </c>
      <c r="P1598" s="7"/>
      <c r="Q15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8" s="9">
        <f>+IFERROR(VLOOKUP(Tabla3[[#This Row],[Cliente factura]],Tabla4[[NIT]:[TOTAL CREDITO]],6,FALSE),0)</f>
        <v>0</v>
      </c>
      <c r="S1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8" s="10" t="str">
        <f>VLOOKUP(Tabla3[[#This Row],[Razón social cliente factura]]&amp;Tabla3[[#This Row],[Desc. ciudad]],'Estandar de Rutas'!$C$1:$E$553,2,FALSE)</f>
        <v>8.1</v>
      </c>
      <c r="U1598" s="130">
        <f>IFERROR(VLOOKUP(Tabla3[[#This Row],[Referencia]]&amp;Tabla3[[#This Row],[Desc detalle ext 1]],Tabla1[[Referencia-Color]:[Disponibilidad]],3,FALSE),0)</f>
        <v>0</v>
      </c>
      <c r="V1598" s="13"/>
      <c r="W1598" s="17">
        <f>+Tabla3[[#This Row],[Cant. Programada]]*Tabla3[[#This Row],[Precio unit]]</f>
        <v>0</v>
      </c>
      <c r="X1598" s="8"/>
      <c r="Y1598" s="8"/>
      <c r="Z1598" s="8" t="str">
        <f>+Tabla3[[#This Row],[Referencia]]&amp;Tabla3[[#This Row],[Desc detalle ext 1]]</f>
        <v>DREAM  NEO                                        NEGRO AZU</v>
      </c>
      <c r="AA1598" s="128" t="e">
        <f>+VLOOKUP(Tabla3[[#This Row],[CODIGO2]],ESTANDAR!$B$3:$C$9,2,FALSE)</f>
        <v>#N/A</v>
      </c>
      <c r="AB1598" s="128" t="str">
        <f>+MID(Tabla3[[#This Row],['# Viaje]],10,1)</f>
        <v/>
      </c>
    </row>
    <row r="1599" spans="1:28" ht="15" hidden="1" customHeight="1">
      <c r="A1599" s="44" t="s">
        <v>1766</v>
      </c>
      <c r="B1599" s="45">
        <v>42950</v>
      </c>
      <c r="C1599" s="44" t="s">
        <v>1231</v>
      </c>
      <c r="D1599" s="44" t="s">
        <v>1487</v>
      </c>
      <c r="E1599" s="44" t="s">
        <v>1232</v>
      </c>
      <c r="F1599" s="44">
        <v>1</v>
      </c>
      <c r="G1599" s="44" t="s">
        <v>151</v>
      </c>
      <c r="H1599" s="44">
        <v>1</v>
      </c>
      <c r="I1599" s="44" t="s">
        <v>1767</v>
      </c>
      <c r="J1599" s="44" t="s">
        <v>1234</v>
      </c>
      <c r="K1599" s="44" t="s">
        <v>17</v>
      </c>
      <c r="L1599" s="45"/>
      <c r="M1599" s="44" t="s">
        <v>168</v>
      </c>
      <c r="N1599" s="44">
        <v>900185816</v>
      </c>
      <c r="O1599" s="46">
        <v>5453782</v>
      </c>
      <c r="P1599" s="7"/>
      <c r="Q15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9" s="9">
        <f>+IFERROR(VLOOKUP(Tabla3[[#This Row],[Cliente factura]],Tabla4[[NIT]:[TOTAL CREDITO]],6,FALSE),0)</f>
        <v>0</v>
      </c>
      <c r="S1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9" s="10" t="str">
        <f>VLOOKUP(Tabla3[[#This Row],[Razón social cliente factura]]&amp;Tabla3[[#This Row],[Desc. ciudad]],'Estandar de Rutas'!$C$1:$E$553,2,FALSE)</f>
        <v>8.1</v>
      </c>
      <c r="U1599" s="130">
        <f>IFERROR(VLOOKUP(Tabla3[[#This Row],[Referencia]]&amp;Tabla3[[#This Row],[Desc detalle ext 1]],Tabla1[[Referencia-Color]:[Disponibilidad]],3,FALSE),0)</f>
        <v>0</v>
      </c>
      <c r="V1599" s="13"/>
      <c r="W1599" s="17">
        <f>+Tabla3[[#This Row],[Cant. Programada]]*Tabla3[[#This Row],[Precio unit]]</f>
        <v>0</v>
      </c>
      <c r="X1599" s="8"/>
      <c r="Y1599" s="8"/>
      <c r="Z1599" s="8" t="str">
        <f>+Tabla3[[#This Row],[Referencia]]&amp;Tabla3[[#This Row],[Desc detalle ext 1]]</f>
        <v>CB 160F STD                                       ROJO SPOR</v>
      </c>
      <c r="AA1599" s="128" t="e">
        <f>+VLOOKUP(Tabla3[[#This Row],[CODIGO2]],ESTANDAR!$B$3:$C$9,2,FALSE)</f>
        <v>#N/A</v>
      </c>
      <c r="AB1599" s="128" t="str">
        <f>+MID(Tabla3[[#This Row],['# Viaje]],10,1)</f>
        <v/>
      </c>
    </row>
    <row r="1600" spans="1:28" ht="15" hidden="1" customHeight="1">
      <c r="A1600" s="44" t="s">
        <v>1766</v>
      </c>
      <c r="B1600" s="45">
        <v>42950</v>
      </c>
      <c r="C1600" s="44" t="s">
        <v>1231</v>
      </c>
      <c r="D1600" s="44" t="s">
        <v>1487</v>
      </c>
      <c r="E1600" s="44" t="s">
        <v>1232</v>
      </c>
      <c r="F1600" s="44">
        <v>2</v>
      </c>
      <c r="G1600" s="44" t="s">
        <v>151</v>
      </c>
      <c r="H1600" s="44">
        <v>2</v>
      </c>
      <c r="I1600" s="44" t="s">
        <v>1767</v>
      </c>
      <c r="J1600" s="44" t="s">
        <v>1234</v>
      </c>
      <c r="K1600" s="44" t="s">
        <v>355</v>
      </c>
      <c r="L1600" s="45"/>
      <c r="M1600" s="44" t="s">
        <v>168</v>
      </c>
      <c r="N1600" s="44">
        <v>900185816</v>
      </c>
      <c r="O1600" s="46">
        <v>5453782</v>
      </c>
      <c r="P1600" s="7"/>
      <c r="Q16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0" s="9">
        <f>+IFERROR(VLOOKUP(Tabla3[[#This Row],[Cliente factura]],Tabla4[[NIT]:[TOTAL CREDITO]],6,FALSE),0)</f>
        <v>0</v>
      </c>
      <c r="S1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0" s="10" t="str">
        <f>VLOOKUP(Tabla3[[#This Row],[Razón social cliente factura]]&amp;Tabla3[[#This Row],[Desc. ciudad]],'Estandar de Rutas'!$C$1:$E$553,2,FALSE)</f>
        <v>8.1</v>
      </c>
      <c r="U1600" s="130">
        <f>IFERROR(VLOOKUP(Tabla3[[#This Row],[Referencia]]&amp;Tabla3[[#This Row],[Desc detalle ext 1]],Tabla1[[Referencia-Color]:[Disponibilidad]],3,FALSE),0)</f>
        <v>0</v>
      </c>
      <c r="V1600" s="13"/>
      <c r="W1600" s="17">
        <f>+Tabla3[[#This Row],[Cant. Programada]]*Tabla3[[#This Row],[Precio unit]]</f>
        <v>0</v>
      </c>
      <c r="X1600" s="8"/>
      <c r="Y1600" s="8"/>
      <c r="Z1600" s="8" t="str">
        <f>+Tabla3[[#This Row],[Referencia]]&amp;Tabla3[[#This Row],[Desc detalle ext 1]]</f>
        <v>CB 160F STD                                       NEGRO PER</v>
      </c>
      <c r="AA1600" s="128" t="e">
        <f>+VLOOKUP(Tabla3[[#This Row],[CODIGO2]],ESTANDAR!$B$3:$C$9,2,FALSE)</f>
        <v>#N/A</v>
      </c>
      <c r="AB1600" s="128" t="str">
        <f>+MID(Tabla3[[#This Row],['# Viaje]],10,1)</f>
        <v/>
      </c>
    </row>
    <row r="1601" spans="1:28" ht="15" hidden="1" customHeight="1">
      <c r="A1601" s="44" t="s">
        <v>1766</v>
      </c>
      <c r="B1601" s="45">
        <v>42950</v>
      </c>
      <c r="C1601" s="44" t="s">
        <v>1231</v>
      </c>
      <c r="D1601" s="44" t="s">
        <v>1487</v>
      </c>
      <c r="E1601" s="44" t="s">
        <v>1232</v>
      </c>
      <c r="F1601" s="44">
        <v>1</v>
      </c>
      <c r="G1601" s="44" t="s">
        <v>151</v>
      </c>
      <c r="H1601" s="44">
        <v>1</v>
      </c>
      <c r="I1601" s="44" t="s">
        <v>1767</v>
      </c>
      <c r="J1601" s="44" t="s">
        <v>1234</v>
      </c>
      <c r="K1601" s="44" t="s">
        <v>44</v>
      </c>
      <c r="L1601" s="45"/>
      <c r="M1601" s="44" t="s">
        <v>168</v>
      </c>
      <c r="N1601" s="44">
        <v>900185816</v>
      </c>
      <c r="O1601" s="46">
        <v>5453782</v>
      </c>
      <c r="P1601" s="7"/>
      <c r="Q16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1" s="9">
        <f>+IFERROR(VLOOKUP(Tabla3[[#This Row],[Cliente factura]],Tabla4[[NIT]:[TOTAL CREDITO]],6,FALSE),0)</f>
        <v>0</v>
      </c>
      <c r="S1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1" s="10" t="str">
        <f>VLOOKUP(Tabla3[[#This Row],[Razón social cliente factura]]&amp;Tabla3[[#This Row],[Desc. ciudad]],'Estandar de Rutas'!$C$1:$E$553,2,FALSE)</f>
        <v>8.1</v>
      </c>
      <c r="U1601" s="130">
        <f>IFERROR(VLOOKUP(Tabla3[[#This Row],[Referencia]]&amp;Tabla3[[#This Row],[Desc detalle ext 1]],Tabla1[[Referencia-Color]:[Disponibilidad]],3,FALSE),0)</f>
        <v>1</v>
      </c>
      <c r="V1601" s="13"/>
      <c r="W1601" s="17">
        <f>+Tabla3[[#This Row],[Cant. Programada]]*Tabla3[[#This Row],[Precio unit]]</f>
        <v>0</v>
      </c>
      <c r="X1601" s="8"/>
      <c r="Y1601" s="8"/>
      <c r="Z1601" s="8" t="str">
        <f>+Tabla3[[#This Row],[Referencia]]&amp;Tabla3[[#This Row],[Desc detalle ext 1]]</f>
        <v>CB 160F STD                                       BLANCO PE</v>
      </c>
      <c r="AA1601" s="128" t="e">
        <f>+VLOOKUP(Tabla3[[#This Row],[CODIGO2]],ESTANDAR!$B$3:$C$9,2,FALSE)</f>
        <v>#N/A</v>
      </c>
      <c r="AB1601" s="128" t="str">
        <f>+MID(Tabla3[[#This Row],['# Viaje]],10,1)</f>
        <v/>
      </c>
    </row>
    <row r="1602" spans="1:28" ht="15" hidden="1" customHeight="1">
      <c r="A1602" s="44" t="s">
        <v>1766</v>
      </c>
      <c r="B1602" s="45">
        <v>42950</v>
      </c>
      <c r="C1602" s="44" t="s">
        <v>1231</v>
      </c>
      <c r="D1602" s="44" t="s">
        <v>1487</v>
      </c>
      <c r="E1602" s="44" t="s">
        <v>1232</v>
      </c>
      <c r="F1602" s="44">
        <v>1</v>
      </c>
      <c r="G1602" s="44" t="s">
        <v>151</v>
      </c>
      <c r="H1602" s="44">
        <v>1</v>
      </c>
      <c r="I1602" s="44" t="s">
        <v>1767</v>
      </c>
      <c r="J1602" s="44" t="s">
        <v>1451</v>
      </c>
      <c r="K1602" s="44" t="s">
        <v>1449</v>
      </c>
      <c r="L1602" s="45"/>
      <c r="M1602" s="44" t="s">
        <v>168</v>
      </c>
      <c r="N1602" s="44">
        <v>900185816</v>
      </c>
      <c r="O1602" s="46">
        <v>3696639</v>
      </c>
      <c r="P1602" s="7"/>
      <c r="Q16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2" s="9">
        <f>+IFERROR(VLOOKUP(Tabla3[[#This Row],[Cliente factura]],Tabla4[[NIT]:[TOTAL CREDITO]],6,FALSE),0)</f>
        <v>0</v>
      </c>
      <c r="S1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2" s="10" t="str">
        <f>VLOOKUP(Tabla3[[#This Row],[Razón social cliente factura]]&amp;Tabla3[[#This Row],[Desc. ciudad]],'Estandar de Rutas'!$C$1:$E$553,2,FALSE)</f>
        <v>8.1</v>
      </c>
      <c r="U1602" s="130">
        <f>IFERROR(VLOOKUP(Tabla3[[#This Row],[Referencia]]&amp;Tabla3[[#This Row],[Desc detalle ext 1]],Tabla1[[Referencia-Color]:[Disponibilidad]],3,FALSE),0)</f>
        <v>24</v>
      </c>
      <c r="V1602" s="13"/>
      <c r="W1602" s="17">
        <f>+Tabla3[[#This Row],[Cant. Programada]]*Tabla3[[#This Row],[Precio unit]]</f>
        <v>0</v>
      </c>
      <c r="X1602" s="8"/>
      <c r="Y1602" s="8"/>
      <c r="Z1602" s="8" t="str">
        <f>+Tabla3[[#This Row],[Referencia]]&amp;Tabla3[[#This Row],[Desc detalle ext 1]]</f>
        <v xml:space="preserve">CB 110 DLX                                        GRIS     </v>
      </c>
      <c r="AA1602" s="128" t="e">
        <f>+VLOOKUP(Tabla3[[#This Row],[CODIGO2]],ESTANDAR!$B$3:$C$9,2,FALSE)</f>
        <v>#N/A</v>
      </c>
      <c r="AB1602" s="128" t="str">
        <f>+MID(Tabla3[[#This Row],['# Viaje]],10,1)</f>
        <v/>
      </c>
    </row>
    <row r="1603" spans="1:28" ht="15" hidden="1" customHeight="1">
      <c r="A1603" s="44" t="s">
        <v>1766</v>
      </c>
      <c r="B1603" s="45">
        <v>42950</v>
      </c>
      <c r="C1603" s="44" t="s">
        <v>1231</v>
      </c>
      <c r="D1603" s="44" t="s">
        <v>1487</v>
      </c>
      <c r="E1603" s="44" t="s">
        <v>1232</v>
      </c>
      <c r="F1603" s="44">
        <v>1</v>
      </c>
      <c r="G1603" s="44" t="s">
        <v>151</v>
      </c>
      <c r="H1603" s="44">
        <v>1</v>
      </c>
      <c r="I1603" s="44" t="s">
        <v>1767</v>
      </c>
      <c r="J1603" s="44" t="s">
        <v>1451</v>
      </c>
      <c r="K1603" s="44" t="s">
        <v>16</v>
      </c>
      <c r="L1603" s="45"/>
      <c r="M1603" s="44" t="s">
        <v>168</v>
      </c>
      <c r="N1603" s="44">
        <v>900185816</v>
      </c>
      <c r="O1603" s="46">
        <v>3696639</v>
      </c>
      <c r="P1603" s="7"/>
      <c r="Q16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3" s="9">
        <f>+IFERROR(VLOOKUP(Tabla3[[#This Row],[Cliente factura]],Tabla4[[NIT]:[TOTAL CREDITO]],6,FALSE),0)</f>
        <v>0</v>
      </c>
      <c r="S1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3" s="10" t="str">
        <f>VLOOKUP(Tabla3[[#This Row],[Razón social cliente factura]]&amp;Tabla3[[#This Row],[Desc. ciudad]],'Estandar de Rutas'!$C$1:$E$553,2,FALSE)</f>
        <v>8.1</v>
      </c>
      <c r="U1603" s="130">
        <f>IFERROR(VLOOKUP(Tabla3[[#This Row],[Referencia]]&amp;Tabla3[[#This Row],[Desc detalle ext 1]],Tabla1[[Referencia-Color]:[Disponibilidad]],3,FALSE),0)</f>
        <v>3</v>
      </c>
      <c r="V1603" s="13"/>
      <c r="W1603" s="17">
        <f>+Tabla3[[#This Row],[Cant. Programada]]*Tabla3[[#This Row],[Precio unit]]</f>
        <v>0</v>
      </c>
      <c r="X1603" s="8"/>
      <c r="Y1603" s="8"/>
      <c r="Z1603" s="8" t="str">
        <f>+Tabla3[[#This Row],[Referencia]]&amp;Tabla3[[#This Row],[Desc detalle ext 1]]</f>
        <v xml:space="preserve">CB 110 DLX                                        NEGRO    </v>
      </c>
      <c r="AA1603" s="128" t="e">
        <f>+VLOOKUP(Tabla3[[#This Row],[CODIGO2]],ESTANDAR!$B$3:$C$9,2,FALSE)</f>
        <v>#N/A</v>
      </c>
      <c r="AB1603" s="128" t="str">
        <f>+MID(Tabla3[[#This Row],['# Viaje]],10,1)</f>
        <v/>
      </c>
    </row>
    <row r="1604" spans="1:28" ht="15" hidden="1" customHeight="1">
      <c r="A1604" s="44" t="s">
        <v>1768</v>
      </c>
      <c r="B1604" s="45">
        <v>42950</v>
      </c>
      <c r="C1604" s="44" t="s">
        <v>1231</v>
      </c>
      <c r="D1604" s="44" t="s">
        <v>1487</v>
      </c>
      <c r="E1604" s="44" t="s">
        <v>1232</v>
      </c>
      <c r="F1604" s="44">
        <v>1</v>
      </c>
      <c r="G1604" s="44" t="s">
        <v>151</v>
      </c>
      <c r="H1604" s="44">
        <v>1</v>
      </c>
      <c r="I1604" s="44" t="s">
        <v>1769</v>
      </c>
      <c r="J1604" s="44" t="s">
        <v>14</v>
      </c>
      <c r="K1604" s="44" t="s">
        <v>16</v>
      </c>
      <c r="L1604" s="45"/>
      <c r="M1604" s="44" t="s">
        <v>160</v>
      </c>
      <c r="N1604" s="44">
        <v>900185816</v>
      </c>
      <c r="O1604" s="46">
        <v>3360504</v>
      </c>
      <c r="P1604" s="7"/>
      <c r="Q16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4" s="9">
        <f>+IFERROR(VLOOKUP(Tabla3[[#This Row],[Cliente factura]],Tabla4[[NIT]:[TOTAL CREDITO]],6,FALSE),0)</f>
        <v>0</v>
      </c>
      <c r="S1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4" s="10" t="str">
        <f>VLOOKUP(Tabla3[[#This Row],[Razón social cliente factura]]&amp;Tabla3[[#This Row],[Desc. ciudad]],'Estandar de Rutas'!$C$1:$E$553,2,FALSE)</f>
        <v>8.1</v>
      </c>
      <c r="U1604" s="130">
        <f>IFERROR(VLOOKUP(Tabla3[[#This Row],[Referencia]]&amp;Tabla3[[#This Row],[Desc detalle ext 1]],Tabla1[[Referencia-Color]:[Disponibilidad]],3,FALSE),0)</f>
        <v>83</v>
      </c>
      <c r="V1604" s="13"/>
      <c r="W1604" s="17">
        <f>+Tabla3[[#This Row],[Cant. Programada]]*Tabla3[[#This Row],[Precio unit]]</f>
        <v>0</v>
      </c>
      <c r="X1604" s="8"/>
      <c r="Y1604" s="8"/>
      <c r="Z1604" s="8" t="str">
        <f>+Tabla3[[#This Row],[Referencia]]&amp;Tabla3[[#This Row],[Desc detalle ext 1]]</f>
        <v xml:space="preserve">*CB-110                                           NEGRO    </v>
      </c>
      <c r="AA1604" s="128" t="e">
        <f>+VLOOKUP(Tabla3[[#This Row],[CODIGO2]],ESTANDAR!$B$3:$C$9,2,FALSE)</f>
        <v>#N/A</v>
      </c>
      <c r="AB1604" s="128" t="str">
        <f>+MID(Tabla3[[#This Row],['# Viaje]],10,1)</f>
        <v/>
      </c>
    </row>
    <row r="1605" spans="1:28" ht="15" hidden="1" customHeight="1">
      <c r="A1605" s="44" t="s">
        <v>1768</v>
      </c>
      <c r="B1605" s="45">
        <v>42950</v>
      </c>
      <c r="C1605" s="44" t="s">
        <v>1231</v>
      </c>
      <c r="D1605" s="44" t="s">
        <v>1487</v>
      </c>
      <c r="E1605" s="44" t="s">
        <v>1232</v>
      </c>
      <c r="F1605" s="44">
        <v>1</v>
      </c>
      <c r="G1605" s="44" t="s">
        <v>151</v>
      </c>
      <c r="H1605" s="44">
        <v>1</v>
      </c>
      <c r="I1605" s="44" t="s">
        <v>1769</v>
      </c>
      <c r="J1605" s="44" t="s">
        <v>27</v>
      </c>
      <c r="K1605" s="44" t="s">
        <v>32</v>
      </c>
      <c r="L1605" s="45"/>
      <c r="M1605" s="44" t="s">
        <v>160</v>
      </c>
      <c r="N1605" s="44">
        <v>900185816</v>
      </c>
      <c r="O1605" s="46">
        <v>5789916</v>
      </c>
      <c r="P1605" s="7"/>
      <c r="Q16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5" s="9">
        <f>+IFERROR(VLOOKUP(Tabla3[[#This Row],[Cliente factura]],Tabla4[[NIT]:[TOTAL CREDITO]],6,FALSE),0)</f>
        <v>0</v>
      </c>
      <c r="S1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5" s="10" t="str">
        <f>VLOOKUP(Tabla3[[#This Row],[Razón social cliente factura]]&amp;Tabla3[[#This Row],[Desc. ciudad]],'Estandar de Rutas'!$C$1:$E$553,2,FALSE)</f>
        <v>8.1</v>
      </c>
      <c r="U1605" s="130">
        <f>IFERROR(VLOOKUP(Tabla3[[#This Row],[Referencia]]&amp;Tabla3[[#This Row],[Desc detalle ext 1]],Tabla1[[Referencia-Color]:[Disponibilidad]],3,FALSE),0)</f>
        <v>7</v>
      </c>
      <c r="V1605" s="13"/>
      <c r="W1605" s="17">
        <f>+Tabla3[[#This Row],[Cant. Programada]]*Tabla3[[#This Row],[Precio unit]]</f>
        <v>0</v>
      </c>
      <c r="X1605" s="8"/>
      <c r="Y1605" s="8"/>
      <c r="Z1605" s="8" t="str">
        <f>+Tabla3[[#This Row],[Referencia]]&amp;Tabla3[[#This Row],[Desc detalle ext 1]]</f>
        <v>*XR 150L                                          NEGRO ROJ</v>
      </c>
      <c r="AA1605" s="128" t="e">
        <f>+VLOOKUP(Tabla3[[#This Row],[CODIGO2]],ESTANDAR!$B$3:$C$9,2,FALSE)</f>
        <v>#N/A</v>
      </c>
      <c r="AB1605" s="128" t="str">
        <f>+MID(Tabla3[[#This Row],['# Viaje]],10,1)</f>
        <v/>
      </c>
    </row>
    <row r="1606" spans="1:28" ht="15" hidden="1" customHeight="1">
      <c r="A1606" s="44" t="s">
        <v>1768</v>
      </c>
      <c r="B1606" s="45">
        <v>42950</v>
      </c>
      <c r="C1606" s="44" t="s">
        <v>1231</v>
      </c>
      <c r="D1606" s="44" t="s">
        <v>1487</v>
      </c>
      <c r="E1606" s="44" t="s">
        <v>1232</v>
      </c>
      <c r="F1606" s="44">
        <v>1</v>
      </c>
      <c r="G1606" s="44" t="s">
        <v>151</v>
      </c>
      <c r="H1606" s="44">
        <v>1</v>
      </c>
      <c r="I1606" s="44" t="s">
        <v>1769</v>
      </c>
      <c r="J1606" s="44" t="s">
        <v>10</v>
      </c>
      <c r="K1606" s="44" t="s">
        <v>11</v>
      </c>
      <c r="L1606" s="45"/>
      <c r="M1606" s="44" t="s">
        <v>160</v>
      </c>
      <c r="N1606" s="44">
        <v>900185816</v>
      </c>
      <c r="O1606" s="46">
        <v>7554622</v>
      </c>
      <c r="P1606" s="7"/>
      <c r="Q16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6" s="9">
        <f>+IFERROR(VLOOKUP(Tabla3[[#This Row],[Cliente factura]],Tabla4[[NIT]:[TOTAL CREDITO]],6,FALSE),0)</f>
        <v>0</v>
      </c>
      <c r="S1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6" s="10" t="str">
        <f>VLOOKUP(Tabla3[[#This Row],[Razón social cliente factura]]&amp;Tabla3[[#This Row],[Desc. ciudad]],'Estandar de Rutas'!$C$1:$E$553,2,FALSE)</f>
        <v>8.1</v>
      </c>
      <c r="U1606" s="130">
        <f>IFERROR(VLOOKUP(Tabla3[[#This Row],[Referencia]]&amp;Tabla3[[#This Row],[Desc detalle ext 1]],Tabla1[[Referencia-Color]:[Disponibilidad]],3,FALSE),0)</f>
        <v>0</v>
      </c>
      <c r="V1606" s="13"/>
      <c r="W1606" s="17">
        <f>+Tabla3[[#This Row],[Cant. Programada]]*Tabla3[[#This Row],[Precio unit]]</f>
        <v>0</v>
      </c>
      <c r="X1606" s="8"/>
      <c r="Y1606" s="8"/>
      <c r="Z1606" s="8" t="str">
        <f>+Tabla3[[#This Row],[Referencia]]&amp;Tabla3[[#This Row],[Desc detalle ext 1]]</f>
        <v>CB 190R                                           NEGRO ONI</v>
      </c>
      <c r="AA1606" s="128" t="e">
        <f>+VLOOKUP(Tabla3[[#This Row],[CODIGO2]],ESTANDAR!$B$3:$C$9,2,FALSE)</f>
        <v>#N/A</v>
      </c>
      <c r="AB1606" s="128" t="str">
        <f>+MID(Tabla3[[#This Row],['# Viaje]],10,1)</f>
        <v/>
      </c>
    </row>
    <row r="1607" spans="1:28" ht="15" hidden="1" customHeight="1">
      <c r="A1607" s="44" t="s">
        <v>1768</v>
      </c>
      <c r="B1607" s="45">
        <v>42950</v>
      </c>
      <c r="C1607" s="44" t="s">
        <v>1231</v>
      </c>
      <c r="D1607" s="44" t="s">
        <v>1487</v>
      </c>
      <c r="E1607" s="44" t="s">
        <v>1232</v>
      </c>
      <c r="F1607" s="44">
        <v>1</v>
      </c>
      <c r="G1607" s="44" t="s">
        <v>151</v>
      </c>
      <c r="H1607" s="44">
        <v>1</v>
      </c>
      <c r="I1607" s="44" t="s">
        <v>1769</v>
      </c>
      <c r="J1607" s="44" t="s">
        <v>1425</v>
      </c>
      <c r="K1607" s="44" t="s">
        <v>1426</v>
      </c>
      <c r="L1607" s="45"/>
      <c r="M1607" s="44" t="s">
        <v>160</v>
      </c>
      <c r="N1607" s="44">
        <v>900185816</v>
      </c>
      <c r="O1607" s="46">
        <v>7730252</v>
      </c>
      <c r="P1607" s="7"/>
      <c r="Q16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7" s="9">
        <f>+IFERROR(VLOOKUP(Tabla3[[#This Row],[Cliente factura]],Tabla4[[NIT]:[TOTAL CREDITO]],6,FALSE),0)</f>
        <v>0</v>
      </c>
      <c r="S1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7" s="10" t="str">
        <f>VLOOKUP(Tabla3[[#This Row],[Razón social cliente factura]]&amp;Tabla3[[#This Row],[Desc. ciudad]],'Estandar de Rutas'!$C$1:$E$553,2,FALSE)</f>
        <v>8.1</v>
      </c>
      <c r="U1607" s="130">
        <f>IFERROR(VLOOKUP(Tabla3[[#This Row],[Referencia]]&amp;Tabla3[[#This Row],[Desc detalle ext 1]],Tabla1[[Referencia-Color]:[Disponibilidad]],3,FALSE),0)</f>
        <v>104</v>
      </c>
      <c r="V1607" s="13"/>
      <c r="W1607" s="17">
        <f>+Tabla3[[#This Row],[Cant. Programada]]*Tabla3[[#This Row],[Precio unit]]</f>
        <v>0</v>
      </c>
      <c r="X1607" s="8"/>
      <c r="Y1607" s="8"/>
      <c r="Z1607" s="8" t="str">
        <f>+Tabla3[[#This Row],[Referencia]]&amp;Tabla3[[#This Row],[Desc detalle ext 1]]</f>
        <v>CB 190 REPSOL                                     NARANJA B</v>
      </c>
      <c r="AA1607" s="128" t="e">
        <f>+VLOOKUP(Tabla3[[#This Row],[CODIGO2]],ESTANDAR!$B$3:$C$9,2,FALSE)</f>
        <v>#N/A</v>
      </c>
      <c r="AB1607" s="128" t="str">
        <f>+MID(Tabla3[[#This Row],['# Viaje]],10,1)</f>
        <v/>
      </c>
    </row>
    <row r="1608" spans="1:28" ht="15" hidden="1" customHeight="1">
      <c r="A1608" s="44" t="s">
        <v>1768</v>
      </c>
      <c r="B1608" s="45">
        <v>42950</v>
      </c>
      <c r="C1608" s="44" t="s">
        <v>1231</v>
      </c>
      <c r="D1608" s="44" t="s">
        <v>1487</v>
      </c>
      <c r="E1608" s="44" t="s">
        <v>1232</v>
      </c>
      <c r="F1608" s="44">
        <v>1</v>
      </c>
      <c r="G1608" s="44" t="s">
        <v>151</v>
      </c>
      <c r="H1608" s="44">
        <v>1</v>
      </c>
      <c r="I1608" s="44" t="s">
        <v>1769</v>
      </c>
      <c r="J1608" s="44" t="s">
        <v>354</v>
      </c>
      <c r="K1608" s="44" t="s">
        <v>17</v>
      </c>
      <c r="L1608" s="45"/>
      <c r="M1608" s="44" t="s">
        <v>160</v>
      </c>
      <c r="N1608" s="44">
        <v>900185816</v>
      </c>
      <c r="O1608" s="46">
        <v>6133613</v>
      </c>
      <c r="P1608" s="7"/>
      <c r="Q16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8" s="9">
        <f>+IFERROR(VLOOKUP(Tabla3[[#This Row],[Cliente factura]],Tabla4[[NIT]:[TOTAL CREDITO]],6,FALSE),0)</f>
        <v>0</v>
      </c>
      <c r="S1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8" s="10" t="str">
        <f>VLOOKUP(Tabla3[[#This Row],[Razón social cliente factura]]&amp;Tabla3[[#This Row],[Desc. ciudad]],'Estandar de Rutas'!$C$1:$E$553,2,FALSE)</f>
        <v>8.1</v>
      </c>
      <c r="U1608" s="130">
        <f>IFERROR(VLOOKUP(Tabla3[[#This Row],[Referencia]]&amp;Tabla3[[#This Row],[Desc detalle ext 1]],Tabla1[[Referencia-Color]:[Disponibilidad]],3,FALSE),0)</f>
        <v>48</v>
      </c>
      <c r="V1608" s="13"/>
      <c r="W1608" s="17">
        <f>+Tabla3[[#This Row],[Cant. Programada]]*Tabla3[[#This Row],[Precio unit]]</f>
        <v>0</v>
      </c>
      <c r="X1608" s="8"/>
      <c r="Y1608" s="8"/>
      <c r="Z1608" s="8" t="str">
        <f>+Tabla3[[#This Row],[Referencia]]&amp;Tabla3[[#This Row],[Desc detalle ext 1]]</f>
        <v>CB 160F DLX                                       ROJO SPOR</v>
      </c>
      <c r="AA1608" s="128" t="e">
        <f>+VLOOKUP(Tabla3[[#This Row],[CODIGO2]],ESTANDAR!$B$3:$C$9,2,FALSE)</f>
        <v>#N/A</v>
      </c>
      <c r="AB1608" s="128" t="str">
        <f>+MID(Tabla3[[#This Row],['# Viaje]],10,1)</f>
        <v/>
      </c>
    </row>
    <row r="1609" spans="1:28" ht="15" hidden="1" customHeight="1">
      <c r="A1609" s="44" t="s">
        <v>1768</v>
      </c>
      <c r="B1609" s="45">
        <v>42950</v>
      </c>
      <c r="C1609" s="44" t="s">
        <v>1231</v>
      </c>
      <c r="D1609" s="44" t="s">
        <v>1487</v>
      </c>
      <c r="E1609" s="44" t="s">
        <v>1232</v>
      </c>
      <c r="F1609" s="44">
        <v>1</v>
      </c>
      <c r="G1609" s="44" t="s">
        <v>151</v>
      </c>
      <c r="H1609" s="44">
        <v>1</v>
      </c>
      <c r="I1609" s="44" t="s">
        <v>1769</v>
      </c>
      <c r="J1609" s="44" t="s">
        <v>354</v>
      </c>
      <c r="K1609" s="44" t="s">
        <v>355</v>
      </c>
      <c r="L1609" s="45"/>
      <c r="M1609" s="44" t="s">
        <v>160</v>
      </c>
      <c r="N1609" s="44">
        <v>900185816</v>
      </c>
      <c r="O1609" s="46">
        <v>6133613</v>
      </c>
      <c r="P1609" s="7"/>
      <c r="Q16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9" s="9">
        <f>+IFERROR(VLOOKUP(Tabla3[[#This Row],[Cliente factura]],Tabla4[[NIT]:[TOTAL CREDITO]],6,FALSE),0)</f>
        <v>0</v>
      </c>
      <c r="S1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9" s="10" t="str">
        <f>VLOOKUP(Tabla3[[#This Row],[Razón social cliente factura]]&amp;Tabla3[[#This Row],[Desc. ciudad]],'Estandar de Rutas'!$C$1:$E$553,2,FALSE)</f>
        <v>8.1</v>
      </c>
      <c r="U1609" s="130">
        <f>IFERROR(VLOOKUP(Tabla3[[#This Row],[Referencia]]&amp;Tabla3[[#This Row],[Desc detalle ext 1]],Tabla1[[Referencia-Color]:[Disponibilidad]],3,FALSE),0)</f>
        <v>0</v>
      </c>
      <c r="V1609" s="13"/>
      <c r="W1609" s="17">
        <f>+Tabla3[[#This Row],[Cant. Programada]]*Tabla3[[#This Row],[Precio unit]]</f>
        <v>0</v>
      </c>
      <c r="X1609" s="8"/>
      <c r="Y1609" s="8"/>
      <c r="Z1609" s="8" t="str">
        <f>+Tabla3[[#This Row],[Referencia]]&amp;Tabla3[[#This Row],[Desc detalle ext 1]]</f>
        <v>CB 160F DLX                                       NEGRO PER</v>
      </c>
      <c r="AA1609" s="128" t="e">
        <f>+VLOOKUP(Tabla3[[#This Row],[CODIGO2]],ESTANDAR!$B$3:$C$9,2,FALSE)</f>
        <v>#N/A</v>
      </c>
      <c r="AB1609" s="128" t="str">
        <f>+MID(Tabla3[[#This Row],['# Viaje]],10,1)</f>
        <v/>
      </c>
    </row>
    <row r="1610" spans="1:28" ht="15" hidden="1" customHeight="1">
      <c r="A1610" s="44" t="s">
        <v>1768</v>
      </c>
      <c r="B1610" s="45">
        <v>42950</v>
      </c>
      <c r="C1610" s="44" t="s">
        <v>1231</v>
      </c>
      <c r="D1610" s="44" t="s">
        <v>1487</v>
      </c>
      <c r="E1610" s="44" t="s">
        <v>1232</v>
      </c>
      <c r="F1610" s="44">
        <v>1</v>
      </c>
      <c r="G1610" s="44" t="s">
        <v>151</v>
      </c>
      <c r="H1610" s="44">
        <v>1</v>
      </c>
      <c r="I1610" s="44" t="s">
        <v>1769</v>
      </c>
      <c r="J1610" s="44" t="s">
        <v>1453</v>
      </c>
      <c r="K1610" s="44" t="s">
        <v>11</v>
      </c>
      <c r="L1610" s="45"/>
      <c r="M1610" s="44" t="s">
        <v>160</v>
      </c>
      <c r="N1610" s="44">
        <v>900185816</v>
      </c>
      <c r="O1610" s="46">
        <v>7730252</v>
      </c>
      <c r="P1610" s="7"/>
      <c r="Q16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0" s="9">
        <f>+IFERROR(VLOOKUP(Tabla3[[#This Row],[Cliente factura]],Tabla4[[NIT]:[TOTAL CREDITO]],6,FALSE),0)</f>
        <v>0</v>
      </c>
      <c r="S1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0" s="10" t="str">
        <f>VLOOKUP(Tabla3[[#This Row],[Razón social cliente factura]]&amp;Tabla3[[#This Row],[Desc. ciudad]],'Estandar de Rutas'!$C$1:$E$553,2,FALSE)</f>
        <v>8.1</v>
      </c>
      <c r="U1610" s="130">
        <f>IFERROR(VLOOKUP(Tabla3[[#This Row],[Referencia]]&amp;Tabla3[[#This Row],[Desc detalle ext 1]],Tabla1[[Referencia-Color]:[Disponibilidad]],3,FALSE),0)</f>
        <v>0</v>
      </c>
      <c r="V1610" s="13"/>
      <c r="W1610" s="17">
        <f>+Tabla3[[#This Row],[Cant. Programada]]*Tabla3[[#This Row],[Precio unit]]</f>
        <v>0</v>
      </c>
      <c r="X1610" s="8"/>
      <c r="Y1610" s="8"/>
      <c r="Z1610" s="8" t="str">
        <f>+Tabla3[[#This Row],[Referencia]]&amp;Tabla3[[#This Row],[Desc detalle ext 1]]</f>
        <v>CB 190R INSTINTO R                                NEGRO ONI</v>
      </c>
      <c r="AA1610" s="128" t="e">
        <f>+VLOOKUP(Tabla3[[#This Row],[CODIGO2]],ESTANDAR!$B$3:$C$9,2,FALSE)</f>
        <v>#N/A</v>
      </c>
      <c r="AB1610" s="128" t="str">
        <f>+MID(Tabla3[[#This Row],['# Viaje]],10,1)</f>
        <v/>
      </c>
    </row>
    <row r="1611" spans="1:28" ht="15" hidden="1" customHeight="1">
      <c r="A1611" s="44" t="s">
        <v>1768</v>
      </c>
      <c r="B1611" s="45">
        <v>42950</v>
      </c>
      <c r="C1611" s="44" t="s">
        <v>1231</v>
      </c>
      <c r="D1611" s="44" t="s">
        <v>1487</v>
      </c>
      <c r="E1611" s="44" t="s">
        <v>1232</v>
      </c>
      <c r="F1611" s="44">
        <v>1</v>
      </c>
      <c r="G1611" s="44" t="s">
        <v>151</v>
      </c>
      <c r="H1611" s="44">
        <v>1</v>
      </c>
      <c r="I1611" s="44" t="s">
        <v>1769</v>
      </c>
      <c r="J1611" s="44" t="s">
        <v>1428</v>
      </c>
      <c r="K1611" s="44" t="s">
        <v>1429</v>
      </c>
      <c r="L1611" s="45"/>
      <c r="M1611" s="44" t="s">
        <v>160</v>
      </c>
      <c r="N1611" s="44">
        <v>900185816</v>
      </c>
      <c r="O1611" s="46">
        <v>3067227</v>
      </c>
      <c r="P1611" s="7"/>
      <c r="Q16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1" s="9">
        <f>+IFERROR(VLOOKUP(Tabla3[[#This Row],[Cliente factura]],Tabla4[[NIT]:[TOTAL CREDITO]],6,FALSE),0)</f>
        <v>0</v>
      </c>
      <c r="S1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1" s="10" t="str">
        <f>VLOOKUP(Tabla3[[#This Row],[Razón social cliente factura]]&amp;Tabla3[[#This Row],[Desc. ciudad]],'Estandar de Rutas'!$C$1:$E$553,2,FALSE)</f>
        <v>8.1</v>
      </c>
      <c r="U1611" s="130">
        <f>IFERROR(VLOOKUP(Tabla3[[#This Row],[Referencia]]&amp;Tabla3[[#This Row],[Desc detalle ext 1]],Tabla1[[Referencia-Color]:[Disponibilidad]],3,FALSE),0)</f>
        <v>0</v>
      </c>
      <c r="V1611" s="13"/>
      <c r="W1611" s="17">
        <f>+Tabla3[[#This Row],[Cant. Programada]]*Tabla3[[#This Row],[Precio unit]]</f>
        <v>0</v>
      </c>
      <c r="X1611" s="8"/>
      <c r="Y1611" s="8"/>
      <c r="Z1611" s="8" t="str">
        <f>+Tabla3[[#This Row],[Referencia]]&amp;Tabla3[[#This Row],[Desc detalle ext 1]]</f>
        <v>DREAM  NEO                                        NEGRO AZU</v>
      </c>
      <c r="AA1611" s="128" t="e">
        <f>+VLOOKUP(Tabla3[[#This Row],[CODIGO2]],ESTANDAR!$B$3:$C$9,2,FALSE)</f>
        <v>#N/A</v>
      </c>
      <c r="AB1611" s="128" t="str">
        <f>+MID(Tabla3[[#This Row],['# Viaje]],10,1)</f>
        <v/>
      </c>
    </row>
    <row r="1612" spans="1:28" ht="15" hidden="1" customHeight="1">
      <c r="A1612" s="44" t="s">
        <v>1768</v>
      </c>
      <c r="B1612" s="45">
        <v>42950</v>
      </c>
      <c r="C1612" s="44" t="s">
        <v>1231</v>
      </c>
      <c r="D1612" s="44" t="s">
        <v>1487</v>
      </c>
      <c r="E1612" s="44" t="s">
        <v>1232</v>
      </c>
      <c r="F1612" s="44">
        <v>1</v>
      </c>
      <c r="G1612" s="44" t="s">
        <v>151</v>
      </c>
      <c r="H1612" s="44">
        <v>1</v>
      </c>
      <c r="I1612" s="44" t="s">
        <v>1769</v>
      </c>
      <c r="J1612" s="44" t="s">
        <v>1234</v>
      </c>
      <c r="K1612" s="44" t="s">
        <v>17</v>
      </c>
      <c r="L1612" s="45"/>
      <c r="M1612" s="44" t="s">
        <v>160</v>
      </c>
      <c r="N1612" s="44">
        <v>900185816</v>
      </c>
      <c r="O1612" s="46">
        <v>5453782</v>
      </c>
      <c r="P1612" s="7"/>
      <c r="Q16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2" s="9">
        <f>+IFERROR(VLOOKUP(Tabla3[[#This Row],[Cliente factura]],Tabla4[[NIT]:[TOTAL CREDITO]],6,FALSE),0)</f>
        <v>0</v>
      </c>
      <c r="S1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2" s="10" t="str">
        <f>VLOOKUP(Tabla3[[#This Row],[Razón social cliente factura]]&amp;Tabla3[[#This Row],[Desc. ciudad]],'Estandar de Rutas'!$C$1:$E$553,2,FALSE)</f>
        <v>8.1</v>
      </c>
      <c r="U1612" s="130">
        <f>IFERROR(VLOOKUP(Tabla3[[#This Row],[Referencia]]&amp;Tabla3[[#This Row],[Desc detalle ext 1]],Tabla1[[Referencia-Color]:[Disponibilidad]],3,FALSE),0)</f>
        <v>0</v>
      </c>
      <c r="V1612" s="13"/>
      <c r="W1612" s="17">
        <f>+Tabla3[[#This Row],[Cant. Programada]]*Tabla3[[#This Row],[Precio unit]]</f>
        <v>0</v>
      </c>
      <c r="X1612" s="8"/>
      <c r="Y1612" s="8"/>
      <c r="Z1612" s="8" t="str">
        <f>+Tabla3[[#This Row],[Referencia]]&amp;Tabla3[[#This Row],[Desc detalle ext 1]]</f>
        <v>CB 160F STD                                       ROJO SPOR</v>
      </c>
      <c r="AA1612" s="128" t="e">
        <f>+VLOOKUP(Tabla3[[#This Row],[CODIGO2]],ESTANDAR!$B$3:$C$9,2,FALSE)</f>
        <v>#N/A</v>
      </c>
      <c r="AB1612" s="128" t="str">
        <f>+MID(Tabla3[[#This Row],['# Viaje]],10,1)</f>
        <v/>
      </c>
    </row>
    <row r="1613" spans="1:28" ht="15" hidden="1" customHeight="1">
      <c r="A1613" s="44" t="s">
        <v>1768</v>
      </c>
      <c r="B1613" s="45">
        <v>42950</v>
      </c>
      <c r="C1613" s="44" t="s">
        <v>1231</v>
      </c>
      <c r="D1613" s="44" t="s">
        <v>1487</v>
      </c>
      <c r="E1613" s="44" t="s">
        <v>1232</v>
      </c>
      <c r="F1613" s="44">
        <v>1</v>
      </c>
      <c r="G1613" s="44" t="s">
        <v>151</v>
      </c>
      <c r="H1613" s="44">
        <v>1</v>
      </c>
      <c r="I1613" s="44" t="s">
        <v>1769</v>
      </c>
      <c r="J1613" s="44" t="s">
        <v>1234</v>
      </c>
      <c r="K1613" s="44" t="s">
        <v>355</v>
      </c>
      <c r="L1613" s="45"/>
      <c r="M1613" s="44" t="s">
        <v>160</v>
      </c>
      <c r="N1613" s="44">
        <v>900185816</v>
      </c>
      <c r="O1613" s="46">
        <v>5453782</v>
      </c>
      <c r="P1613" s="7"/>
      <c r="Q16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3" s="9">
        <f>+IFERROR(VLOOKUP(Tabla3[[#This Row],[Cliente factura]],Tabla4[[NIT]:[TOTAL CREDITO]],6,FALSE),0)</f>
        <v>0</v>
      </c>
      <c r="S1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3" s="10" t="str">
        <f>VLOOKUP(Tabla3[[#This Row],[Razón social cliente factura]]&amp;Tabla3[[#This Row],[Desc. ciudad]],'Estandar de Rutas'!$C$1:$E$553,2,FALSE)</f>
        <v>8.1</v>
      </c>
      <c r="U1613" s="130">
        <f>IFERROR(VLOOKUP(Tabla3[[#This Row],[Referencia]]&amp;Tabla3[[#This Row],[Desc detalle ext 1]],Tabla1[[Referencia-Color]:[Disponibilidad]],3,FALSE),0)</f>
        <v>0</v>
      </c>
      <c r="V1613" s="13"/>
      <c r="W1613" s="17">
        <f>+Tabla3[[#This Row],[Cant. Programada]]*Tabla3[[#This Row],[Precio unit]]</f>
        <v>0</v>
      </c>
      <c r="X1613" s="8"/>
      <c r="Y1613" s="8"/>
      <c r="Z1613" s="8" t="str">
        <f>+Tabla3[[#This Row],[Referencia]]&amp;Tabla3[[#This Row],[Desc detalle ext 1]]</f>
        <v>CB 160F STD                                       NEGRO PER</v>
      </c>
      <c r="AA1613" s="128" t="e">
        <f>+VLOOKUP(Tabla3[[#This Row],[CODIGO2]],ESTANDAR!$B$3:$C$9,2,FALSE)</f>
        <v>#N/A</v>
      </c>
      <c r="AB1613" s="128" t="str">
        <f>+MID(Tabla3[[#This Row],['# Viaje]],10,1)</f>
        <v/>
      </c>
    </row>
    <row r="1614" spans="1:28" ht="15" hidden="1" customHeight="1">
      <c r="A1614" s="44" t="s">
        <v>1768</v>
      </c>
      <c r="B1614" s="45">
        <v>42950</v>
      </c>
      <c r="C1614" s="44" t="s">
        <v>1231</v>
      </c>
      <c r="D1614" s="44" t="s">
        <v>1487</v>
      </c>
      <c r="E1614" s="44" t="s">
        <v>1232</v>
      </c>
      <c r="F1614" s="44">
        <v>1</v>
      </c>
      <c r="G1614" s="44" t="s">
        <v>151</v>
      </c>
      <c r="H1614" s="44">
        <v>1</v>
      </c>
      <c r="I1614" s="44" t="s">
        <v>1769</v>
      </c>
      <c r="J1614" s="44" t="s">
        <v>1234</v>
      </c>
      <c r="K1614" s="44" t="s">
        <v>44</v>
      </c>
      <c r="L1614" s="45"/>
      <c r="M1614" s="44" t="s">
        <v>160</v>
      </c>
      <c r="N1614" s="44">
        <v>900185816</v>
      </c>
      <c r="O1614" s="46">
        <v>5453782</v>
      </c>
      <c r="P1614" s="7"/>
      <c r="Q16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4" s="9">
        <f>+IFERROR(VLOOKUP(Tabla3[[#This Row],[Cliente factura]],Tabla4[[NIT]:[TOTAL CREDITO]],6,FALSE),0)</f>
        <v>0</v>
      </c>
      <c r="S1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4" s="10" t="str">
        <f>VLOOKUP(Tabla3[[#This Row],[Razón social cliente factura]]&amp;Tabla3[[#This Row],[Desc. ciudad]],'Estandar de Rutas'!$C$1:$E$553,2,FALSE)</f>
        <v>8.1</v>
      </c>
      <c r="U1614" s="130">
        <f>IFERROR(VLOOKUP(Tabla3[[#This Row],[Referencia]]&amp;Tabla3[[#This Row],[Desc detalle ext 1]],Tabla1[[Referencia-Color]:[Disponibilidad]],3,FALSE),0)</f>
        <v>1</v>
      </c>
      <c r="V1614" s="13"/>
      <c r="W1614" s="17">
        <f>+Tabla3[[#This Row],[Cant. Programada]]*Tabla3[[#This Row],[Precio unit]]</f>
        <v>0</v>
      </c>
      <c r="X1614" s="8"/>
      <c r="Y1614" s="8"/>
      <c r="Z1614" s="8" t="str">
        <f>+Tabla3[[#This Row],[Referencia]]&amp;Tabla3[[#This Row],[Desc detalle ext 1]]</f>
        <v>CB 160F STD                                       BLANCO PE</v>
      </c>
      <c r="AA1614" s="128" t="e">
        <f>+VLOOKUP(Tabla3[[#This Row],[CODIGO2]],ESTANDAR!$B$3:$C$9,2,FALSE)</f>
        <v>#N/A</v>
      </c>
      <c r="AB1614" s="128" t="str">
        <f>+MID(Tabla3[[#This Row],['# Viaje]],10,1)</f>
        <v/>
      </c>
    </row>
    <row r="1615" spans="1:28" ht="15" hidden="1" customHeight="1">
      <c r="A1615" s="44" t="s">
        <v>1768</v>
      </c>
      <c r="B1615" s="45">
        <v>42950</v>
      </c>
      <c r="C1615" s="44" t="s">
        <v>1231</v>
      </c>
      <c r="D1615" s="44" t="s">
        <v>1487</v>
      </c>
      <c r="E1615" s="44" t="s">
        <v>1232</v>
      </c>
      <c r="F1615" s="44">
        <v>1</v>
      </c>
      <c r="G1615" s="44" t="s">
        <v>151</v>
      </c>
      <c r="H1615" s="44">
        <v>1</v>
      </c>
      <c r="I1615" s="44" t="s">
        <v>1769</v>
      </c>
      <c r="J1615" s="44" t="s">
        <v>1451</v>
      </c>
      <c r="K1615" s="44" t="s">
        <v>1452</v>
      </c>
      <c r="L1615" s="45"/>
      <c r="M1615" s="44" t="s">
        <v>160</v>
      </c>
      <c r="N1615" s="44">
        <v>900185816</v>
      </c>
      <c r="O1615" s="46">
        <v>3696639</v>
      </c>
      <c r="P1615" s="7"/>
      <c r="Q16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5" s="9">
        <f>+IFERROR(VLOOKUP(Tabla3[[#This Row],[Cliente factura]],Tabla4[[NIT]:[TOTAL CREDITO]],6,FALSE),0)</f>
        <v>0</v>
      </c>
      <c r="S1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5" s="10" t="str">
        <f>VLOOKUP(Tabla3[[#This Row],[Razón social cliente factura]]&amp;Tabla3[[#This Row],[Desc. ciudad]],'Estandar de Rutas'!$C$1:$E$553,2,FALSE)</f>
        <v>8.1</v>
      </c>
      <c r="U1615" s="130">
        <f>IFERROR(VLOOKUP(Tabla3[[#This Row],[Referencia]]&amp;Tabla3[[#This Row],[Desc detalle ext 1]],Tabla1[[Referencia-Color]:[Disponibilidad]],3,FALSE),0)</f>
        <v>21</v>
      </c>
      <c r="V1615" s="13"/>
      <c r="W1615" s="17">
        <f>+Tabla3[[#This Row],[Cant. Programada]]*Tabla3[[#This Row],[Precio unit]]</f>
        <v>0</v>
      </c>
      <c r="X1615" s="8"/>
      <c r="Y1615" s="8"/>
      <c r="Z1615" s="8" t="str">
        <f>+Tabla3[[#This Row],[Referencia]]&amp;Tabla3[[#This Row],[Desc detalle ext 1]]</f>
        <v xml:space="preserve">CB 110 DLX                                        AZUL     </v>
      </c>
      <c r="AA1615" s="128" t="e">
        <f>+VLOOKUP(Tabla3[[#This Row],[CODIGO2]],ESTANDAR!$B$3:$C$9,2,FALSE)</f>
        <v>#N/A</v>
      </c>
      <c r="AB1615" s="128" t="str">
        <f>+MID(Tabla3[[#This Row],['# Viaje]],10,1)</f>
        <v/>
      </c>
    </row>
    <row r="1616" spans="1:28" ht="15" hidden="1" customHeight="1">
      <c r="A1616" s="44" t="s">
        <v>1770</v>
      </c>
      <c r="B1616" s="45">
        <v>42950</v>
      </c>
      <c r="C1616" s="44" t="s">
        <v>1231</v>
      </c>
      <c r="D1616" s="44" t="s">
        <v>1487</v>
      </c>
      <c r="E1616" s="44" t="s">
        <v>1232</v>
      </c>
      <c r="F1616" s="44">
        <v>1</v>
      </c>
      <c r="G1616" s="44" t="s">
        <v>151</v>
      </c>
      <c r="H1616" s="44">
        <v>1</v>
      </c>
      <c r="I1616" s="44" t="s">
        <v>1771</v>
      </c>
      <c r="J1616" s="44" t="s">
        <v>1421</v>
      </c>
      <c r="K1616" s="44" t="s">
        <v>16</v>
      </c>
      <c r="L1616" s="45"/>
      <c r="M1616" s="44" t="s">
        <v>171</v>
      </c>
      <c r="N1616" s="44">
        <v>900185816</v>
      </c>
      <c r="O1616" s="46">
        <v>11496063</v>
      </c>
      <c r="P1616" s="7"/>
      <c r="Q16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6" s="9">
        <f>+IFERROR(VLOOKUP(Tabla3[[#This Row],[Cliente factura]],Tabla4[[NIT]:[TOTAL CREDITO]],6,FALSE),0)</f>
        <v>0</v>
      </c>
      <c r="S1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6" s="10" t="str">
        <f>VLOOKUP(Tabla3[[#This Row],[Razón social cliente factura]]&amp;Tabla3[[#This Row],[Desc. ciudad]],'Estandar de Rutas'!$C$1:$E$553,2,FALSE)</f>
        <v>8.2</v>
      </c>
      <c r="U1616" s="130">
        <f>IFERROR(VLOOKUP(Tabla3[[#This Row],[Referencia]]&amp;Tabla3[[#This Row],[Desc detalle ext 1]],Tabla1[[Referencia-Color]:[Disponibilidad]],3,FALSE),0)</f>
        <v>0</v>
      </c>
      <c r="V1616" s="13"/>
      <c r="W1616" s="17">
        <f>+Tabla3[[#This Row],[Cant. Programada]]*Tabla3[[#This Row],[Precio unit]]</f>
        <v>0</v>
      </c>
      <c r="X1616" s="8"/>
      <c r="Y1616" s="8"/>
      <c r="Z1616" s="8" t="str">
        <f>+Tabla3[[#This Row],[Referencia]]&amp;Tabla3[[#This Row],[Desc detalle ext 1]]</f>
        <v xml:space="preserve">*XR-250 TORNADO pt MD34                           NEGRO    </v>
      </c>
      <c r="AA1616" s="128" t="e">
        <f>+VLOOKUP(Tabla3[[#This Row],[CODIGO2]],ESTANDAR!$B$3:$C$9,2,FALSE)</f>
        <v>#N/A</v>
      </c>
      <c r="AB1616" s="128" t="str">
        <f>+MID(Tabla3[[#This Row],['# Viaje]],10,1)</f>
        <v/>
      </c>
    </row>
    <row r="1617" spans="1:28" ht="15" hidden="1" customHeight="1">
      <c r="A1617" s="44" t="s">
        <v>1770</v>
      </c>
      <c r="B1617" s="45">
        <v>42950</v>
      </c>
      <c r="C1617" s="44" t="s">
        <v>1231</v>
      </c>
      <c r="D1617" s="44" t="s">
        <v>1487</v>
      </c>
      <c r="E1617" s="44" t="s">
        <v>1232</v>
      </c>
      <c r="F1617" s="44">
        <v>1</v>
      </c>
      <c r="G1617" s="44" t="s">
        <v>151</v>
      </c>
      <c r="H1617" s="44">
        <v>1</v>
      </c>
      <c r="I1617" s="44" t="s">
        <v>1771</v>
      </c>
      <c r="J1617" s="44" t="s">
        <v>14</v>
      </c>
      <c r="K1617" s="44" t="s">
        <v>1417</v>
      </c>
      <c r="L1617" s="45"/>
      <c r="M1617" s="44" t="s">
        <v>171</v>
      </c>
      <c r="N1617" s="44">
        <v>900185816</v>
      </c>
      <c r="O1617" s="46">
        <v>3360504</v>
      </c>
      <c r="P1617" s="7"/>
      <c r="Q16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7" s="9">
        <f>+IFERROR(VLOOKUP(Tabla3[[#This Row],[Cliente factura]],Tabla4[[NIT]:[TOTAL CREDITO]],6,FALSE),0)</f>
        <v>0</v>
      </c>
      <c r="S1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7" s="10" t="str">
        <f>VLOOKUP(Tabla3[[#This Row],[Razón social cliente factura]]&amp;Tabla3[[#This Row],[Desc. ciudad]],'Estandar de Rutas'!$C$1:$E$553,2,FALSE)</f>
        <v>8.2</v>
      </c>
      <c r="U1617" s="130">
        <f>IFERROR(VLOOKUP(Tabla3[[#This Row],[Referencia]]&amp;Tabla3[[#This Row],[Desc detalle ext 1]],Tabla1[[Referencia-Color]:[Disponibilidad]],3,FALSE),0)</f>
        <v>24</v>
      </c>
      <c r="V1617" s="13"/>
      <c r="W1617" s="17">
        <f>+Tabla3[[#This Row],[Cant. Programada]]*Tabla3[[#This Row],[Precio unit]]</f>
        <v>0</v>
      </c>
      <c r="X1617" s="8"/>
      <c r="Y1617" s="8"/>
      <c r="Z1617" s="8" t="str">
        <f>+Tabla3[[#This Row],[Referencia]]&amp;Tabla3[[#This Row],[Desc detalle ext 1]]</f>
        <v xml:space="preserve">*CB-110                                           GRIS MET </v>
      </c>
      <c r="AA1617" s="128" t="e">
        <f>+VLOOKUP(Tabla3[[#This Row],[CODIGO2]],ESTANDAR!$B$3:$C$9,2,FALSE)</f>
        <v>#N/A</v>
      </c>
      <c r="AB1617" s="128" t="str">
        <f>+MID(Tabla3[[#This Row],['# Viaje]],10,1)</f>
        <v/>
      </c>
    </row>
    <row r="1618" spans="1:28" ht="15" hidden="1" customHeight="1">
      <c r="A1618" s="44" t="s">
        <v>1770</v>
      </c>
      <c r="B1618" s="45">
        <v>42950</v>
      </c>
      <c r="C1618" s="44" t="s">
        <v>1231</v>
      </c>
      <c r="D1618" s="44" t="s">
        <v>1487</v>
      </c>
      <c r="E1618" s="44" t="s">
        <v>1232</v>
      </c>
      <c r="F1618" s="44">
        <v>1</v>
      </c>
      <c r="G1618" s="44" t="s">
        <v>151</v>
      </c>
      <c r="H1618" s="44">
        <v>1</v>
      </c>
      <c r="I1618" s="44" t="s">
        <v>1771</v>
      </c>
      <c r="J1618" s="44" t="s">
        <v>14</v>
      </c>
      <c r="K1618" s="44" t="s">
        <v>16</v>
      </c>
      <c r="L1618" s="45"/>
      <c r="M1618" s="44" t="s">
        <v>171</v>
      </c>
      <c r="N1618" s="44">
        <v>900185816</v>
      </c>
      <c r="O1618" s="46">
        <v>3360504</v>
      </c>
      <c r="P1618" s="7"/>
      <c r="Q16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8" s="9">
        <f>+IFERROR(VLOOKUP(Tabla3[[#This Row],[Cliente factura]],Tabla4[[NIT]:[TOTAL CREDITO]],6,FALSE),0)</f>
        <v>0</v>
      </c>
      <c r="S1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8" s="10" t="str">
        <f>VLOOKUP(Tabla3[[#This Row],[Razón social cliente factura]]&amp;Tabla3[[#This Row],[Desc. ciudad]],'Estandar de Rutas'!$C$1:$E$553,2,FALSE)</f>
        <v>8.2</v>
      </c>
      <c r="U1618" s="130">
        <f>IFERROR(VLOOKUP(Tabla3[[#This Row],[Referencia]]&amp;Tabla3[[#This Row],[Desc detalle ext 1]],Tabla1[[Referencia-Color]:[Disponibilidad]],3,FALSE),0)</f>
        <v>83</v>
      </c>
      <c r="V1618" s="13"/>
      <c r="W1618" s="17">
        <f>+Tabla3[[#This Row],[Cant. Programada]]*Tabla3[[#This Row],[Precio unit]]</f>
        <v>0</v>
      </c>
      <c r="X1618" s="8"/>
      <c r="Y1618" s="8"/>
      <c r="Z1618" s="8" t="str">
        <f>+Tabla3[[#This Row],[Referencia]]&amp;Tabla3[[#This Row],[Desc detalle ext 1]]</f>
        <v xml:space="preserve">*CB-110                                           NEGRO    </v>
      </c>
      <c r="AA1618" s="128" t="e">
        <f>+VLOOKUP(Tabla3[[#This Row],[CODIGO2]],ESTANDAR!$B$3:$C$9,2,FALSE)</f>
        <v>#N/A</v>
      </c>
      <c r="AB1618" s="128" t="str">
        <f>+MID(Tabla3[[#This Row],['# Viaje]],10,1)</f>
        <v/>
      </c>
    </row>
    <row r="1619" spans="1:28" ht="15" hidden="1" customHeight="1">
      <c r="A1619" s="44" t="s">
        <v>1770</v>
      </c>
      <c r="B1619" s="45">
        <v>42950</v>
      </c>
      <c r="C1619" s="44" t="s">
        <v>1231</v>
      </c>
      <c r="D1619" s="44" t="s">
        <v>1487</v>
      </c>
      <c r="E1619" s="44" t="s">
        <v>1232</v>
      </c>
      <c r="F1619" s="44">
        <v>1</v>
      </c>
      <c r="G1619" s="44" t="s">
        <v>151</v>
      </c>
      <c r="H1619" s="44">
        <v>1</v>
      </c>
      <c r="I1619" s="44" t="s">
        <v>1771</v>
      </c>
      <c r="J1619" s="44" t="s">
        <v>14</v>
      </c>
      <c r="K1619" s="44" t="s">
        <v>15</v>
      </c>
      <c r="L1619" s="45"/>
      <c r="M1619" s="44" t="s">
        <v>171</v>
      </c>
      <c r="N1619" s="44">
        <v>900185816</v>
      </c>
      <c r="O1619" s="46">
        <v>3360504</v>
      </c>
      <c r="P1619" s="7"/>
      <c r="Q16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9" s="9">
        <f>+IFERROR(VLOOKUP(Tabla3[[#This Row],[Cliente factura]],Tabla4[[NIT]:[TOTAL CREDITO]],6,FALSE),0)</f>
        <v>0</v>
      </c>
      <c r="S1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9" s="10" t="str">
        <f>VLOOKUP(Tabla3[[#This Row],[Razón social cliente factura]]&amp;Tabla3[[#This Row],[Desc. ciudad]],'Estandar de Rutas'!$C$1:$E$553,2,FALSE)</f>
        <v>8.2</v>
      </c>
      <c r="U1619" s="130">
        <f>IFERROR(VLOOKUP(Tabla3[[#This Row],[Referencia]]&amp;Tabla3[[#This Row],[Desc detalle ext 1]],Tabla1[[Referencia-Color]:[Disponibilidad]],3,FALSE),0)</f>
        <v>99</v>
      </c>
      <c r="V1619" s="13"/>
      <c r="W1619" s="17">
        <f>+Tabla3[[#This Row],[Cant. Programada]]*Tabla3[[#This Row],[Precio unit]]</f>
        <v>0</v>
      </c>
      <c r="X1619" s="8"/>
      <c r="Y1619" s="8"/>
      <c r="Z1619" s="8" t="str">
        <f>+Tabla3[[#This Row],[Referencia]]&amp;Tabla3[[#This Row],[Desc detalle ext 1]]</f>
        <v>*CB-110                                           AZUL FIJI</v>
      </c>
      <c r="AA1619" s="128" t="e">
        <f>+VLOOKUP(Tabla3[[#This Row],[CODIGO2]],ESTANDAR!$B$3:$C$9,2,FALSE)</f>
        <v>#N/A</v>
      </c>
      <c r="AB1619" s="128" t="str">
        <f>+MID(Tabla3[[#This Row],['# Viaje]],10,1)</f>
        <v/>
      </c>
    </row>
    <row r="1620" spans="1:28" ht="15" hidden="1" customHeight="1">
      <c r="A1620" s="44" t="s">
        <v>1770</v>
      </c>
      <c r="B1620" s="45">
        <v>42950</v>
      </c>
      <c r="C1620" s="44" t="s">
        <v>1231</v>
      </c>
      <c r="D1620" s="44" t="s">
        <v>1487</v>
      </c>
      <c r="E1620" s="44" t="s">
        <v>1232</v>
      </c>
      <c r="F1620" s="44">
        <v>1</v>
      </c>
      <c r="G1620" s="44" t="s">
        <v>151</v>
      </c>
      <c r="H1620" s="44">
        <v>1</v>
      </c>
      <c r="I1620" s="44" t="s">
        <v>1771</v>
      </c>
      <c r="J1620" s="44" t="s">
        <v>18</v>
      </c>
      <c r="K1620" s="44" t="s">
        <v>1419</v>
      </c>
      <c r="L1620" s="45"/>
      <c r="M1620" s="44" t="s">
        <v>171</v>
      </c>
      <c r="N1620" s="44">
        <v>900185816</v>
      </c>
      <c r="O1620" s="46">
        <v>5168067</v>
      </c>
      <c r="P1620" s="7"/>
      <c r="Q16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0" s="9">
        <f>+IFERROR(VLOOKUP(Tabla3[[#This Row],[Cliente factura]],Tabla4[[NIT]:[TOTAL CREDITO]],6,FALSE),0)</f>
        <v>0</v>
      </c>
      <c r="S1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0" s="10" t="str">
        <f>VLOOKUP(Tabla3[[#This Row],[Razón social cliente factura]]&amp;Tabla3[[#This Row],[Desc. ciudad]],'Estandar de Rutas'!$C$1:$E$553,2,FALSE)</f>
        <v>8.2</v>
      </c>
      <c r="U1620" s="130">
        <f>IFERROR(VLOOKUP(Tabla3[[#This Row],[Referencia]]&amp;Tabla3[[#This Row],[Desc detalle ext 1]],Tabla1[[Referencia-Color]:[Disponibilidad]],3,FALSE),0)</f>
        <v>18</v>
      </c>
      <c r="V1620" s="13"/>
      <c r="W1620" s="17">
        <f>+Tabla3[[#This Row],[Cant. Programada]]*Tabla3[[#This Row],[Precio unit]]</f>
        <v>0</v>
      </c>
      <c r="X1620" s="8"/>
      <c r="Y1620" s="8"/>
      <c r="Z1620" s="8" t="str">
        <f>+Tabla3[[#This Row],[Referencia]]&amp;Tabla3[[#This Row],[Desc detalle ext 1]]</f>
        <v>*INVICTA                                          AZUL NEON</v>
      </c>
      <c r="AA1620" s="128" t="e">
        <f>+VLOOKUP(Tabla3[[#This Row],[CODIGO2]],ESTANDAR!$B$3:$C$9,2,FALSE)</f>
        <v>#N/A</v>
      </c>
      <c r="AB1620" s="128" t="str">
        <f>+MID(Tabla3[[#This Row],['# Viaje]],10,1)</f>
        <v/>
      </c>
    </row>
    <row r="1621" spans="1:28" ht="15" hidden="1" customHeight="1">
      <c r="A1621" s="44" t="s">
        <v>1770</v>
      </c>
      <c r="B1621" s="45">
        <v>42950</v>
      </c>
      <c r="C1621" s="44" t="s">
        <v>1231</v>
      </c>
      <c r="D1621" s="44" t="s">
        <v>1487</v>
      </c>
      <c r="E1621" s="44" t="s">
        <v>1232</v>
      </c>
      <c r="F1621" s="44">
        <v>2</v>
      </c>
      <c r="G1621" s="44" t="s">
        <v>151</v>
      </c>
      <c r="H1621" s="44">
        <v>2</v>
      </c>
      <c r="I1621" s="44" t="s">
        <v>1771</v>
      </c>
      <c r="J1621" s="44" t="s">
        <v>27</v>
      </c>
      <c r="K1621" s="44" t="s">
        <v>32</v>
      </c>
      <c r="L1621" s="45"/>
      <c r="M1621" s="44" t="s">
        <v>171</v>
      </c>
      <c r="N1621" s="44">
        <v>900185816</v>
      </c>
      <c r="O1621" s="46">
        <v>5789916</v>
      </c>
      <c r="P1621" s="7"/>
      <c r="Q16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1" s="9">
        <f>+IFERROR(VLOOKUP(Tabla3[[#This Row],[Cliente factura]],Tabla4[[NIT]:[TOTAL CREDITO]],6,FALSE),0)</f>
        <v>0</v>
      </c>
      <c r="S1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1" s="10" t="str">
        <f>VLOOKUP(Tabla3[[#This Row],[Razón social cliente factura]]&amp;Tabla3[[#This Row],[Desc. ciudad]],'Estandar de Rutas'!$C$1:$E$553,2,FALSE)</f>
        <v>8.2</v>
      </c>
      <c r="U1621" s="130">
        <f>IFERROR(VLOOKUP(Tabla3[[#This Row],[Referencia]]&amp;Tabla3[[#This Row],[Desc detalle ext 1]],Tabla1[[Referencia-Color]:[Disponibilidad]],3,FALSE),0)</f>
        <v>7</v>
      </c>
      <c r="V1621" s="13"/>
      <c r="W1621" s="17">
        <f>+Tabla3[[#This Row],[Cant. Programada]]*Tabla3[[#This Row],[Precio unit]]</f>
        <v>0</v>
      </c>
      <c r="X1621" s="8"/>
      <c r="Y1621" s="8"/>
      <c r="Z1621" s="8" t="str">
        <f>+Tabla3[[#This Row],[Referencia]]&amp;Tabla3[[#This Row],[Desc detalle ext 1]]</f>
        <v>*XR 150L                                          NEGRO ROJ</v>
      </c>
      <c r="AA1621" s="128" t="e">
        <f>+VLOOKUP(Tabla3[[#This Row],[CODIGO2]],ESTANDAR!$B$3:$C$9,2,FALSE)</f>
        <v>#N/A</v>
      </c>
      <c r="AB1621" s="128" t="str">
        <f>+MID(Tabla3[[#This Row],['# Viaje]],10,1)</f>
        <v/>
      </c>
    </row>
    <row r="1622" spans="1:28" ht="15" hidden="1" customHeight="1">
      <c r="A1622" s="44" t="s">
        <v>1770</v>
      </c>
      <c r="B1622" s="45">
        <v>42950</v>
      </c>
      <c r="C1622" s="44" t="s">
        <v>1231</v>
      </c>
      <c r="D1622" s="44" t="s">
        <v>1487</v>
      </c>
      <c r="E1622" s="44" t="s">
        <v>1232</v>
      </c>
      <c r="F1622" s="44">
        <v>1</v>
      </c>
      <c r="G1622" s="44" t="s">
        <v>151</v>
      </c>
      <c r="H1622" s="44">
        <v>1</v>
      </c>
      <c r="I1622" s="44" t="s">
        <v>1771</v>
      </c>
      <c r="J1622" s="44" t="s">
        <v>27</v>
      </c>
      <c r="K1622" s="44" t="s">
        <v>26</v>
      </c>
      <c r="L1622" s="45"/>
      <c r="M1622" s="44" t="s">
        <v>171</v>
      </c>
      <c r="N1622" s="44">
        <v>900185816</v>
      </c>
      <c r="O1622" s="46">
        <v>5789916</v>
      </c>
      <c r="P1622" s="7"/>
      <c r="Q16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2" s="9">
        <f>+IFERROR(VLOOKUP(Tabla3[[#This Row],[Cliente factura]],Tabla4[[NIT]:[TOTAL CREDITO]],6,FALSE),0)</f>
        <v>0</v>
      </c>
      <c r="S1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2" s="10" t="str">
        <f>VLOOKUP(Tabla3[[#This Row],[Razón social cliente factura]]&amp;Tabla3[[#This Row],[Desc. ciudad]],'Estandar de Rutas'!$C$1:$E$553,2,FALSE)</f>
        <v>8.2</v>
      </c>
      <c r="U1622" s="130">
        <f>IFERROR(VLOOKUP(Tabla3[[#This Row],[Referencia]]&amp;Tabla3[[#This Row],[Desc detalle ext 1]],Tabla1[[Referencia-Color]:[Disponibilidad]],3,FALSE),0)</f>
        <v>59</v>
      </c>
      <c r="V1622" s="13"/>
      <c r="W1622" s="17">
        <f>+Tabla3[[#This Row],[Cant. Programada]]*Tabla3[[#This Row],[Precio unit]]</f>
        <v>0</v>
      </c>
      <c r="X1622" s="8"/>
      <c r="Y1622" s="8"/>
      <c r="Z1622" s="8" t="str">
        <f>+Tabla3[[#This Row],[Referencia]]&amp;Tabla3[[#This Row],[Desc detalle ext 1]]</f>
        <v>*XR 150L                                          NEGRO BLA</v>
      </c>
      <c r="AA1622" s="128" t="e">
        <f>+VLOOKUP(Tabla3[[#This Row],[CODIGO2]],ESTANDAR!$B$3:$C$9,2,FALSE)</f>
        <v>#N/A</v>
      </c>
      <c r="AB1622" s="128" t="str">
        <f>+MID(Tabla3[[#This Row],['# Viaje]],10,1)</f>
        <v/>
      </c>
    </row>
    <row r="1623" spans="1:28" ht="15" hidden="1" customHeight="1">
      <c r="A1623" s="44" t="s">
        <v>1770</v>
      </c>
      <c r="B1623" s="45">
        <v>42950</v>
      </c>
      <c r="C1623" s="44" t="s">
        <v>1231</v>
      </c>
      <c r="D1623" s="44" t="s">
        <v>1487</v>
      </c>
      <c r="E1623" s="44" t="s">
        <v>1232</v>
      </c>
      <c r="F1623" s="44">
        <v>1</v>
      </c>
      <c r="G1623" s="44" t="s">
        <v>151</v>
      </c>
      <c r="H1623" s="44">
        <v>1</v>
      </c>
      <c r="I1623" s="44" t="s">
        <v>1771</v>
      </c>
      <c r="J1623" s="44" t="s">
        <v>27</v>
      </c>
      <c r="K1623" s="44" t="s">
        <v>16</v>
      </c>
      <c r="L1623" s="45"/>
      <c r="M1623" s="44" t="s">
        <v>171</v>
      </c>
      <c r="N1623" s="44">
        <v>900185816</v>
      </c>
      <c r="O1623" s="46">
        <v>5789916</v>
      </c>
      <c r="P1623" s="7"/>
      <c r="Q16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3" s="9">
        <f>+IFERROR(VLOOKUP(Tabla3[[#This Row],[Cliente factura]],Tabla4[[NIT]:[TOTAL CREDITO]],6,FALSE),0)</f>
        <v>0</v>
      </c>
      <c r="S1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3" s="10" t="str">
        <f>VLOOKUP(Tabla3[[#This Row],[Razón social cliente factura]]&amp;Tabla3[[#This Row],[Desc. ciudad]],'Estandar de Rutas'!$C$1:$E$553,2,FALSE)</f>
        <v>8.2</v>
      </c>
      <c r="U1623" s="130">
        <f>IFERROR(VLOOKUP(Tabla3[[#This Row],[Referencia]]&amp;Tabla3[[#This Row],[Desc detalle ext 1]],Tabla1[[Referencia-Color]:[Disponibilidad]],3,FALSE),0)</f>
        <v>3</v>
      </c>
      <c r="V1623" s="13"/>
      <c r="W1623" s="17">
        <f>+Tabla3[[#This Row],[Cant. Programada]]*Tabla3[[#This Row],[Precio unit]]</f>
        <v>0</v>
      </c>
      <c r="X1623" s="8"/>
      <c r="Y1623" s="8"/>
      <c r="Z1623" s="8" t="str">
        <f>+Tabla3[[#This Row],[Referencia]]&amp;Tabla3[[#This Row],[Desc detalle ext 1]]</f>
        <v xml:space="preserve">*XR 150L                                          NEGRO    </v>
      </c>
      <c r="AA1623" s="128" t="e">
        <f>+VLOOKUP(Tabla3[[#This Row],[CODIGO2]],ESTANDAR!$B$3:$C$9,2,FALSE)</f>
        <v>#N/A</v>
      </c>
      <c r="AB1623" s="128" t="str">
        <f>+MID(Tabla3[[#This Row],['# Viaje]],10,1)</f>
        <v/>
      </c>
    </row>
    <row r="1624" spans="1:28" ht="15" hidden="1" customHeight="1">
      <c r="A1624" s="44" t="s">
        <v>1770</v>
      </c>
      <c r="B1624" s="45">
        <v>42950</v>
      </c>
      <c r="C1624" s="44" t="s">
        <v>1231</v>
      </c>
      <c r="D1624" s="44" t="s">
        <v>1487</v>
      </c>
      <c r="E1624" s="44" t="s">
        <v>1232</v>
      </c>
      <c r="F1624" s="44">
        <v>1</v>
      </c>
      <c r="G1624" s="44" t="s">
        <v>151</v>
      </c>
      <c r="H1624" s="44">
        <v>1</v>
      </c>
      <c r="I1624" s="44" t="s">
        <v>1771</v>
      </c>
      <c r="J1624" s="44" t="s">
        <v>23</v>
      </c>
      <c r="K1624" s="44" t="s">
        <v>1772</v>
      </c>
      <c r="L1624" s="45"/>
      <c r="M1624" s="44" t="s">
        <v>171</v>
      </c>
      <c r="N1624" s="44">
        <v>900185816</v>
      </c>
      <c r="O1624" s="46">
        <v>5764706</v>
      </c>
      <c r="P1624" s="7"/>
      <c r="Q16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4" s="9">
        <f>+IFERROR(VLOOKUP(Tabla3[[#This Row],[Cliente factura]],Tabla4[[NIT]:[TOTAL CREDITO]],6,FALSE),0)</f>
        <v>0</v>
      </c>
      <c r="S1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4" s="10" t="str">
        <f>VLOOKUP(Tabla3[[#This Row],[Razón social cliente factura]]&amp;Tabla3[[#This Row],[Desc. ciudad]],'Estandar de Rutas'!$C$1:$E$553,2,FALSE)</f>
        <v>8.2</v>
      </c>
      <c r="U1624" s="130">
        <f>IFERROR(VLOOKUP(Tabla3[[#This Row],[Referencia]]&amp;Tabla3[[#This Row],[Desc detalle ext 1]],Tabla1[[Referencia-Color]:[Disponibilidad]],3,FALSE),0)</f>
        <v>0</v>
      </c>
      <c r="V1624" s="13"/>
      <c r="W1624" s="17">
        <f>+Tabla3[[#This Row],[Cant. Programada]]*Tabla3[[#This Row],[Precio unit]]</f>
        <v>0</v>
      </c>
      <c r="X1624" s="8"/>
      <c r="Y1624" s="8"/>
      <c r="Z1624" s="8" t="str">
        <f>+Tabla3[[#This Row],[Referencia]]&amp;Tabla3[[#This Row],[Desc detalle ext 1]]</f>
        <v>CLICK 125i                                        BLANCO RO</v>
      </c>
      <c r="AA1624" s="128" t="e">
        <f>+VLOOKUP(Tabla3[[#This Row],[CODIGO2]],ESTANDAR!$B$3:$C$9,2,FALSE)</f>
        <v>#N/A</v>
      </c>
      <c r="AB1624" s="128" t="str">
        <f>+MID(Tabla3[[#This Row],['# Viaje]],10,1)</f>
        <v/>
      </c>
    </row>
    <row r="1625" spans="1:28" ht="15" hidden="1" customHeight="1">
      <c r="A1625" s="44" t="s">
        <v>1770</v>
      </c>
      <c r="B1625" s="45">
        <v>42950</v>
      </c>
      <c r="C1625" s="44" t="s">
        <v>1231</v>
      </c>
      <c r="D1625" s="44" t="s">
        <v>1487</v>
      </c>
      <c r="E1625" s="44" t="s">
        <v>1232</v>
      </c>
      <c r="F1625" s="44">
        <v>1</v>
      </c>
      <c r="G1625" s="44" t="s">
        <v>151</v>
      </c>
      <c r="H1625" s="44">
        <v>1</v>
      </c>
      <c r="I1625" s="44" t="s">
        <v>1771</v>
      </c>
      <c r="J1625" s="44" t="s">
        <v>10</v>
      </c>
      <c r="K1625" s="44" t="s">
        <v>13</v>
      </c>
      <c r="L1625" s="45"/>
      <c r="M1625" s="44" t="s">
        <v>171</v>
      </c>
      <c r="N1625" s="44">
        <v>900185816</v>
      </c>
      <c r="O1625" s="46">
        <v>7554622</v>
      </c>
      <c r="P1625" s="7"/>
      <c r="Q16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5" s="9">
        <f>+IFERROR(VLOOKUP(Tabla3[[#This Row],[Cliente factura]],Tabla4[[NIT]:[TOTAL CREDITO]],6,FALSE),0)</f>
        <v>0</v>
      </c>
      <c r="S1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5" s="10" t="str">
        <f>VLOOKUP(Tabla3[[#This Row],[Razón social cliente factura]]&amp;Tabla3[[#This Row],[Desc. ciudad]],'Estandar de Rutas'!$C$1:$E$553,2,FALSE)</f>
        <v>8.2</v>
      </c>
      <c r="U1625" s="130">
        <f>IFERROR(VLOOKUP(Tabla3[[#This Row],[Referencia]]&amp;Tabla3[[#This Row],[Desc detalle ext 1]],Tabla1[[Referencia-Color]:[Disponibilidad]],3,FALSE),0)</f>
        <v>75</v>
      </c>
      <c r="V1625" s="13"/>
      <c r="W1625" s="17">
        <f>+Tabla3[[#This Row],[Cant. Programada]]*Tabla3[[#This Row],[Precio unit]]</f>
        <v>0</v>
      </c>
      <c r="X1625" s="8"/>
      <c r="Y1625" s="8"/>
      <c r="Z1625" s="8" t="str">
        <f>+Tabla3[[#This Row],[Referencia]]&amp;Tabla3[[#This Row],[Desc detalle ext 1]]</f>
        <v>CB 190R                                           ROJO NEGR</v>
      </c>
      <c r="AA1625" s="128" t="e">
        <f>+VLOOKUP(Tabla3[[#This Row],[CODIGO2]],ESTANDAR!$B$3:$C$9,2,FALSE)</f>
        <v>#N/A</v>
      </c>
      <c r="AB1625" s="128" t="str">
        <f>+MID(Tabla3[[#This Row],['# Viaje]],10,1)</f>
        <v/>
      </c>
    </row>
    <row r="1626" spans="1:28" ht="15" hidden="1" customHeight="1">
      <c r="A1626" s="44" t="s">
        <v>1770</v>
      </c>
      <c r="B1626" s="45">
        <v>42950</v>
      </c>
      <c r="C1626" s="44" t="s">
        <v>1231</v>
      </c>
      <c r="D1626" s="44" t="s">
        <v>1487</v>
      </c>
      <c r="E1626" s="44" t="s">
        <v>1232</v>
      </c>
      <c r="F1626" s="44">
        <v>1</v>
      </c>
      <c r="G1626" s="44" t="s">
        <v>151</v>
      </c>
      <c r="H1626" s="44">
        <v>1</v>
      </c>
      <c r="I1626" s="44" t="s">
        <v>1771</v>
      </c>
      <c r="J1626" s="44" t="s">
        <v>10</v>
      </c>
      <c r="K1626" s="44" t="s">
        <v>11</v>
      </c>
      <c r="L1626" s="45"/>
      <c r="M1626" s="44" t="s">
        <v>171</v>
      </c>
      <c r="N1626" s="44">
        <v>900185816</v>
      </c>
      <c r="O1626" s="46">
        <v>7554622</v>
      </c>
      <c r="P1626" s="7"/>
      <c r="Q16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6" s="9">
        <f>+IFERROR(VLOOKUP(Tabla3[[#This Row],[Cliente factura]],Tabla4[[NIT]:[TOTAL CREDITO]],6,FALSE),0)</f>
        <v>0</v>
      </c>
      <c r="S1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6" s="10" t="str">
        <f>VLOOKUP(Tabla3[[#This Row],[Razón social cliente factura]]&amp;Tabla3[[#This Row],[Desc. ciudad]],'Estandar de Rutas'!$C$1:$E$553,2,FALSE)</f>
        <v>8.2</v>
      </c>
      <c r="U1626" s="130">
        <f>IFERROR(VLOOKUP(Tabla3[[#This Row],[Referencia]]&amp;Tabla3[[#This Row],[Desc detalle ext 1]],Tabla1[[Referencia-Color]:[Disponibilidad]],3,FALSE),0)</f>
        <v>0</v>
      </c>
      <c r="V1626" s="13"/>
      <c r="W1626" s="17">
        <f>+Tabla3[[#This Row],[Cant. Programada]]*Tabla3[[#This Row],[Precio unit]]</f>
        <v>0</v>
      </c>
      <c r="X1626" s="8"/>
      <c r="Y1626" s="8"/>
      <c r="Z1626" s="8" t="str">
        <f>+Tabla3[[#This Row],[Referencia]]&amp;Tabla3[[#This Row],[Desc detalle ext 1]]</f>
        <v>CB 190R                                           NEGRO ONI</v>
      </c>
      <c r="AA1626" s="128" t="e">
        <f>+VLOOKUP(Tabla3[[#This Row],[CODIGO2]],ESTANDAR!$B$3:$C$9,2,FALSE)</f>
        <v>#N/A</v>
      </c>
      <c r="AB1626" s="128" t="str">
        <f>+MID(Tabla3[[#This Row],['# Viaje]],10,1)</f>
        <v/>
      </c>
    </row>
    <row r="1627" spans="1:28" ht="15" hidden="1" customHeight="1">
      <c r="A1627" s="44" t="s">
        <v>1770</v>
      </c>
      <c r="B1627" s="45">
        <v>42950</v>
      </c>
      <c r="C1627" s="44" t="s">
        <v>1231</v>
      </c>
      <c r="D1627" s="44" t="s">
        <v>1487</v>
      </c>
      <c r="E1627" s="44" t="s">
        <v>1232</v>
      </c>
      <c r="F1627" s="44">
        <v>1</v>
      </c>
      <c r="G1627" s="44" t="s">
        <v>151</v>
      </c>
      <c r="H1627" s="44">
        <v>1</v>
      </c>
      <c r="I1627" s="44" t="s">
        <v>1771</v>
      </c>
      <c r="J1627" s="44" t="s">
        <v>354</v>
      </c>
      <c r="K1627" s="44" t="s">
        <v>17</v>
      </c>
      <c r="L1627" s="45"/>
      <c r="M1627" s="44" t="s">
        <v>171</v>
      </c>
      <c r="N1627" s="44">
        <v>900185816</v>
      </c>
      <c r="O1627" s="46">
        <v>6133613</v>
      </c>
      <c r="P1627" s="7"/>
      <c r="Q16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7" s="9">
        <f>+IFERROR(VLOOKUP(Tabla3[[#This Row],[Cliente factura]],Tabla4[[NIT]:[TOTAL CREDITO]],6,FALSE),0)</f>
        <v>0</v>
      </c>
      <c r="S1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7" s="10" t="str">
        <f>VLOOKUP(Tabla3[[#This Row],[Razón social cliente factura]]&amp;Tabla3[[#This Row],[Desc. ciudad]],'Estandar de Rutas'!$C$1:$E$553,2,FALSE)</f>
        <v>8.2</v>
      </c>
      <c r="U1627" s="130">
        <f>IFERROR(VLOOKUP(Tabla3[[#This Row],[Referencia]]&amp;Tabla3[[#This Row],[Desc detalle ext 1]],Tabla1[[Referencia-Color]:[Disponibilidad]],3,FALSE),0)</f>
        <v>48</v>
      </c>
      <c r="V1627" s="13"/>
      <c r="W1627" s="17">
        <f>+Tabla3[[#This Row],[Cant. Programada]]*Tabla3[[#This Row],[Precio unit]]</f>
        <v>0</v>
      </c>
      <c r="X1627" s="8"/>
      <c r="Y1627" s="8"/>
      <c r="Z1627" s="8" t="str">
        <f>+Tabla3[[#This Row],[Referencia]]&amp;Tabla3[[#This Row],[Desc detalle ext 1]]</f>
        <v>CB 160F DLX                                       ROJO SPOR</v>
      </c>
      <c r="AA1627" s="128" t="e">
        <f>+VLOOKUP(Tabla3[[#This Row],[CODIGO2]],ESTANDAR!$B$3:$C$9,2,FALSE)</f>
        <v>#N/A</v>
      </c>
      <c r="AB1627" s="128" t="str">
        <f>+MID(Tabla3[[#This Row],['# Viaje]],10,1)</f>
        <v/>
      </c>
    </row>
    <row r="1628" spans="1:28" ht="15" hidden="1" customHeight="1">
      <c r="A1628" s="44" t="s">
        <v>1770</v>
      </c>
      <c r="B1628" s="45">
        <v>42950</v>
      </c>
      <c r="C1628" s="44" t="s">
        <v>1231</v>
      </c>
      <c r="D1628" s="44" t="s">
        <v>1487</v>
      </c>
      <c r="E1628" s="44" t="s">
        <v>1232</v>
      </c>
      <c r="F1628" s="44">
        <v>1</v>
      </c>
      <c r="G1628" s="44" t="s">
        <v>151</v>
      </c>
      <c r="H1628" s="44">
        <v>1</v>
      </c>
      <c r="I1628" s="44" t="s">
        <v>1771</v>
      </c>
      <c r="J1628" s="44" t="s">
        <v>354</v>
      </c>
      <c r="K1628" s="44" t="s">
        <v>355</v>
      </c>
      <c r="L1628" s="45"/>
      <c r="M1628" s="44" t="s">
        <v>171</v>
      </c>
      <c r="N1628" s="44">
        <v>900185816</v>
      </c>
      <c r="O1628" s="46">
        <v>6133613</v>
      </c>
      <c r="P1628" s="7"/>
      <c r="Q16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8" s="9">
        <f>+IFERROR(VLOOKUP(Tabla3[[#This Row],[Cliente factura]],Tabla4[[NIT]:[TOTAL CREDITO]],6,FALSE),0)</f>
        <v>0</v>
      </c>
      <c r="S1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8" s="10" t="str">
        <f>VLOOKUP(Tabla3[[#This Row],[Razón social cliente factura]]&amp;Tabla3[[#This Row],[Desc. ciudad]],'Estandar de Rutas'!$C$1:$E$553,2,FALSE)</f>
        <v>8.2</v>
      </c>
      <c r="U1628" s="130">
        <f>IFERROR(VLOOKUP(Tabla3[[#This Row],[Referencia]]&amp;Tabla3[[#This Row],[Desc detalle ext 1]],Tabla1[[Referencia-Color]:[Disponibilidad]],3,FALSE),0)</f>
        <v>0</v>
      </c>
      <c r="V1628" s="13"/>
      <c r="W1628" s="17">
        <f>+Tabla3[[#This Row],[Cant. Programada]]*Tabla3[[#This Row],[Precio unit]]</f>
        <v>0</v>
      </c>
      <c r="X1628" s="8"/>
      <c r="Y1628" s="8"/>
      <c r="Z1628" s="8" t="str">
        <f>+Tabla3[[#This Row],[Referencia]]&amp;Tabla3[[#This Row],[Desc detalle ext 1]]</f>
        <v>CB 160F DLX                                       NEGRO PER</v>
      </c>
      <c r="AA1628" s="128" t="e">
        <f>+VLOOKUP(Tabla3[[#This Row],[CODIGO2]],ESTANDAR!$B$3:$C$9,2,FALSE)</f>
        <v>#N/A</v>
      </c>
      <c r="AB1628" s="128" t="str">
        <f>+MID(Tabla3[[#This Row],['# Viaje]],10,1)</f>
        <v/>
      </c>
    </row>
    <row r="1629" spans="1:28" ht="15" hidden="1" customHeight="1">
      <c r="A1629" s="44" t="s">
        <v>1770</v>
      </c>
      <c r="B1629" s="45">
        <v>42950</v>
      </c>
      <c r="C1629" s="44" t="s">
        <v>1231</v>
      </c>
      <c r="D1629" s="44" t="s">
        <v>1487</v>
      </c>
      <c r="E1629" s="44" t="s">
        <v>1232</v>
      </c>
      <c r="F1629" s="44">
        <v>1</v>
      </c>
      <c r="G1629" s="44" t="s">
        <v>151</v>
      </c>
      <c r="H1629" s="44">
        <v>1</v>
      </c>
      <c r="I1629" s="44" t="s">
        <v>1771</v>
      </c>
      <c r="J1629" s="44" t="s">
        <v>354</v>
      </c>
      <c r="K1629" s="44" t="s">
        <v>474</v>
      </c>
      <c r="L1629" s="45"/>
      <c r="M1629" s="44" t="s">
        <v>171</v>
      </c>
      <c r="N1629" s="44">
        <v>900185816</v>
      </c>
      <c r="O1629" s="46">
        <v>6133613</v>
      </c>
      <c r="P1629" s="7"/>
      <c r="Q16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9" s="9">
        <f>+IFERROR(VLOOKUP(Tabla3[[#This Row],[Cliente factura]],Tabla4[[NIT]:[TOTAL CREDITO]],6,FALSE),0)</f>
        <v>0</v>
      </c>
      <c r="S1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9" s="10" t="str">
        <f>VLOOKUP(Tabla3[[#This Row],[Razón social cliente factura]]&amp;Tabla3[[#This Row],[Desc. ciudad]],'Estandar de Rutas'!$C$1:$E$553,2,FALSE)</f>
        <v>8.2</v>
      </c>
      <c r="U1629" s="130">
        <f>IFERROR(VLOOKUP(Tabla3[[#This Row],[Referencia]]&amp;Tabla3[[#This Row],[Desc detalle ext 1]],Tabla1[[Referencia-Color]:[Disponibilidad]],3,FALSE),0)</f>
        <v>3</v>
      </c>
      <c r="V1629" s="13"/>
      <c r="W1629" s="17">
        <f>+Tabla3[[#This Row],[Cant. Programada]]*Tabla3[[#This Row],[Precio unit]]</f>
        <v>0</v>
      </c>
      <c r="X1629" s="8"/>
      <c r="Y1629" s="8"/>
      <c r="Z1629" s="8" t="str">
        <f>+Tabla3[[#This Row],[Referencia]]&amp;Tabla3[[#This Row],[Desc detalle ext 1]]</f>
        <v>CB 160F DLX                                       NARANJA N</v>
      </c>
      <c r="AA1629" s="128" t="e">
        <f>+VLOOKUP(Tabla3[[#This Row],[CODIGO2]],ESTANDAR!$B$3:$C$9,2,FALSE)</f>
        <v>#N/A</v>
      </c>
      <c r="AB1629" s="128" t="str">
        <f>+MID(Tabla3[[#This Row],['# Viaje]],10,1)</f>
        <v/>
      </c>
    </row>
    <row r="1630" spans="1:28" ht="15" hidden="1" customHeight="1">
      <c r="A1630" s="44" t="s">
        <v>1770</v>
      </c>
      <c r="B1630" s="45">
        <v>42950</v>
      </c>
      <c r="C1630" s="44" t="s">
        <v>1231</v>
      </c>
      <c r="D1630" s="44" t="s">
        <v>1487</v>
      </c>
      <c r="E1630" s="44" t="s">
        <v>1232</v>
      </c>
      <c r="F1630" s="44">
        <v>1</v>
      </c>
      <c r="G1630" s="44" t="s">
        <v>151</v>
      </c>
      <c r="H1630" s="44">
        <v>1</v>
      </c>
      <c r="I1630" s="44" t="s">
        <v>1771</v>
      </c>
      <c r="J1630" s="44" t="s">
        <v>354</v>
      </c>
      <c r="K1630" s="44" t="s">
        <v>44</v>
      </c>
      <c r="L1630" s="45"/>
      <c r="M1630" s="44" t="s">
        <v>171</v>
      </c>
      <c r="N1630" s="44">
        <v>900185816</v>
      </c>
      <c r="O1630" s="46">
        <v>6133613</v>
      </c>
      <c r="P1630" s="7"/>
      <c r="Q16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0" s="9">
        <f>+IFERROR(VLOOKUP(Tabla3[[#This Row],[Cliente factura]],Tabla4[[NIT]:[TOTAL CREDITO]],6,FALSE),0)</f>
        <v>0</v>
      </c>
      <c r="S1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0" s="10" t="str">
        <f>VLOOKUP(Tabla3[[#This Row],[Razón social cliente factura]]&amp;Tabla3[[#This Row],[Desc. ciudad]],'Estandar de Rutas'!$C$1:$E$553,2,FALSE)</f>
        <v>8.2</v>
      </c>
      <c r="U1630" s="130">
        <f>IFERROR(VLOOKUP(Tabla3[[#This Row],[Referencia]]&amp;Tabla3[[#This Row],[Desc detalle ext 1]],Tabla1[[Referencia-Color]:[Disponibilidad]],3,FALSE),0)</f>
        <v>6</v>
      </c>
      <c r="V1630" s="13"/>
      <c r="W1630" s="17">
        <f>+Tabla3[[#This Row],[Cant. Programada]]*Tabla3[[#This Row],[Precio unit]]</f>
        <v>0</v>
      </c>
      <c r="X1630" s="8"/>
      <c r="Y1630" s="8"/>
      <c r="Z1630" s="8" t="str">
        <f>+Tabla3[[#This Row],[Referencia]]&amp;Tabla3[[#This Row],[Desc detalle ext 1]]</f>
        <v>CB 160F DLX                                       BLANCO PE</v>
      </c>
      <c r="AA1630" s="128" t="e">
        <f>+VLOOKUP(Tabla3[[#This Row],[CODIGO2]],ESTANDAR!$B$3:$C$9,2,FALSE)</f>
        <v>#N/A</v>
      </c>
      <c r="AB1630" s="128" t="str">
        <f>+MID(Tabla3[[#This Row],['# Viaje]],10,1)</f>
        <v/>
      </c>
    </row>
    <row r="1631" spans="1:28" ht="15" hidden="1" customHeight="1">
      <c r="A1631" s="44" t="s">
        <v>1770</v>
      </c>
      <c r="B1631" s="45">
        <v>42950</v>
      </c>
      <c r="C1631" s="44" t="s">
        <v>1231</v>
      </c>
      <c r="D1631" s="44" t="s">
        <v>1487</v>
      </c>
      <c r="E1631" s="44" t="s">
        <v>1232</v>
      </c>
      <c r="F1631" s="44">
        <v>2</v>
      </c>
      <c r="G1631" s="44" t="s">
        <v>151</v>
      </c>
      <c r="H1631" s="44">
        <v>2</v>
      </c>
      <c r="I1631" s="44" t="s">
        <v>1771</v>
      </c>
      <c r="J1631" s="44" t="s">
        <v>1453</v>
      </c>
      <c r="K1631" s="44" t="s">
        <v>11</v>
      </c>
      <c r="L1631" s="45"/>
      <c r="M1631" s="44" t="s">
        <v>171</v>
      </c>
      <c r="N1631" s="44">
        <v>900185816</v>
      </c>
      <c r="O1631" s="46">
        <v>7730252</v>
      </c>
      <c r="P1631" s="7"/>
      <c r="Q16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1" s="9">
        <f>+IFERROR(VLOOKUP(Tabla3[[#This Row],[Cliente factura]],Tabla4[[NIT]:[TOTAL CREDITO]],6,FALSE),0)</f>
        <v>0</v>
      </c>
      <c r="S1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1" s="10" t="str">
        <f>VLOOKUP(Tabla3[[#This Row],[Razón social cliente factura]]&amp;Tabla3[[#This Row],[Desc. ciudad]],'Estandar de Rutas'!$C$1:$E$553,2,FALSE)</f>
        <v>8.2</v>
      </c>
      <c r="U1631" s="130">
        <f>IFERROR(VLOOKUP(Tabla3[[#This Row],[Referencia]]&amp;Tabla3[[#This Row],[Desc detalle ext 1]],Tabla1[[Referencia-Color]:[Disponibilidad]],3,FALSE),0)</f>
        <v>0</v>
      </c>
      <c r="V1631" s="13"/>
      <c r="W1631" s="17">
        <f>+Tabla3[[#This Row],[Cant. Programada]]*Tabla3[[#This Row],[Precio unit]]</f>
        <v>0</v>
      </c>
      <c r="X1631" s="8"/>
      <c r="Y1631" s="8"/>
      <c r="Z1631" s="8" t="str">
        <f>+Tabla3[[#This Row],[Referencia]]&amp;Tabla3[[#This Row],[Desc detalle ext 1]]</f>
        <v>CB 190R INSTINTO R                                NEGRO ONI</v>
      </c>
      <c r="AA1631" s="128" t="e">
        <f>+VLOOKUP(Tabla3[[#This Row],[CODIGO2]],ESTANDAR!$B$3:$C$9,2,FALSE)</f>
        <v>#N/A</v>
      </c>
      <c r="AB1631" s="128" t="str">
        <f>+MID(Tabla3[[#This Row],['# Viaje]],10,1)</f>
        <v/>
      </c>
    </row>
    <row r="1632" spans="1:28" ht="15" hidden="1" customHeight="1">
      <c r="A1632" s="44" t="s">
        <v>1770</v>
      </c>
      <c r="B1632" s="45">
        <v>42950</v>
      </c>
      <c r="C1632" s="44" t="s">
        <v>1231</v>
      </c>
      <c r="D1632" s="44" t="s">
        <v>1487</v>
      </c>
      <c r="E1632" s="44" t="s">
        <v>1232</v>
      </c>
      <c r="F1632" s="44">
        <v>2</v>
      </c>
      <c r="G1632" s="44" t="s">
        <v>151</v>
      </c>
      <c r="H1632" s="44">
        <v>2</v>
      </c>
      <c r="I1632" s="44" t="s">
        <v>1771</v>
      </c>
      <c r="J1632" s="44" t="s">
        <v>1428</v>
      </c>
      <c r="K1632" s="44" t="s">
        <v>1429</v>
      </c>
      <c r="L1632" s="45"/>
      <c r="M1632" s="44" t="s">
        <v>171</v>
      </c>
      <c r="N1632" s="44">
        <v>900185816</v>
      </c>
      <c r="O1632" s="46">
        <v>3067227</v>
      </c>
      <c r="P1632" s="7"/>
      <c r="Q16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2" s="9">
        <f>+IFERROR(VLOOKUP(Tabla3[[#This Row],[Cliente factura]],Tabla4[[NIT]:[TOTAL CREDITO]],6,FALSE),0)</f>
        <v>0</v>
      </c>
      <c r="S1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2" s="10" t="str">
        <f>VLOOKUP(Tabla3[[#This Row],[Razón social cliente factura]]&amp;Tabla3[[#This Row],[Desc. ciudad]],'Estandar de Rutas'!$C$1:$E$553,2,FALSE)</f>
        <v>8.2</v>
      </c>
      <c r="U1632" s="130">
        <f>IFERROR(VLOOKUP(Tabla3[[#This Row],[Referencia]]&amp;Tabla3[[#This Row],[Desc detalle ext 1]],Tabla1[[Referencia-Color]:[Disponibilidad]],3,FALSE),0)</f>
        <v>0</v>
      </c>
      <c r="V1632" s="13"/>
      <c r="W1632" s="17">
        <f>+Tabla3[[#This Row],[Cant. Programada]]*Tabla3[[#This Row],[Precio unit]]</f>
        <v>0</v>
      </c>
      <c r="X1632" s="8"/>
      <c r="Y1632" s="8"/>
      <c r="Z1632" s="8" t="str">
        <f>+Tabla3[[#This Row],[Referencia]]&amp;Tabla3[[#This Row],[Desc detalle ext 1]]</f>
        <v>DREAM  NEO                                        NEGRO AZU</v>
      </c>
      <c r="AA1632" s="128" t="e">
        <f>+VLOOKUP(Tabla3[[#This Row],[CODIGO2]],ESTANDAR!$B$3:$C$9,2,FALSE)</f>
        <v>#N/A</v>
      </c>
      <c r="AB1632" s="128" t="str">
        <f>+MID(Tabla3[[#This Row],['# Viaje]],10,1)</f>
        <v/>
      </c>
    </row>
    <row r="1633" spans="1:28" ht="15" hidden="1" customHeight="1">
      <c r="A1633" s="44" t="s">
        <v>1770</v>
      </c>
      <c r="B1633" s="45">
        <v>42950</v>
      </c>
      <c r="C1633" s="44" t="s">
        <v>1231</v>
      </c>
      <c r="D1633" s="44" t="s">
        <v>1487</v>
      </c>
      <c r="E1633" s="44" t="s">
        <v>1232</v>
      </c>
      <c r="F1633" s="44">
        <v>1</v>
      </c>
      <c r="G1633" s="44" t="s">
        <v>151</v>
      </c>
      <c r="H1633" s="44">
        <v>1</v>
      </c>
      <c r="I1633" s="44" t="s">
        <v>1771</v>
      </c>
      <c r="J1633" s="44" t="s">
        <v>1428</v>
      </c>
      <c r="K1633" s="44" t="s">
        <v>32</v>
      </c>
      <c r="L1633" s="45"/>
      <c r="M1633" s="44" t="s">
        <v>171</v>
      </c>
      <c r="N1633" s="44">
        <v>900185816</v>
      </c>
      <c r="O1633" s="46">
        <v>3067227</v>
      </c>
      <c r="P1633" s="7"/>
      <c r="Q16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3" s="9">
        <f>+IFERROR(VLOOKUP(Tabla3[[#This Row],[Cliente factura]],Tabla4[[NIT]:[TOTAL CREDITO]],6,FALSE),0)</f>
        <v>0</v>
      </c>
      <c r="S1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3" s="10" t="str">
        <f>VLOOKUP(Tabla3[[#This Row],[Razón social cliente factura]]&amp;Tabla3[[#This Row],[Desc. ciudad]],'Estandar de Rutas'!$C$1:$E$553,2,FALSE)</f>
        <v>8.2</v>
      </c>
      <c r="U1633" s="130">
        <f>IFERROR(VLOOKUP(Tabla3[[#This Row],[Referencia]]&amp;Tabla3[[#This Row],[Desc detalle ext 1]],Tabla1[[Referencia-Color]:[Disponibilidad]],3,FALSE),0)</f>
        <v>0</v>
      </c>
      <c r="V1633" s="13"/>
      <c r="W1633" s="17">
        <f>+Tabla3[[#This Row],[Cant. Programada]]*Tabla3[[#This Row],[Precio unit]]</f>
        <v>0</v>
      </c>
      <c r="X1633" s="8"/>
      <c r="Y1633" s="8"/>
      <c r="Z1633" s="8" t="str">
        <f>+Tabla3[[#This Row],[Referencia]]&amp;Tabla3[[#This Row],[Desc detalle ext 1]]</f>
        <v>DREAM  NEO                                        NEGRO ROJ</v>
      </c>
      <c r="AA1633" s="128" t="e">
        <f>+VLOOKUP(Tabla3[[#This Row],[CODIGO2]],ESTANDAR!$B$3:$C$9,2,FALSE)</f>
        <v>#N/A</v>
      </c>
      <c r="AB1633" s="128" t="str">
        <f>+MID(Tabla3[[#This Row],['# Viaje]],10,1)</f>
        <v/>
      </c>
    </row>
    <row r="1634" spans="1:28" ht="15" hidden="1" customHeight="1">
      <c r="A1634" s="44" t="s">
        <v>1770</v>
      </c>
      <c r="B1634" s="45">
        <v>42950</v>
      </c>
      <c r="C1634" s="44" t="s">
        <v>1231</v>
      </c>
      <c r="D1634" s="44" t="s">
        <v>1487</v>
      </c>
      <c r="E1634" s="44" t="s">
        <v>1232</v>
      </c>
      <c r="F1634" s="44">
        <v>1</v>
      </c>
      <c r="G1634" s="44" t="s">
        <v>151</v>
      </c>
      <c r="H1634" s="44">
        <v>1</v>
      </c>
      <c r="I1634" s="44" t="s">
        <v>1771</v>
      </c>
      <c r="J1634" s="44" t="s">
        <v>1234</v>
      </c>
      <c r="K1634" s="44" t="s">
        <v>17</v>
      </c>
      <c r="L1634" s="45"/>
      <c r="M1634" s="44" t="s">
        <v>171</v>
      </c>
      <c r="N1634" s="44">
        <v>900185816</v>
      </c>
      <c r="O1634" s="46">
        <v>5453782</v>
      </c>
      <c r="P1634" s="7"/>
      <c r="Q16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4" s="9">
        <f>+IFERROR(VLOOKUP(Tabla3[[#This Row],[Cliente factura]],Tabla4[[NIT]:[TOTAL CREDITO]],6,FALSE),0)</f>
        <v>0</v>
      </c>
      <c r="S1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4" s="10" t="str">
        <f>VLOOKUP(Tabla3[[#This Row],[Razón social cliente factura]]&amp;Tabla3[[#This Row],[Desc. ciudad]],'Estandar de Rutas'!$C$1:$E$553,2,FALSE)</f>
        <v>8.2</v>
      </c>
      <c r="U1634" s="130">
        <f>IFERROR(VLOOKUP(Tabla3[[#This Row],[Referencia]]&amp;Tabla3[[#This Row],[Desc detalle ext 1]],Tabla1[[Referencia-Color]:[Disponibilidad]],3,FALSE),0)</f>
        <v>0</v>
      </c>
      <c r="V1634" s="13"/>
      <c r="W1634" s="17">
        <f>+Tabla3[[#This Row],[Cant. Programada]]*Tabla3[[#This Row],[Precio unit]]</f>
        <v>0</v>
      </c>
      <c r="X1634" s="8"/>
      <c r="Y1634" s="8"/>
      <c r="Z1634" s="8" t="str">
        <f>+Tabla3[[#This Row],[Referencia]]&amp;Tabla3[[#This Row],[Desc detalle ext 1]]</f>
        <v>CB 160F STD                                       ROJO SPOR</v>
      </c>
      <c r="AA1634" s="128" t="e">
        <f>+VLOOKUP(Tabla3[[#This Row],[CODIGO2]],ESTANDAR!$B$3:$C$9,2,FALSE)</f>
        <v>#N/A</v>
      </c>
      <c r="AB1634" s="128" t="str">
        <f>+MID(Tabla3[[#This Row],['# Viaje]],10,1)</f>
        <v/>
      </c>
    </row>
    <row r="1635" spans="1:28" ht="15" hidden="1" customHeight="1">
      <c r="A1635" s="44" t="s">
        <v>1770</v>
      </c>
      <c r="B1635" s="45">
        <v>42950</v>
      </c>
      <c r="C1635" s="44" t="s">
        <v>1231</v>
      </c>
      <c r="D1635" s="44" t="s">
        <v>1487</v>
      </c>
      <c r="E1635" s="44" t="s">
        <v>1232</v>
      </c>
      <c r="F1635" s="44">
        <v>2</v>
      </c>
      <c r="G1635" s="44" t="s">
        <v>151</v>
      </c>
      <c r="H1635" s="44">
        <v>2</v>
      </c>
      <c r="I1635" s="44" t="s">
        <v>1771</v>
      </c>
      <c r="J1635" s="44" t="s">
        <v>1234</v>
      </c>
      <c r="K1635" s="44" t="s">
        <v>355</v>
      </c>
      <c r="L1635" s="45"/>
      <c r="M1635" s="44" t="s">
        <v>171</v>
      </c>
      <c r="N1635" s="44">
        <v>900185816</v>
      </c>
      <c r="O1635" s="46">
        <v>5453782</v>
      </c>
      <c r="P1635" s="7"/>
      <c r="Q16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5" s="9">
        <f>+IFERROR(VLOOKUP(Tabla3[[#This Row],[Cliente factura]],Tabla4[[NIT]:[TOTAL CREDITO]],6,FALSE),0)</f>
        <v>0</v>
      </c>
      <c r="S1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5" s="10" t="str">
        <f>VLOOKUP(Tabla3[[#This Row],[Razón social cliente factura]]&amp;Tabla3[[#This Row],[Desc. ciudad]],'Estandar de Rutas'!$C$1:$E$553,2,FALSE)</f>
        <v>8.2</v>
      </c>
      <c r="U1635" s="130">
        <f>IFERROR(VLOOKUP(Tabla3[[#This Row],[Referencia]]&amp;Tabla3[[#This Row],[Desc detalle ext 1]],Tabla1[[Referencia-Color]:[Disponibilidad]],3,FALSE),0)</f>
        <v>0</v>
      </c>
      <c r="V1635" s="13"/>
      <c r="W1635" s="17">
        <f>+Tabla3[[#This Row],[Cant. Programada]]*Tabla3[[#This Row],[Precio unit]]</f>
        <v>0</v>
      </c>
      <c r="X1635" s="8"/>
      <c r="Y1635" s="8"/>
      <c r="Z1635" s="8" t="str">
        <f>+Tabla3[[#This Row],[Referencia]]&amp;Tabla3[[#This Row],[Desc detalle ext 1]]</f>
        <v>CB 160F STD                                       NEGRO PER</v>
      </c>
      <c r="AA1635" s="128" t="e">
        <f>+VLOOKUP(Tabla3[[#This Row],[CODIGO2]],ESTANDAR!$B$3:$C$9,2,FALSE)</f>
        <v>#N/A</v>
      </c>
      <c r="AB1635" s="128" t="str">
        <f>+MID(Tabla3[[#This Row],['# Viaje]],10,1)</f>
        <v/>
      </c>
    </row>
    <row r="1636" spans="1:28" ht="15" hidden="1" customHeight="1">
      <c r="A1636" s="44" t="s">
        <v>1770</v>
      </c>
      <c r="B1636" s="45">
        <v>42950</v>
      </c>
      <c r="C1636" s="44" t="s">
        <v>1231</v>
      </c>
      <c r="D1636" s="44" t="s">
        <v>1487</v>
      </c>
      <c r="E1636" s="44" t="s">
        <v>1232</v>
      </c>
      <c r="F1636" s="44">
        <v>1</v>
      </c>
      <c r="G1636" s="44" t="s">
        <v>151</v>
      </c>
      <c r="H1636" s="44">
        <v>1</v>
      </c>
      <c r="I1636" s="44" t="s">
        <v>1771</v>
      </c>
      <c r="J1636" s="44" t="s">
        <v>1234</v>
      </c>
      <c r="K1636" s="44" t="s">
        <v>44</v>
      </c>
      <c r="L1636" s="45"/>
      <c r="M1636" s="44" t="s">
        <v>171</v>
      </c>
      <c r="N1636" s="44">
        <v>900185816</v>
      </c>
      <c r="O1636" s="46">
        <v>5453782</v>
      </c>
      <c r="P1636" s="7"/>
      <c r="Q16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6" s="9">
        <f>+IFERROR(VLOOKUP(Tabla3[[#This Row],[Cliente factura]],Tabla4[[NIT]:[TOTAL CREDITO]],6,FALSE),0)</f>
        <v>0</v>
      </c>
      <c r="S1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6" s="10" t="str">
        <f>VLOOKUP(Tabla3[[#This Row],[Razón social cliente factura]]&amp;Tabla3[[#This Row],[Desc. ciudad]],'Estandar de Rutas'!$C$1:$E$553,2,FALSE)</f>
        <v>8.2</v>
      </c>
      <c r="U1636" s="130">
        <f>IFERROR(VLOOKUP(Tabla3[[#This Row],[Referencia]]&amp;Tabla3[[#This Row],[Desc detalle ext 1]],Tabla1[[Referencia-Color]:[Disponibilidad]],3,FALSE),0)</f>
        <v>1</v>
      </c>
      <c r="V1636" s="13"/>
      <c r="W1636" s="17">
        <f>+Tabla3[[#This Row],[Cant. Programada]]*Tabla3[[#This Row],[Precio unit]]</f>
        <v>0</v>
      </c>
      <c r="X1636" s="8"/>
      <c r="Y1636" s="8"/>
      <c r="Z1636" s="8" t="str">
        <f>+Tabla3[[#This Row],[Referencia]]&amp;Tabla3[[#This Row],[Desc detalle ext 1]]</f>
        <v>CB 160F STD                                       BLANCO PE</v>
      </c>
      <c r="AA1636" s="128" t="e">
        <f>+VLOOKUP(Tabla3[[#This Row],[CODIGO2]],ESTANDAR!$B$3:$C$9,2,FALSE)</f>
        <v>#N/A</v>
      </c>
      <c r="AB1636" s="128" t="str">
        <f>+MID(Tabla3[[#This Row],['# Viaje]],10,1)</f>
        <v/>
      </c>
    </row>
    <row r="1637" spans="1:28" ht="15" hidden="1" customHeight="1">
      <c r="A1637" s="44" t="s">
        <v>1770</v>
      </c>
      <c r="B1637" s="45">
        <v>42950</v>
      </c>
      <c r="C1637" s="44" t="s">
        <v>1231</v>
      </c>
      <c r="D1637" s="44" t="s">
        <v>1487</v>
      </c>
      <c r="E1637" s="44" t="s">
        <v>1232</v>
      </c>
      <c r="F1637" s="44">
        <v>1</v>
      </c>
      <c r="G1637" s="44" t="s">
        <v>151</v>
      </c>
      <c r="H1637" s="44">
        <v>1</v>
      </c>
      <c r="I1637" s="44" t="s">
        <v>1771</v>
      </c>
      <c r="J1637" s="44" t="s">
        <v>1451</v>
      </c>
      <c r="K1637" s="44" t="s">
        <v>16</v>
      </c>
      <c r="L1637" s="45"/>
      <c r="M1637" s="44" t="s">
        <v>171</v>
      </c>
      <c r="N1637" s="44">
        <v>900185816</v>
      </c>
      <c r="O1637" s="46">
        <v>3696639</v>
      </c>
      <c r="P1637" s="7"/>
      <c r="Q16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7" s="9">
        <f>+IFERROR(VLOOKUP(Tabla3[[#This Row],[Cliente factura]],Tabla4[[NIT]:[TOTAL CREDITO]],6,FALSE),0)</f>
        <v>0</v>
      </c>
      <c r="S1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7" s="10" t="str">
        <f>VLOOKUP(Tabla3[[#This Row],[Razón social cliente factura]]&amp;Tabla3[[#This Row],[Desc. ciudad]],'Estandar de Rutas'!$C$1:$E$553,2,FALSE)</f>
        <v>8.2</v>
      </c>
      <c r="U1637" s="130">
        <f>IFERROR(VLOOKUP(Tabla3[[#This Row],[Referencia]]&amp;Tabla3[[#This Row],[Desc detalle ext 1]],Tabla1[[Referencia-Color]:[Disponibilidad]],3,FALSE),0)</f>
        <v>3</v>
      </c>
      <c r="V1637" s="13"/>
      <c r="W1637" s="17">
        <f>+Tabla3[[#This Row],[Cant. Programada]]*Tabla3[[#This Row],[Precio unit]]</f>
        <v>0</v>
      </c>
      <c r="X1637" s="8"/>
      <c r="Y1637" s="8"/>
      <c r="Z1637" s="8" t="str">
        <f>+Tabla3[[#This Row],[Referencia]]&amp;Tabla3[[#This Row],[Desc detalle ext 1]]</f>
        <v xml:space="preserve">CB 110 DLX                                        NEGRO    </v>
      </c>
      <c r="AA1637" s="128" t="e">
        <f>+VLOOKUP(Tabla3[[#This Row],[CODIGO2]],ESTANDAR!$B$3:$C$9,2,FALSE)</f>
        <v>#N/A</v>
      </c>
      <c r="AB1637" s="128" t="str">
        <f>+MID(Tabla3[[#This Row],['# Viaje]],10,1)</f>
        <v/>
      </c>
    </row>
    <row r="1638" spans="1:28" ht="15" hidden="1" customHeight="1">
      <c r="A1638" s="44" t="s">
        <v>1773</v>
      </c>
      <c r="B1638" s="45">
        <v>42950</v>
      </c>
      <c r="C1638" s="44" t="s">
        <v>1231</v>
      </c>
      <c r="D1638" s="44" t="s">
        <v>1487</v>
      </c>
      <c r="E1638" s="44" t="s">
        <v>1232</v>
      </c>
      <c r="F1638" s="44">
        <v>1</v>
      </c>
      <c r="G1638" s="44" t="s">
        <v>151</v>
      </c>
      <c r="H1638" s="44">
        <v>1</v>
      </c>
      <c r="I1638" s="44" t="s">
        <v>1774</v>
      </c>
      <c r="J1638" s="44" t="s">
        <v>1421</v>
      </c>
      <c r="K1638" s="44" t="s">
        <v>1434</v>
      </c>
      <c r="L1638" s="45"/>
      <c r="M1638" s="44" t="s">
        <v>150</v>
      </c>
      <c r="N1638" s="44">
        <v>900185816</v>
      </c>
      <c r="O1638" s="46">
        <v>11496063</v>
      </c>
      <c r="P1638" s="7"/>
      <c r="Q16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8" s="9">
        <f>+IFERROR(VLOOKUP(Tabla3[[#This Row],[Cliente factura]],Tabla4[[NIT]:[TOTAL CREDITO]],6,FALSE),0)</f>
        <v>0</v>
      </c>
      <c r="S1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8" s="10" t="str">
        <f>VLOOKUP(Tabla3[[#This Row],[Razón social cliente factura]]&amp;Tabla3[[#This Row],[Desc. ciudad]],'Estandar de Rutas'!$C$1:$E$553,2,FALSE)</f>
        <v>8.1</v>
      </c>
      <c r="U1638" s="130">
        <f>IFERROR(VLOOKUP(Tabla3[[#This Row],[Referencia]]&amp;Tabla3[[#This Row],[Desc detalle ext 1]],Tabla1[[Referencia-Color]:[Disponibilidad]],3,FALSE),0)</f>
        <v>0</v>
      </c>
      <c r="V1638" s="13"/>
      <c r="W1638" s="17">
        <f>+Tabla3[[#This Row],[Cant. Programada]]*Tabla3[[#This Row],[Precio unit]]</f>
        <v>0</v>
      </c>
      <c r="X1638" s="8"/>
      <c r="Y1638" s="8"/>
      <c r="Z1638" s="8" t="str">
        <f>+Tabla3[[#This Row],[Referencia]]&amp;Tabla3[[#This Row],[Desc detalle ext 1]]</f>
        <v>*XR-250 TORNADO pt MD34                           BLANCO NE</v>
      </c>
      <c r="AA1638" s="128" t="e">
        <f>+VLOOKUP(Tabla3[[#This Row],[CODIGO2]],ESTANDAR!$B$3:$C$9,2,FALSE)</f>
        <v>#N/A</v>
      </c>
      <c r="AB1638" s="128" t="str">
        <f>+MID(Tabla3[[#This Row],['# Viaje]],10,1)</f>
        <v/>
      </c>
    </row>
    <row r="1639" spans="1:28" ht="15" hidden="1" customHeight="1">
      <c r="A1639" s="44" t="s">
        <v>1773</v>
      </c>
      <c r="B1639" s="45">
        <v>42950</v>
      </c>
      <c r="C1639" s="44" t="s">
        <v>1231</v>
      </c>
      <c r="D1639" s="44" t="s">
        <v>1487</v>
      </c>
      <c r="E1639" s="44" t="s">
        <v>1232</v>
      </c>
      <c r="F1639" s="44">
        <v>1</v>
      </c>
      <c r="G1639" s="44" t="s">
        <v>151</v>
      </c>
      <c r="H1639" s="44">
        <v>1</v>
      </c>
      <c r="I1639" s="44" t="s">
        <v>1774</v>
      </c>
      <c r="J1639" s="44" t="s">
        <v>1421</v>
      </c>
      <c r="K1639" s="44" t="s">
        <v>16</v>
      </c>
      <c r="L1639" s="45"/>
      <c r="M1639" s="44" t="s">
        <v>150</v>
      </c>
      <c r="N1639" s="44">
        <v>900185816</v>
      </c>
      <c r="O1639" s="46">
        <v>11496063</v>
      </c>
      <c r="P1639" s="7"/>
      <c r="Q16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9" s="9">
        <f>+IFERROR(VLOOKUP(Tabla3[[#This Row],[Cliente factura]],Tabla4[[NIT]:[TOTAL CREDITO]],6,FALSE),0)</f>
        <v>0</v>
      </c>
      <c r="S1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9" s="10" t="str">
        <f>VLOOKUP(Tabla3[[#This Row],[Razón social cliente factura]]&amp;Tabla3[[#This Row],[Desc. ciudad]],'Estandar de Rutas'!$C$1:$E$553,2,FALSE)</f>
        <v>8.1</v>
      </c>
      <c r="U1639" s="130">
        <f>IFERROR(VLOOKUP(Tabla3[[#This Row],[Referencia]]&amp;Tabla3[[#This Row],[Desc detalle ext 1]],Tabla1[[Referencia-Color]:[Disponibilidad]],3,FALSE),0)</f>
        <v>0</v>
      </c>
      <c r="V1639" s="13"/>
      <c r="W1639" s="17">
        <f>+Tabla3[[#This Row],[Cant. Programada]]*Tabla3[[#This Row],[Precio unit]]</f>
        <v>0</v>
      </c>
      <c r="X1639" s="8"/>
      <c r="Y1639" s="8"/>
      <c r="Z1639" s="8" t="str">
        <f>+Tabla3[[#This Row],[Referencia]]&amp;Tabla3[[#This Row],[Desc detalle ext 1]]</f>
        <v xml:space="preserve">*XR-250 TORNADO pt MD34                           NEGRO    </v>
      </c>
      <c r="AA1639" s="128" t="e">
        <f>+VLOOKUP(Tabla3[[#This Row],[CODIGO2]],ESTANDAR!$B$3:$C$9,2,FALSE)</f>
        <v>#N/A</v>
      </c>
      <c r="AB1639" s="128" t="str">
        <f>+MID(Tabla3[[#This Row],['# Viaje]],10,1)</f>
        <v/>
      </c>
    </row>
    <row r="1640" spans="1:28" ht="15" hidden="1" customHeight="1">
      <c r="A1640" s="44" t="s">
        <v>1773</v>
      </c>
      <c r="B1640" s="45">
        <v>42950</v>
      </c>
      <c r="C1640" s="44" t="s">
        <v>1231</v>
      </c>
      <c r="D1640" s="44" t="s">
        <v>1487</v>
      </c>
      <c r="E1640" s="44" t="s">
        <v>1232</v>
      </c>
      <c r="F1640" s="44">
        <v>1</v>
      </c>
      <c r="G1640" s="44" t="s">
        <v>151</v>
      </c>
      <c r="H1640" s="44">
        <v>1</v>
      </c>
      <c r="I1640" s="44" t="s">
        <v>1774</v>
      </c>
      <c r="J1640" s="44" t="s">
        <v>14</v>
      </c>
      <c r="K1640" s="44" t="s">
        <v>16</v>
      </c>
      <c r="L1640" s="45"/>
      <c r="M1640" s="44" t="s">
        <v>150</v>
      </c>
      <c r="N1640" s="44">
        <v>900185816</v>
      </c>
      <c r="O1640" s="46">
        <v>3360504</v>
      </c>
      <c r="P1640" s="7"/>
      <c r="Q16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0" s="9">
        <f>+IFERROR(VLOOKUP(Tabla3[[#This Row],[Cliente factura]],Tabla4[[NIT]:[TOTAL CREDITO]],6,FALSE),0)</f>
        <v>0</v>
      </c>
      <c r="S1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0" s="10" t="str">
        <f>VLOOKUP(Tabla3[[#This Row],[Razón social cliente factura]]&amp;Tabla3[[#This Row],[Desc. ciudad]],'Estandar de Rutas'!$C$1:$E$553,2,FALSE)</f>
        <v>8.1</v>
      </c>
      <c r="U1640" s="130">
        <f>IFERROR(VLOOKUP(Tabla3[[#This Row],[Referencia]]&amp;Tabla3[[#This Row],[Desc detalle ext 1]],Tabla1[[Referencia-Color]:[Disponibilidad]],3,FALSE),0)</f>
        <v>83</v>
      </c>
      <c r="V1640" s="13"/>
      <c r="W1640" s="17">
        <f>+Tabla3[[#This Row],[Cant. Programada]]*Tabla3[[#This Row],[Precio unit]]</f>
        <v>0</v>
      </c>
      <c r="X1640" s="8"/>
      <c r="Y1640" s="8"/>
      <c r="Z1640" s="8" t="str">
        <f>+Tabla3[[#This Row],[Referencia]]&amp;Tabla3[[#This Row],[Desc detalle ext 1]]</f>
        <v xml:space="preserve">*CB-110                                           NEGRO    </v>
      </c>
      <c r="AA1640" s="128" t="e">
        <f>+VLOOKUP(Tabla3[[#This Row],[CODIGO2]],ESTANDAR!$B$3:$C$9,2,FALSE)</f>
        <v>#N/A</v>
      </c>
      <c r="AB1640" s="128" t="str">
        <f>+MID(Tabla3[[#This Row],['# Viaje]],10,1)</f>
        <v/>
      </c>
    </row>
    <row r="1641" spans="1:28" ht="15" hidden="1" customHeight="1">
      <c r="A1641" s="44" t="s">
        <v>1773</v>
      </c>
      <c r="B1641" s="45">
        <v>42950</v>
      </c>
      <c r="C1641" s="44" t="s">
        <v>1231</v>
      </c>
      <c r="D1641" s="44" t="s">
        <v>1487</v>
      </c>
      <c r="E1641" s="44" t="s">
        <v>1232</v>
      </c>
      <c r="F1641" s="44">
        <v>1</v>
      </c>
      <c r="G1641" s="44" t="s">
        <v>151</v>
      </c>
      <c r="H1641" s="44">
        <v>1</v>
      </c>
      <c r="I1641" s="44" t="s">
        <v>1774</v>
      </c>
      <c r="J1641" s="44" t="s">
        <v>27</v>
      </c>
      <c r="K1641" s="44" t="s">
        <v>32</v>
      </c>
      <c r="L1641" s="45"/>
      <c r="M1641" s="44" t="s">
        <v>150</v>
      </c>
      <c r="N1641" s="44">
        <v>900185816</v>
      </c>
      <c r="O1641" s="46">
        <v>5789916</v>
      </c>
      <c r="P1641" s="7"/>
      <c r="Q16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1" s="9">
        <f>+IFERROR(VLOOKUP(Tabla3[[#This Row],[Cliente factura]],Tabla4[[NIT]:[TOTAL CREDITO]],6,FALSE),0)</f>
        <v>0</v>
      </c>
      <c r="S1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1" s="10" t="str">
        <f>VLOOKUP(Tabla3[[#This Row],[Razón social cliente factura]]&amp;Tabla3[[#This Row],[Desc. ciudad]],'Estandar de Rutas'!$C$1:$E$553,2,FALSE)</f>
        <v>8.1</v>
      </c>
      <c r="U1641" s="130">
        <f>IFERROR(VLOOKUP(Tabla3[[#This Row],[Referencia]]&amp;Tabla3[[#This Row],[Desc detalle ext 1]],Tabla1[[Referencia-Color]:[Disponibilidad]],3,FALSE),0)</f>
        <v>7</v>
      </c>
      <c r="V1641" s="13"/>
      <c r="W1641" s="17">
        <f>+Tabla3[[#This Row],[Cant. Programada]]*Tabla3[[#This Row],[Precio unit]]</f>
        <v>0</v>
      </c>
      <c r="X1641" s="8"/>
      <c r="Y1641" s="8"/>
      <c r="Z1641" s="8" t="str">
        <f>+Tabla3[[#This Row],[Referencia]]&amp;Tabla3[[#This Row],[Desc detalle ext 1]]</f>
        <v>*XR 150L                                          NEGRO ROJ</v>
      </c>
      <c r="AA1641" s="128" t="e">
        <f>+VLOOKUP(Tabla3[[#This Row],[CODIGO2]],ESTANDAR!$B$3:$C$9,2,FALSE)</f>
        <v>#N/A</v>
      </c>
      <c r="AB1641" s="128" t="str">
        <f>+MID(Tabla3[[#This Row],['# Viaje]],10,1)</f>
        <v/>
      </c>
    </row>
    <row r="1642" spans="1:28" ht="15" hidden="1" customHeight="1">
      <c r="A1642" s="44" t="s">
        <v>1773</v>
      </c>
      <c r="B1642" s="45">
        <v>42950</v>
      </c>
      <c r="C1642" s="44" t="s">
        <v>1231</v>
      </c>
      <c r="D1642" s="44" t="s">
        <v>1487</v>
      </c>
      <c r="E1642" s="44" t="s">
        <v>1232</v>
      </c>
      <c r="F1642" s="44">
        <v>1</v>
      </c>
      <c r="G1642" s="44" t="s">
        <v>151</v>
      </c>
      <c r="H1642" s="44">
        <v>1</v>
      </c>
      <c r="I1642" s="44" t="s">
        <v>1774</v>
      </c>
      <c r="J1642" s="44" t="s">
        <v>27</v>
      </c>
      <c r="K1642" s="44" t="s">
        <v>26</v>
      </c>
      <c r="L1642" s="45"/>
      <c r="M1642" s="44" t="s">
        <v>150</v>
      </c>
      <c r="N1642" s="44">
        <v>900185816</v>
      </c>
      <c r="O1642" s="46">
        <v>5789916</v>
      </c>
      <c r="P1642" s="7"/>
      <c r="Q16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2" s="9">
        <f>+IFERROR(VLOOKUP(Tabla3[[#This Row],[Cliente factura]],Tabla4[[NIT]:[TOTAL CREDITO]],6,FALSE),0)</f>
        <v>0</v>
      </c>
      <c r="S1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2" s="10" t="str">
        <f>VLOOKUP(Tabla3[[#This Row],[Razón social cliente factura]]&amp;Tabla3[[#This Row],[Desc. ciudad]],'Estandar de Rutas'!$C$1:$E$553,2,FALSE)</f>
        <v>8.1</v>
      </c>
      <c r="U1642" s="130">
        <f>IFERROR(VLOOKUP(Tabla3[[#This Row],[Referencia]]&amp;Tabla3[[#This Row],[Desc detalle ext 1]],Tabla1[[Referencia-Color]:[Disponibilidad]],3,FALSE),0)</f>
        <v>59</v>
      </c>
      <c r="V1642" s="13"/>
      <c r="W1642" s="17">
        <f>+Tabla3[[#This Row],[Cant. Programada]]*Tabla3[[#This Row],[Precio unit]]</f>
        <v>0</v>
      </c>
      <c r="X1642" s="8"/>
      <c r="Y1642" s="8"/>
      <c r="Z1642" s="8" t="str">
        <f>+Tabla3[[#This Row],[Referencia]]&amp;Tabla3[[#This Row],[Desc detalle ext 1]]</f>
        <v>*XR 150L                                          NEGRO BLA</v>
      </c>
      <c r="AA1642" s="128" t="e">
        <f>+VLOOKUP(Tabla3[[#This Row],[CODIGO2]],ESTANDAR!$B$3:$C$9,2,FALSE)</f>
        <v>#N/A</v>
      </c>
      <c r="AB1642" s="128" t="str">
        <f>+MID(Tabla3[[#This Row],['# Viaje]],10,1)</f>
        <v/>
      </c>
    </row>
    <row r="1643" spans="1:28" ht="15" hidden="1" customHeight="1">
      <c r="A1643" s="44" t="s">
        <v>1773</v>
      </c>
      <c r="B1643" s="45">
        <v>42950</v>
      </c>
      <c r="C1643" s="44" t="s">
        <v>1231</v>
      </c>
      <c r="D1643" s="44" t="s">
        <v>1487</v>
      </c>
      <c r="E1643" s="44" t="s">
        <v>1232</v>
      </c>
      <c r="F1643" s="44">
        <v>1</v>
      </c>
      <c r="G1643" s="44" t="s">
        <v>151</v>
      </c>
      <c r="H1643" s="44">
        <v>1</v>
      </c>
      <c r="I1643" s="44" t="s">
        <v>1774</v>
      </c>
      <c r="J1643" s="44" t="s">
        <v>10</v>
      </c>
      <c r="K1643" s="44" t="s">
        <v>11</v>
      </c>
      <c r="L1643" s="45"/>
      <c r="M1643" s="44" t="s">
        <v>150</v>
      </c>
      <c r="N1643" s="44">
        <v>900185816</v>
      </c>
      <c r="O1643" s="46">
        <v>7554622</v>
      </c>
      <c r="P1643" s="7"/>
      <c r="Q16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3" s="9">
        <f>+IFERROR(VLOOKUP(Tabla3[[#This Row],[Cliente factura]],Tabla4[[NIT]:[TOTAL CREDITO]],6,FALSE),0)</f>
        <v>0</v>
      </c>
      <c r="S1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3" s="10" t="str">
        <f>VLOOKUP(Tabla3[[#This Row],[Razón social cliente factura]]&amp;Tabla3[[#This Row],[Desc. ciudad]],'Estandar de Rutas'!$C$1:$E$553,2,FALSE)</f>
        <v>8.1</v>
      </c>
      <c r="U1643" s="130">
        <f>IFERROR(VLOOKUP(Tabla3[[#This Row],[Referencia]]&amp;Tabla3[[#This Row],[Desc detalle ext 1]],Tabla1[[Referencia-Color]:[Disponibilidad]],3,FALSE),0)</f>
        <v>0</v>
      </c>
      <c r="V1643" s="13"/>
      <c r="W1643" s="17">
        <f>+Tabla3[[#This Row],[Cant. Programada]]*Tabla3[[#This Row],[Precio unit]]</f>
        <v>0</v>
      </c>
      <c r="X1643" s="8"/>
      <c r="Y1643" s="8"/>
      <c r="Z1643" s="8" t="str">
        <f>+Tabla3[[#This Row],[Referencia]]&amp;Tabla3[[#This Row],[Desc detalle ext 1]]</f>
        <v>CB 190R                                           NEGRO ONI</v>
      </c>
      <c r="AA1643" s="128" t="e">
        <f>+VLOOKUP(Tabla3[[#This Row],[CODIGO2]],ESTANDAR!$B$3:$C$9,2,FALSE)</f>
        <v>#N/A</v>
      </c>
      <c r="AB1643" s="128" t="str">
        <f>+MID(Tabla3[[#This Row],['# Viaje]],10,1)</f>
        <v/>
      </c>
    </row>
    <row r="1644" spans="1:28" ht="15" hidden="1" customHeight="1">
      <c r="A1644" s="44" t="s">
        <v>1773</v>
      </c>
      <c r="B1644" s="45">
        <v>42950</v>
      </c>
      <c r="C1644" s="44" t="s">
        <v>1231</v>
      </c>
      <c r="D1644" s="44" t="s">
        <v>1487</v>
      </c>
      <c r="E1644" s="44" t="s">
        <v>1232</v>
      </c>
      <c r="F1644" s="44">
        <v>1</v>
      </c>
      <c r="G1644" s="44" t="s">
        <v>151</v>
      </c>
      <c r="H1644" s="44">
        <v>1</v>
      </c>
      <c r="I1644" s="44" t="s">
        <v>1774</v>
      </c>
      <c r="J1644" s="44" t="s">
        <v>25</v>
      </c>
      <c r="K1644" s="44" t="s">
        <v>26</v>
      </c>
      <c r="L1644" s="45"/>
      <c r="M1644" s="44" t="s">
        <v>150</v>
      </c>
      <c r="N1644" s="44">
        <v>900185816</v>
      </c>
      <c r="O1644" s="46">
        <v>3521008</v>
      </c>
      <c r="P1644" s="7"/>
      <c r="Q16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4" s="9">
        <f>+IFERROR(VLOOKUP(Tabla3[[#This Row],[Cliente factura]],Tabla4[[NIT]:[TOTAL CREDITO]],6,FALSE),0)</f>
        <v>0</v>
      </c>
      <c r="S1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4" s="10" t="str">
        <f>VLOOKUP(Tabla3[[#This Row],[Razón social cliente factura]]&amp;Tabla3[[#This Row],[Desc. ciudad]],'Estandar de Rutas'!$C$1:$E$553,2,FALSE)</f>
        <v>8.1</v>
      </c>
      <c r="U1644" s="130">
        <f>IFERROR(VLOOKUP(Tabla3[[#This Row],[Referencia]]&amp;Tabla3[[#This Row],[Desc detalle ext 1]],Tabla1[[Referencia-Color]:[Disponibilidad]],3,FALSE),0)</f>
        <v>15</v>
      </c>
      <c r="V1644" s="13"/>
      <c r="W1644" s="17">
        <f>+Tabla3[[#This Row],[Cant. Programada]]*Tabla3[[#This Row],[Precio unit]]</f>
        <v>0</v>
      </c>
      <c r="X1644" s="8"/>
      <c r="Y1644" s="8"/>
      <c r="Z1644" s="8" t="str">
        <f>+Tabla3[[#This Row],[Referencia]]&amp;Tabla3[[#This Row],[Desc detalle ext 1]]</f>
        <v>DIO 110                                           NEGRO BLA</v>
      </c>
      <c r="AA1644" s="128" t="e">
        <f>+VLOOKUP(Tabla3[[#This Row],[CODIGO2]],ESTANDAR!$B$3:$C$9,2,FALSE)</f>
        <v>#N/A</v>
      </c>
      <c r="AB1644" s="128" t="str">
        <f>+MID(Tabla3[[#This Row],['# Viaje]],10,1)</f>
        <v/>
      </c>
    </row>
    <row r="1645" spans="1:28" ht="15" hidden="1" customHeight="1">
      <c r="A1645" s="44" t="s">
        <v>1773</v>
      </c>
      <c r="B1645" s="45">
        <v>42950</v>
      </c>
      <c r="C1645" s="44" t="s">
        <v>1231</v>
      </c>
      <c r="D1645" s="44" t="s">
        <v>1487</v>
      </c>
      <c r="E1645" s="44" t="s">
        <v>1232</v>
      </c>
      <c r="F1645" s="44">
        <v>1</v>
      </c>
      <c r="G1645" s="44" t="s">
        <v>151</v>
      </c>
      <c r="H1645" s="44">
        <v>1</v>
      </c>
      <c r="I1645" s="44" t="s">
        <v>1774</v>
      </c>
      <c r="J1645" s="44" t="s">
        <v>354</v>
      </c>
      <c r="K1645" s="44" t="s">
        <v>355</v>
      </c>
      <c r="L1645" s="45"/>
      <c r="M1645" s="44" t="s">
        <v>150</v>
      </c>
      <c r="N1645" s="44">
        <v>900185816</v>
      </c>
      <c r="O1645" s="46">
        <v>6133613</v>
      </c>
      <c r="P1645" s="7"/>
      <c r="Q16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5" s="9">
        <f>+IFERROR(VLOOKUP(Tabla3[[#This Row],[Cliente factura]],Tabla4[[NIT]:[TOTAL CREDITO]],6,FALSE),0)</f>
        <v>0</v>
      </c>
      <c r="S1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5" s="10" t="str">
        <f>VLOOKUP(Tabla3[[#This Row],[Razón social cliente factura]]&amp;Tabla3[[#This Row],[Desc. ciudad]],'Estandar de Rutas'!$C$1:$E$553,2,FALSE)</f>
        <v>8.1</v>
      </c>
      <c r="U1645" s="130">
        <f>IFERROR(VLOOKUP(Tabla3[[#This Row],[Referencia]]&amp;Tabla3[[#This Row],[Desc detalle ext 1]],Tabla1[[Referencia-Color]:[Disponibilidad]],3,FALSE),0)</f>
        <v>0</v>
      </c>
      <c r="V1645" s="13"/>
      <c r="W1645" s="17">
        <f>+Tabla3[[#This Row],[Cant. Programada]]*Tabla3[[#This Row],[Precio unit]]</f>
        <v>0</v>
      </c>
      <c r="X1645" s="8"/>
      <c r="Y1645" s="8"/>
      <c r="Z1645" s="8" t="str">
        <f>+Tabla3[[#This Row],[Referencia]]&amp;Tabla3[[#This Row],[Desc detalle ext 1]]</f>
        <v>CB 160F DLX                                       NEGRO PER</v>
      </c>
      <c r="AA1645" s="128" t="e">
        <f>+VLOOKUP(Tabla3[[#This Row],[CODIGO2]],ESTANDAR!$B$3:$C$9,2,FALSE)</f>
        <v>#N/A</v>
      </c>
      <c r="AB1645" s="128" t="str">
        <f>+MID(Tabla3[[#This Row],['# Viaje]],10,1)</f>
        <v/>
      </c>
    </row>
    <row r="1646" spans="1:28" ht="15" hidden="1" customHeight="1">
      <c r="A1646" s="44" t="s">
        <v>1773</v>
      </c>
      <c r="B1646" s="45">
        <v>42950</v>
      </c>
      <c r="C1646" s="44" t="s">
        <v>1231</v>
      </c>
      <c r="D1646" s="44" t="s">
        <v>1487</v>
      </c>
      <c r="E1646" s="44" t="s">
        <v>1232</v>
      </c>
      <c r="F1646" s="44">
        <v>1</v>
      </c>
      <c r="G1646" s="44" t="s">
        <v>151</v>
      </c>
      <c r="H1646" s="44">
        <v>1</v>
      </c>
      <c r="I1646" s="44" t="s">
        <v>1774</v>
      </c>
      <c r="J1646" s="44" t="s">
        <v>1453</v>
      </c>
      <c r="K1646" s="44" t="s">
        <v>11</v>
      </c>
      <c r="L1646" s="45"/>
      <c r="M1646" s="44" t="s">
        <v>150</v>
      </c>
      <c r="N1646" s="44">
        <v>900185816</v>
      </c>
      <c r="O1646" s="46">
        <v>7730252</v>
      </c>
      <c r="P1646" s="7"/>
      <c r="Q16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6" s="9">
        <f>+IFERROR(VLOOKUP(Tabla3[[#This Row],[Cliente factura]],Tabla4[[NIT]:[TOTAL CREDITO]],6,FALSE),0)</f>
        <v>0</v>
      </c>
      <c r="S1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6" s="10" t="str">
        <f>VLOOKUP(Tabla3[[#This Row],[Razón social cliente factura]]&amp;Tabla3[[#This Row],[Desc. ciudad]],'Estandar de Rutas'!$C$1:$E$553,2,FALSE)</f>
        <v>8.1</v>
      </c>
      <c r="U1646" s="130">
        <f>IFERROR(VLOOKUP(Tabla3[[#This Row],[Referencia]]&amp;Tabla3[[#This Row],[Desc detalle ext 1]],Tabla1[[Referencia-Color]:[Disponibilidad]],3,FALSE),0)</f>
        <v>0</v>
      </c>
      <c r="V1646" s="13"/>
      <c r="W1646" s="17">
        <f>+Tabla3[[#This Row],[Cant. Programada]]*Tabla3[[#This Row],[Precio unit]]</f>
        <v>0</v>
      </c>
      <c r="X1646" s="8"/>
      <c r="Y1646" s="8"/>
      <c r="Z1646" s="8" t="str">
        <f>+Tabla3[[#This Row],[Referencia]]&amp;Tabla3[[#This Row],[Desc detalle ext 1]]</f>
        <v>CB 190R INSTINTO R                                NEGRO ONI</v>
      </c>
      <c r="AA1646" s="128" t="e">
        <f>+VLOOKUP(Tabla3[[#This Row],[CODIGO2]],ESTANDAR!$B$3:$C$9,2,FALSE)</f>
        <v>#N/A</v>
      </c>
      <c r="AB1646" s="128" t="str">
        <f>+MID(Tabla3[[#This Row],['# Viaje]],10,1)</f>
        <v/>
      </c>
    </row>
    <row r="1647" spans="1:28" ht="15" hidden="1" customHeight="1">
      <c r="A1647" s="44" t="s">
        <v>1773</v>
      </c>
      <c r="B1647" s="45">
        <v>42950</v>
      </c>
      <c r="C1647" s="44" t="s">
        <v>1231</v>
      </c>
      <c r="D1647" s="44" t="s">
        <v>1487</v>
      </c>
      <c r="E1647" s="44" t="s">
        <v>1232</v>
      </c>
      <c r="F1647" s="44">
        <v>1</v>
      </c>
      <c r="G1647" s="44" t="s">
        <v>151</v>
      </c>
      <c r="H1647" s="44">
        <v>1</v>
      </c>
      <c r="I1647" s="44" t="s">
        <v>1774</v>
      </c>
      <c r="J1647" s="44" t="s">
        <v>1428</v>
      </c>
      <c r="K1647" s="44" t="s">
        <v>1429</v>
      </c>
      <c r="L1647" s="45"/>
      <c r="M1647" s="44" t="s">
        <v>150</v>
      </c>
      <c r="N1647" s="44">
        <v>900185816</v>
      </c>
      <c r="O1647" s="46">
        <v>3067227</v>
      </c>
      <c r="P1647" s="7"/>
      <c r="Q16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7" s="9">
        <f>+IFERROR(VLOOKUP(Tabla3[[#This Row],[Cliente factura]],Tabla4[[NIT]:[TOTAL CREDITO]],6,FALSE),0)</f>
        <v>0</v>
      </c>
      <c r="S1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7" s="10" t="str">
        <f>VLOOKUP(Tabla3[[#This Row],[Razón social cliente factura]]&amp;Tabla3[[#This Row],[Desc. ciudad]],'Estandar de Rutas'!$C$1:$E$553,2,FALSE)</f>
        <v>8.1</v>
      </c>
      <c r="U1647" s="130">
        <f>IFERROR(VLOOKUP(Tabla3[[#This Row],[Referencia]]&amp;Tabla3[[#This Row],[Desc detalle ext 1]],Tabla1[[Referencia-Color]:[Disponibilidad]],3,FALSE),0)</f>
        <v>0</v>
      </c>
      <c r="V1647" s="13"/>
      <c r="W1647" s="17">
        <f>+Tabla3[[#This Row],[Cant. Programada]]*Tabla3[[#This Row],[Precio unit]]</f>
        <v>0</v>
      </c>
      <c r="X1647" s="8"/>
      <c r="Y1647" s="8"/>
      <c r="Z1647" s="8" t="str">
        <f>+Tabla3[[#This Row],[Referencia]]&amp;Tabla3[[#This Row],[Desc detalle ext 1]]</f>
        <v>DREAM  NEO                                        NEGRO AZU</v>
      </c>
      <c r="AA1647" s="128" t="e">
        <f>+VLOOKUP(Tabla3[[#This Row],[CODIGO2]],ESTANDAR!$B$3:$C$9,2,FALSE)</f>
        <v>#N/A</v>
      </c>
      <c r="AB1647" s="128" t="str">
        <f>+MID(Tabla3[[#This Row],['# Viaje]],10,1)</f>
        <v/>
      </c>
    </row>
    <row r="1648" spans="1:28" ht="15" hidden="1" customHeight="1">
      <c r="A1648" s="44" t="s">
        <v>1773</v>
      </c>
      <c r="B1648" s="45">
        <v>42950</v>
      </c>
      <c r="C1648" s="44" t="s">
        <v>1231</v>
      </c>
      <c r="D1648" s="44" t="s">
        <v>1487</v>
      </c>
      <c r="E1648" s="44" t="s">
        <v>1232</v>
      </c>
      <c r="F1648" s="44">
        <v>1</v>
      </c>
      <c r="G1648" s="44" t="s">
        <v>151</v>
      </c>
      <c r="H1648" s="44">
        <v>1</v>
      </c>
      <c r="I1648" s="44" t="s">
        <v>1774</v>
      </c>
      <c r="J1648" s="44" t="s">
        <v>1234</v>
      </c>
      <c r="K1648" s="44" t="s">
        <v>17</v>
      </c>
      <c r="L1648" s="45"/>
      <c r="M1648" s="44" t="s">
        <v>150</v>
      </c>
      <c r="N1648" s="44">
        <v>900185816</v>
      </c>
      <c r="O1648" s="46">
        <v>5453782</v>
      </c>
      <c r="P1648" s="7"/>
      <c r="Q16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8" s="9">
        <f>+IFERROR(VLOOKUP(Tabla3[[#This Row],[Cliente factura]],Tabla4[[NIT]:[TOTAL CREDITO]],6,FALSE),0)</f>
        <v>0</v>
      </c>
      <c r="S1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8" s="10" t="str">
        <f>VLOOKUP(Tabla3[[#This Row],[Razón social cliente factura]]&amp;Tabla3[[#This Row],[Desc. ciudad]],'Estandar de Rutas'!$C$1:$E$553,2,FALSE)</f>
        <v>8.1</v>
      </c>
      <c r="U1648" s="130">
        <f>IFERROR(VLOOKUP(Tabla3[[#This Row],[Referencia]]&amp;Tabla3[[#This Row],[Desc detalle ext 1]],Tabla1[[Referencia-Color]:[Disponibilidad]],3,FALSE),0)</f>
        <v>0</v>
      </c>
      <c r="V1648" s="13"/>
      <c r="W1648" s="17">
        <f>+Tabla3[[#This Row],[Cant. Programada]]*Tabla3[[#This Row],[Precio unit]]</f>
        <v>0</v>
      </c>
      <c r="X1648" s="8"/>
      <c r="Y1648" s="8"/>
      <c r="Z1648" s="8" t="str">
        <f>+Tabla3[[#This Row],[Referencia]]&amp;Tabla3[[#This Row],[Desc detalle ext 1]]</f>
        <v>CB 160F STD                                       ROJO SPOR</v>
      </c>
      <c r="AA1648" s="128" t="e">
        <f>+VLOOKUP(Tabla3[[#This Row],[CODIGO2]],ESTANDAR!$B$3:$C$9,2,FALSE)</f>
        <v>#N/A</v>
      </c>
      <c r="AB1648" s="128" t="str">
        <f>+MID(Tabla3[[#This Row],['# Viaje]],10,1)</f>
        <v/>
      </c>
    </row>
    <row r="1649" spans="1:28" ht="15" hidden="1" customHeight="1">
      <c r="A1649" s="44" t="s">
        <v>1773</v>
      </c>
      <c r="B1649" s="45">
        <v>42950</v>
      </c>
      <c r="C1649" s="44" t="s">
        <v>1231</v>
      </c>
      <c r="D1649" s="44" t="s">
        <v>1487</v>
      </c>
      <c r="E1649" s="44" t="s">
        <v>1232</v>
      </c>
      <c r="F1649" s="44">
        <v>1</v>
      </c>
      <c r="G1649" s="44" t="s">
        <v>151</v>
      </c>
      <c r="H1649" s="44">
        <v>1</v>
      </c>
      <c r="I1649" s="44" t="s">
        <v>1774</v>
      </c>
      <c r="J1649" s="44" t="s">
        <v>1234</v>
      </c>
      <c r="K1649" s="44" t="s">
        <v>355</v>
      </c>
      <c r="L1649" s="45"/>
      <c r="M1649" s="44" t="s">
        <v>150</v>
      </c>
      <c r="N1649" s="44">
        <v>900185816</v>
      </c>
      <c r="O1649" s="46">
        <v>5453782</v>
      </c>
      <c r="P1649" s="7"/>
      <c r="Q16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9" s="9">
        <f>+IFERROR(VLOOKUP(Tabla3[[#This Row],[Cliente factura]],Tabla4[[NIT]:[TOTAL CREDITO]],6,FALSE),0)</f>
        <v>0</v>
      </c>
      <c r="S1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9" s="10" t="str">
        <f>VLOOKUP(Tabla3[[#This Row],[Razón social cliente factura]]&amp;Tabla3[[#This Row],[Desc. ciudad]],'Estandar de Rutas'!$C$1:$E$553,2,FALSE)</f>
        <v>8.1</v>
      </c>
      <c r="U1649" s="130">
        <f>IFERROR(VLOOKUP(Tabla3[[#This Row],[Referencia]]&amp;Tabla3[[#This Row],[Desc detalle ext 1]],Tabla1[[Referencia-Color]:[Disponibilidad]],3,FALSE),0)</f>
        <v>0</v>
      </c>
      <c r="V1649" s="13"/>
      <c r="W1649" s="17">
        <f>+Tabla3[[#This Row],[Cant. Programada]]*Tabla3[[#This Row],[Precio unit]]</f>
        <v>0</v>
      </c>
      <c r="X1649" s="8"/>
      <c r="Y1649" s="8"/>
      <c r="Z1649" s="8" t="str">
        <f>+Tabla3[[#This Row],[Referencia]]&amp;Tabla3[[#This Row],[Desc detalle ext 1]]</f>
        <v>CB 160F STD                                       NEGRO PER</v>
      </c>
      <c r="AA1649" s="128" t="e">
        <f>+VLOOKUP(Tabla3[[#This Row],[CODIGO2]],ESTANDAR!$B$3:$C$9,2,FALSE)</f>
        <v>#N/A</v>
      </c>
      <c r="AB1649" s="128" t="str">
        <f>+MID(Tabla3[[#This Row],['# Viaje]],10,1)</f>
        <v/>
      </c>
    </row>
    <row r="1650" spans="1:28" ht="15" hidden="1" customHeight="1">
      <c r="A1650" s="44" t="s">
        <v>1773</v>
      </c>
      <c r="B1650" s="45">
        <v>42950</v>
      </c>
      <c r="C1650" s="44" t="s">
        <v>1231</v>
      </c>
      <c r="D1650" s="44" t="s">
        <v>1487</v>
      </c>
      <c r="E1650" s="44" t="s">
        <v>1232</v>
      </c>
      <c r="F1650" s="44">
        <v>1</v>
      </c>
      <c r="G1650" s="44" t="s">
        <v>151</v>
      </c>
      <c r="H1650" s="44">
        <v>1</v>
      </c>
      <c r="I1650" s="44" t="s">
        <v>1774</v>
      </c>
      <c r="J1650" s="44" t="s">
        <v>1234</v>
      </c>
      <c r="K1650" s="44" t="s">
        <v>44</v>
      </c>
      <c r="L1650" s="45"/>
      <c r="M1650" s="44" t="s">
        <v>150</v>
      </c>
      <c r="N1650" s="44">
        <v>900185816</v>
      </c>
      <c r="O1650" s="46">
        <v>5453782</v>
      </c>
      <c r="P1650" s="7"/>
      <c r="Q16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0" s="9">
        <f>+IFERROR(VLOOKUP(Tabla3[[#This Row],[Cliente factura]],Tabla4[[NIT]:[TOTAL CREDITO]],6,FALSE),0)</f>
        <v>0</v>
      </c>
      <c r="S1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0" s="10" t="str">
        <f>VLOOKUP(Tabla3[[#This Row],[Razón social cliente factura]]&amp;Tabla3[[#This Row],[Desc. ciudad]],'Estandar de Rutas'!$C$1:$E$553,2,FALSE)</f>
        <v>8.1</v>
      </c>
      <c r="U1650" s="130">
        <f>IFERROR(VLOOKUP(Tabla3[[#This Row],[Referencia]]&amp;Tabla3[[#This Row],[Desc detalle ext 1]],Tabla1[[Referencia-Color]:[Disponibilidad]],3,FALSE),0)</f>
        <v>1</v>
      </c>
      <c r="V1650" s="13"/>
      <c r="W1650" s="17">
        <f>+Tabla3[[#This Row],[Cant. Programada]]*Tabla3[[#This Row],[Precio unit]]</f>
        <v>0</v>
      </c>
      <c r="X1650" s="8"/>
      <c r="Y1650" s="8"/>
      <c r="Z1650" s="8" t="str">
        <f>+Tabla3[[#This Row],[Referencia]]&amp;Tabla3[[#This Row],[Desc detalle ext 1]]</f>
        <v>CB 160F STD                                       BLANCO PE</v>
      </c>
      <c r="AA1650" s="128" t="e">
        <f>+VLOOKUP(Tabla3[[#This Row],[CODIGO2]],ESTANDAR!$B$3:$C$9,2,FALSE)</f>
        <v>#N/A</v>
      </c>
      <c r="AB1650" s="128" t="str">
        <f>+MID(Tabla3[[#This Row],['# Viaje]],10,1)</f>
        <v/>
      </c>
    </row>
    <row r="1651" spans="1:28" ht="15" hidden="1" customHeight="1">
      <c r="A1651" s="44" t="s">
        <v>1773</v>
      </c>
      <c r="B1651" s="45">
        <v>42950</v>
      </c>
      <c r="C1651" s="44" t="s">
        <v>1231</v>
      </c>
      <c r="D1651" s="44" t="s">
        <v>1487</v>
      </c>
      <c r="E1651" s="44" t="s">
        <v>1232</v>
      </c>
      <c r="F1651" s="44">
        <v>1</v>
      </c>
      <c r="G1651" s="44" t="s">
        <v>151</v>
      </c>
      <c r="H1651" s="44">
        <v>1</v>
      </c>
      <c r="I1651" s="44" t="s">
        <v>1774</v>
      </c>
      <c r="J1651" s="44" t="s">
        <v>1451</v>
      </c>
      <c r="K1651" s="44" t="s">
        <v>1449</v>
      </c>
      <c r="L1651" s="45"/>
      <c r="M1651" s="44" t="s">
        <v>150</v>
      </c>
      <c r="N1651" s="44">
        <v>900185816</v>
      </c>
      <c r="O1651" s="46">
        <v>3696639</v>
      </c>
      <c r="P1651" s="7"/>
      <c r="Q16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1" s="9">
        <f>+IFERROR(VLOOKUP(Tabla3[[#This Row],[Cliente factura]],Tabla4[[NIT]:[TOTAL CREDITO]],6,FALSE),0)</f>
        <v>0</v>
      </c>
      <c r="S1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1" s="10" t="str">
        <f>VLOOKUP(Tabla3[[#This Row],[Razón social cliente factura]]&amp;Tabla3[[#This Row],[Desc. ciudad]],'Estandar de Rutas'!$C$1:$E$553,2,FALSE)</f>
        <v>8.1</v>
      </c>
      <c r="U1651" s="130">
        <f>IFERROR(VLOOKUP(Tabla3[[#This Row],[Referencia]]&amp;Tabla3[[#This Row],[Desc detalle ext 1]],Tabla1[[Referencia-Color]:[Disponibilidad]],3,FALSE),0)</f>
        <v>24</v>
      </c>
      <c r="V1651" s="13"/>
      <c r="W1651" s="17">
        <f>+Tabla3[[#This Row],[Cant. Programada]]*Tabla3[[#This Row],[Precio unit]]</f>
        <v>0</v>
      </c>
      <c r="X1651" s="8"/>
      <c r="Y1651" s="8"/>
      <c r="Z1651" s="8" t="str">
        <f>+Tabla3[[#This Row],[Referencia]]&amp;Tabla3[[#This Row],[Desc detalle ext 1]]</f>
        <v xml:space="preserve">CB 110 DLX                                        GRIS     </v>
      </c>
      <c r="AA1651" s="128" t="e">
        <f>+VLOOKUP(Tabla3[[#This Row],[CODIGO2]],ESTANDAR!$B$3:$C$9,2,FALSE)</f>
        <v>#N/A</v>
      </c>
      <c r="AB1651" s="128" t="str">
        <f>+MID(Tabla3[[#This Row],['# Viaje]],10,1)</f>
        <v/>
      </c>
    </row>
    <row r="1652" spans="1:28" ht="15" hidden="1" customHeight="1">
      <c r="A1652" s="44" t="s">
        <v>1775</v>
      </c>
      <c r="B1652" s="45">
        <v>42951</v>
      </c>
      <c r="C1652" s="44" t="s">
        <v>1477</v>
      </c>
      <c r="D1652" s="44" t="s">
        <v>1487</v>
      </c>
      <c r="E1652" s="44" t="s">
        <v>1479</v>
      </c>
      <c r="F1652" s="44">
        <v>1</v>
      </c>
      <c r="G1652" s="44" t="s">
        <v>398</v>
      </c>
      <c r="H1652" s="44">
        <v>1</v>
      </c>
      <c r="I1652" s="44" t="s">
        <v>1776</v>
      </c>
      <c r="J1652" s="44" t="s">
        <v>14</v>
      </c>
      <c r="K1652" s="44" t="s">
        <v>17</v>
      </c>
      <c r="L1652" s="45"/>
      <c r="M1652" s="44" t="s">
        <v>139</v>
      </c>
      <c r="N1652" s="44">
        <v>900768559</v>
      </c>
      <c r="O1652" s="46">
        <v>3360504</v>
      </c>
      <c r="P1652" s="7"/>
      <c r="Q1652" s="16">
        <f>+IF(IFERROR(VLOOKUP(Tabla3[[#This Row],[Cliente factura]],Tabla4[[NIT]:[TOTAL CREDITO]],3,FALSE),0)="",0,IFERROR(VLOOKUP(Tabla3[[#This Row],[Cliente factura]],Tabla4[[NIT]:[TOTAL CREDITO]],3,FALSE),0))</f>
        <v>20422454</v>
      </c>
      <c r="R1652" s="9">
        <f>+IFERROR(VLOOKUP(Tabla3[[#This Row],[Cliente factura]],Tabla4[[NIT]:[TOTAL CREDITO]],6,FALSE),0)</f>
        <v>0</v>
      </c>
      <c r="S1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2" s="10" t="str">
        <f>VLOOKUP(Tabla3[[#This Row],[Razón social cliente factura]]&amp;Tabla3[[#This Row],[Desc. ciudad]],'Estandar de Rutas'!$C$1:$E$553,2,FALSE)</f>
        <v>10.1</v>
      </c>
      <c r="U1652" s="130">
        <f>IFERROR(VLOOKUP(Tabla3[[#This Row],[Referencia]]&amp;Tabla3[[#This Row],[Desc detalle ext 1]],Tabla1[[Referencia-Color]:[Disponibilidad]],3,FALSE),0)</f>
        <v>38</v>
      </c>
      <c r="V1652" s="13"/>
      <c r="W1652" s="17">
        <f>+Tabla3[[#This Row],[Cant. Programada]]*Tabla3[[#This Row],[Precio unit]]</f>
        <v>0</v>
      </c>
      <c r="X1652" s="8"/>
      <c r="Y1652" s="8"/>
      <c r="Z1652" s="8" t="str">
        <f>+Tabla3[[#This Row],[Referencia]]&amp;Tabla3[[#This Row],[Desc detalle ext 1]]</f>
        <v>*CB-110                                           ROJO SPOR</v>
      </c>
      <c r="AA1652" s="128" t="e">
        <f>+VLOOKUP(Tabla3[[#This Row],[CODIGO2]],ESTANDAR!$B$3:$C$9,2,FALSE)</f>
        <v>#N/A</v>
      </c>
      <c r="AB1652" s="128" t="str">
        <f>+MID(Tabla3[[#This Row],['# Viaje]],10,1)</f>
        <v/>
      </c>
    </row>
    <row r="1653" spans="1:28" ht="15" hidden="1" customHeight="1">
      <c r="A1653" s="44" t="s">
        <v>1775</v>
      </c>
      <c r="B1653" s="45">
        <v>42951</v>
      </c>
      <c r="C1653" s="44" t="s">
        <v>1477</v>
      </c>
      <c r="D1653" s="44" t="s">
        <v>1487</v>
      </c>
      <c r="E1653" s="44" t="s">
        <v>1479</v>
      </c>
      <c r="F1653" s="44">
        <v>5</v>
      </c>
      <c r="G1653" s="44" t="s">
        <v>398</v>
      </c>
      <c r="H1653" s="44">
        <v>5</v>
      </c>
      <c r="I1653" s="44" t="s">
        <v>1776</v>
      </c>
      <c r="J1653" s="44" t="s">
        <v>14</v>
      </c>
      <c r="K1653" s="44" t="s">
        <v>16</v>
      </c>
      <c r="L1653" s="45"/>
      <c r="M1653" s="44" t="s">
        <v>139</v>
      </c>
      <c r="N1653" s="44">
        <v>900768559</v>
      </c>
      <c r="O1653" s="46">
        <v>3360504</v>
      </c>
      <c r="P1653" s="7"/>
      <c r="Q1653" s="16">
        <f>+IF(IFERROR(VLOOKUP(Tabla3[[#This Row],[Cliente factura]],Tabla4[[NIT]:[TOTAL CREDITO]],3,FALSE),0)="",0,IFERROR(VLOOKUP(Tabla3[[#This Row],[Cliente factura]],Tabla4[[NIT]:[TOTAL CREDITO]],3,FALSE),0))</f>
        <v>20422454</v>
      </c>
      <c r="R1653" s="9">
        <f>+IFERROR(VLOOKUP(Tabla3[[#This Row],[Cliente factura]],Tabla4[[NIT]:[TOTAL CREDITO]],6,FALSE),0)</f>
        <v>0</v>
      </c>
      <c r="S1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3" s="10" t="str">
        <f>VLOOKUP(Tabla3[[#This Row],[Razón social cliente factura]]&amp;Tabla3[[#This Row],[Desc. ciudad]],'Estandar de Rutas'!$C$1:$E$553,2,FALSE)</f>
        <v>10.1</v>
      </c>
      <c r="U1653" s="130">
        <f>IFERROR(VLOOKUP(Tabla3[[#This Row],[Referencia]]&amp;Tabla3[[#This Row],[Desc detalle ext 1]],Tabla1[[Referencia-Color]:[Disponibilidad]],3,FALSE),0)</f>
        <v>83</v>
      </c>
      <c r="V1653" s="13"/>
      <c r="W1653" s="17">
        <f>+Tabla3[[#This Row],[Cant. Programada]]*Tabla3[[#This Row],[Precio unit]]</f>
        <v>0</v>
      </c>
      <c r="X1653" s="8"/>
      <c r="Y1653" s="8"/>
      <c r="Z1653" s="8" t="str">
        <f>+Tabla3[[#This Row],[Referencia]]&amp;Tabla3[[#This Row],[Desc detalle ext 1]]</f>
        <v xml:space="preserve">*CB-110                                           NEGRO    </v>
      </c>
      <c r="AA1653" s="128" t="e">
        <f>+VLOOKUP(Tabla3[[#This Row],[CODIGO2]],ESTANDAR!$B$3:$C$9,2,FALSE)</f>
        <v>#N/A</v>
      </c>
      <c r="AB1653" s="128" t="str">
        <f>+MID(Tabla3[[#This Row],['# Viaje]],10,1)</f>
        <v/>
      </c>
    </row>
    <row r="1654" spans="1:28" ht="15" hidden="1" customHeight="1">
      <c r="A1654" s="44" t="s">
        <v>1775</v>
      </c>
      <c r="B1654" s="45">
        <v>42951</v>
      </c>
      <c r="C1654" s="44" t="s">
        <v>1477</v>
      </c>
      <c r="D1654" s="44" t="s">
        <v>1487</v>
      </c>
      <c r="E1654" s="44" t="s">
        <v>1479</v>
      </c>
      <c r="F1654" s="44">
        <v>1</v>
      </c>
      <c r="G1654" s="44" t="s">
        <v>398</v>
      </c>
      <c r="H1654" s="44">
        <v>1</v>
      </c>
      <c r="I1654" s="44" t="s">
        <v>1776</v>
      </c>
      <c r="J1654" s="44" t="s">
        <v>14</v>
      </c>
      <c r="K1654" s="44" t="s">
        <v>15</v>
      </c>
      <c r="L1654" s="45"/>
      <c r="M1654" s="44" t="s">
        <v>139</v>
      </c>
      <c r="N1654" s="44">
        <v>900768559</v>
      </c>
      <c r="O1654" s="46">
        <v>3360504</v>
      </c>
      <c r="P1654" s="7"/>
      <c r="Q1654" s="16">
        <f>+IF(IFERROR(VLOOKUP(Tabla3[[#This Row],[Cliente factura]],Tabla4[[NIT]:[TOTAL CREDITO]],3,FALSE),0)="",0,IFERROR(VLOOKUP(Tabla3[[#This Row],[Cliente factura]],Tabla4[[NIT]:[TOTAL CREDITO]],3,FALSE),0))</f>
        <v>20422454</v>
      </c>
      <c r="R1654" s="9">
        <f>+IFERROR(VLOOKUP(Tabla3[[#This Row],[Cliente factura]],Tabla4[[NIT]:[TOTAL CREDITO]],6,FALSE),0)</f>
        <v>0</v>
      </c>
      <c r="S1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4" s="10" t="str">
        <f>VLOOKUP(Tabla3[[#This Row],[Razón social cliente factura]]&amp;Tabla3[[#This Row],[Desc. ciudad]],'Estandar de Rutas'!$C$1:$E$553,2,FALSE)</f>
        <v>10.1</v>
      </c>
      <c r="U1654" s="130">
        <f>IFERROR(VLOOKUP(Tabla3[[#This Row],[Referencia]]&amp;Tabla3[[#This Row],[Desc detalle ext 1]],Tabla1[[Referencia-Color]:[Disponibilidad]],3,FALSE),0)</f>
        <v>99</v>
      </c>
      <c r="V1654" s="13"/>
      <c r="W1654" s="17">
        <f>+Tabla3[[#This Row],[Cant. Programada]]*Tabla3[[#This Row],[Precio unit]]</f>
        <v>0</v>
      </c>
      <c r="X1654" s="8"/>
      <c r="Y1654" s="8"/>
      <c r="Z1654" s="8" t="str">
        <f>+Tabla3[[#This Row],[Referencia]]&amp;Tabla3[[#This Row],[Desc detalle ext 1]]</f>
        <v>*CB-110                                           AZUL FIJI</v>
      </c>
      <c r="AA1654" s="128" t="e">
        <f>+VLOOKUP(Tabla3[[#This Row],[CODIGO2]],ESTANDAR!$B$3:$C$9,2,FALSE)</f>
        <v>#N/A</v>
      </c>
      <c r="AB1654" s="128" t="str">
        <f>+MID(Tabla3[[#This Row],['# Viaje]],10,1)</f>
        <v/>
      </c>
    </row>
    <row r="1655" spans="1:28" ht="15" hidden="1" customHeight="1">
      <c r="A1655" s="44" t="s">
        <v>1775</v>
      </c>
      <c r="B1655" s="45">
        <v>42951</v>
      </c>
      <c r="C1655" s="44" t="s">
        <v>1477</v>
      </c>
      <c r="D1655" s="44" t="s">
        <v>1487</v>
      </c>
      <c r="E1655" s="44" t="s">
        <v>1479</v>
      </c>
      <c r="F1655" s="44">
        <v>5</v>
      </c>
      <c r="G1655" s="44" t="s">
        <v>398</v>
      </c>
      <c r="H1655" s="44">
        <v>5</v>
      </c>
      <c r="I1655" s="44" t="s">
        <v>1776</v>
      </c>
      <c r="J1655" s="44" t="s">
        <v>27</v>
      </c>
      <c r="K1655" s="44" t="s">
        <v>32</v>
      </c>
      <c r="L1655" s="45"/>
      <c r="M1655" s="44" t="s">
        <v>139</v>
      </c>
      <c r="N1655" s="44">
        <v>900768559</v>
      </c>
      <c r="O1655" s="46">
        <v>5789916</v>
      </c>
      <c r="P1655" s="7"/>
      <c r="Q1655" s="16">
        <f>+IF(IFERROR(VLOOKUP(Tabla3[[#This Row],[Cliente factura]],Tabla4[[NIT]:[TOTAL CREDITO]],3,FALSE),0)="",0,IFERROR(VLOOKUP(Tabla3[[#This Row],[Cliente factura]],Tabla4[[NIT]:[TOTAL CREDITO]],3,FALSE),0))</f>
        <v>20422454</v>
      </c>
      <c r="R1655" s="9">
        <f>+IFERROR(VLOOKUP(Tabla3[[#This Row],[Cliente factura]],Tabla4[[NIT]:[TOTAL CREDITO]],6,FALSE),0)</f>
        <v>0</v>
      </c>
      <c r="S1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5" s="10" t="str">
        <f>VLOOKUP(Tabla3[[#This Row],[Razón social cliente factura]]&amp;Tabla3[[#This Row],[Desc. ciudad]],'Estandar de Rutas'!$C$1:$E$553,2,FALSE)</f>
        <v>10.1</v>
      </c>
      <c r="U1655" s="130">
        <f>IFERROR(VLOOKUP(Tabla3[[#This Row],[Referencia]]&amp;Tabla3[[#This Row],[Desc detalle ext 1]],Tabla1[[Referencia-Color]:[Disponibilidad]],3,FALSE),0)</f>
        <v>7</v>
      </c>
      <c r="V1655" s="13"/>
      <c r="W1655" s="17">
        <f>+Tabla3[[#This Row],[Cant. Programada]]*Tabla3[[#This Row],[Precio unit]]</f>
        <v>0</v>
      </c>
      <c r="X1655" s="8"/>
      <c r="Y1655" s="8"/>
      <c r="Z1655" s="8" t="str">
        <f>+Tabla3[[#This Row],[Referencia]]&amp;Tabla3[[#This Row],[Desc detalle ext 1]]</f>
        <v>*XR 150L                                          NEGRO ROJ</v>
      </c>
      <c r="AA1655" s="128" t="e">
        <f>+VLOOKUP(Tabla3[[#This Row],[CODIGO2]],ESTANDAR!$B$3:$C$9,2,FALSE)</f>
        <v>#N/A</v>
      </c>
      <c r="AB1655" s="128" t="str">
        <f>+MID(Tabla3[[#This Row],['# Viaje]],10,1)</f>
        <v/>
      </c>
    </row>
    <row r="1656" spans="1:28" ht="15" hidden="1" customHeight="1">
      <c r="A1656" s="44" t="s">
        <v>1775</v>
      </c>
      <c r="B1656" s="45">
        <v>42951</v>
      </c>
      <c r="C1656" s="44" t="s">
        <v>1477</v>
      </c>
      <c r="D1656" s="44" t="s">
        <v>1487</v>
      </c>
      <c r="E1656" s="44" t="s">
        <v>1479</v>
      </c>
      <c r="F1656" s="44">
        <v>2</v>
      </c>
      <c r="G1656" s="44" t="s">
        <v>398</v>
      </c>
      <c r="H1656" s="44">
        <v>2</v>
      </c>
      <c r="I1656" s="44" t="s">
        <v>1776</v>
      </c>
      <c r="J1656" s="44" t="s">
        <v>27</v>
      </c>
      <c r="K1656" s="44" t="s">
        <v>26</v>
      </c>
      <c r="L1656" s="45"/>
      <c r="M1656" s="44" t="s">
        <v>139</v>
      </c>
      <c r="N1656" s="44">
        <v>900768559</v>
      </c>
      <c r="O1656" s="46">
        <v>5789916</v>
      </c>
      <c r="P1656" s="7"/>
      <c r="Q1656" s="16">
        <f>+IF(IFERROR(VLOOKUP(Tabla3[[#This Row],[Cliente factura]],Tabla4[[NIT]:[TOTAL CREDITO]],3,FALSE),0)="",0,IFERROR(VLOOKUP(Tabla3[[#This Row],[Cliente factura]],Tabla4[[NIT]:[TOTAL CREDITO]],3,FALSE),0))</f>
        <v>20422454</v>
      </c>
      <c r="R1656" s="9">
        <f>+IFERROR(VLOOKUP(Tabla3[[#This Row],[Cliente factura]],Tabla4[[NIT]:[TOTAL CREDITO]],6,FALSE),0)</f>
        <v>0</v>
      </c>
      <c r="S1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6" s="10" t="str">
        <f>VLOOKUP(Tabla3[[#This Row],[Razón social cliente factura]]&amp;Tabla3[[#This Row],[Desc. ciudad]],'Estandar de Rutas'!$C$1:$E$553,2,FALSE)</f>
        <v>10.1</v>
      </c>
      <c r="U1656" s="130">
        <f>IFERROR(VLOOKUP(Tabla3[[#This Row],[Referencia]]&amp;Tabla3[[#This Row],[Desc detalle ext 1]],Tabla1[[Referencia-Color]:[Disponibilidad]],3,FALSE),0)</f>
        <v>59</v>
      </c>
      <c r="V1656" s="13"/>
      <c r="W1656" s="17">
        <f>+Tabla3[[#This Row],[Cant. Programada]]*Tabla3[[#This Row],[Precio unit]]</f>
        <v>0</v>
      </c>
      <c r="X1656" s="8"/>
      <c r="Y1656" s="8"/>
      <c r="Z1656" s="8" t="str">
        <f>+Tabla3[[#This Row],[Referencia]]&amp;Tabla3[[#This Row],[Desc detalle ext 1]]</f>
        <v>*XR 150L                                          NEGRO BLA</v>
      </c>
      <c r="AA1656" s="128" t="e">
        <f>+VLOOKUP(Tabla3[[#This Row],[CODIGO2]],ESTANDAR!$B$3:$C$9,2,FALSE)</f>
        <v>#N/A</v>
      </c>
      <c r="AB1656" s="128" t="str">
        <f>+MID(Tabla3[[#This Row],['# Viaje]],10,1)</f>
        <v/>
      </c>
    </row>
    <row r="1657" spans="1:28" ht="15" hidden="1" customHeight="1">
      <c r="A1657" s="44" t="s">
        <v>1775</v>
      </c>
      <c r="B1657" s="45">
        <v>42951</v>
      </c>
      <c r="C1657" s="44" t="s">
        <v>1477</v>
      </c>
      <c r="D1657" s="44" t="s">
        <v>1487</v>
      </c>
      <c r="E1657" s="44" t="s">
        <v>1479</v>
      </c>
      <c r="F1657" s="44">
        <v>1</v>
      </c>
      <c r="G1657" s="44" t="s">
        <v>398</v>
      </c>
      <c r="H1657" s="44">
        <v>1</v>
      </c>
      <c r="I1657" s="44" t="s">
        <v>1776</v>
      </c>
      <c r="J1657" s="44" t="s">
        <v>27</v>
      </c>
      <c r="K1657" s="44" t="s">
        <v>16</v>
      </c>
      <c r="L1657" s="45"/>
      <c r="M1657" s="44" t="s">
        <v>139</v>
      </c>
      <c r="N1657" s="44">
        <v>900768559</v>
      </c>
      <c r="O1657" s="46">
        <v>5789916</v>
      </c>
      <c r="P1657" s="7"/>
      <c r="Q1657" s="16">
        <f>+IF(IFERROR(VLOOKUP(Tabla3[[#This Row],[Cliente factura]],Tabla4[[NIT]:[TOTAL CREDITO]],3,FALSE),0)="",0,IFERROR(VLOOKUP(Tabla3[[#This Row],[Cliente factura]],Tabla4[[NIT]:[TOTAL CREDITO]],3,FALSE),0))</f>
        <v>20422454</v>
      </c>
      <c r="R1657" s="9">
        <f>+IFERROR(VLOOKUP(Tabla3[[#This Row],[Cliente factura]],Tabla4[[NIT]:[TOTAL CREDITO]],6,FALSE),0)</f>
        <v>0</v>
      </c>
      <c r="S1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7" s="10" t="str">
        <f>VLOOKUP(Tabla3[[#This Row],[Razón social cliente factura]]&amp;Tabla3[[#This Row],[Desc. ciudad]],'Estandar de Rutas'!$C$1:$E$553,2,FALSE)</f>
        <v>10.1</v>
      </c>
      <c r="U1657" s="130">
        <f>IFERROR(VLOOKUP(Tabla3[[#This Row],[Referencia]]&amp;Tabla3[[#This Row],[Desc detalle ext 1]],Tabla1[[Referencia-Color]:[Disponibilidad]],3,FALSE),0)</f>
        <v>3</v>
      </c>
      <c r="V1657" s="13"/>
      <c r="W1657" s="17">
        <f>+Tabla3[[#This Row],[Cant. Programada]]*Tabla3[[#This Row],[Precio unit]]</f>
        <v>0</v>
      </c>
      <c r="X1657" s="8"/>
      <c r="Y1657" s="8"/>
      <c r="Z1657" s="8" t="str">
        <f>+Tabla3[[#This Row],[Referencia]]&amp;Tabla3[[#This Row],[Desc detalle ext 1]]</f>
        <v xml:space="preserve">*XR 150L                                          NEGRO    </v>
      </c>
      <c r="AA1657" s="128" t="e">
        <f>+VLOOKUP(Tabla3[[#This Row],[CODIGO2]],ESTANDAR!$B$3:$C$9,2,FALSE)</f>
        <v>#N/A</v>
      </c>
      <c r="AB1657" s="128" t="str">
        <f>+MID(Tabla3[[#This Row],['# Viaje]],10,1)</f>
        <v/>
      </c>
    </row>
    <row r="1658" spans="1:28" ht="15" hidden="1" customHeight="1">
      <c r="A1658" s="44" t="s">
        <v>1775</v>
      </c>
      <c r="B1658" s="45">
        <v>42951</v>
      </c>
      <c r="C1658" s="44" t="s">
        <v>1477</v>
      </c>
      <c r="D1658" s="44" t="s">
        <v>1487</v>
      </c>
      <c r="E1658" s="44" t="s">
        <v>1479</v>
      </c>
      <c r="F1658" s="44">
        <v>2</v>
      </c>
      <c r="G1658" s="44" t="s">
        <v>398</v>
      </c>
      <c r="H1658" s="44">
        <v>2</v>
      </c>
      <c r="I1658" s="44" t="s">
        <v>1776</v>
      </c>
      <c r="J1658" s="44" t="s">
        <v>10</v>
      </c>
      <c r="K1658" s="44" t="s">
        <v>11</v>
      </c>
      <c r="L1658" s="45"/>
      <c r="M1658" s="44" t="s">
        <v>139</v>
      </c>
      <c r="N1658" s="44">
        <v>900768559</v>
      </c>
      <c r="O1658" s="46">
        <v>7554622</v>
      </c>
      <c r="P1658" s="7"/>
      <c r="Q1658" s="16">
        <f>+IF(IFERROR(VLOOKUP(Tabla3[[#This Row],[Cliente factura]],Tabla4[[NIT]:[TOTAL CREDITO]],3,FALSE),0)="",0,IFERROR(VLOOKUP(Tabla3[[#This Row],[Cliente factura]],Tabla4[[NIT]:[TOTAL CREDITO]],3,FALSE),0))</f>
        <v>20422454</v>
      </c>
      <c r="R1658" s="9">
        <f>+IFERROR(VLOOKUP(Tabla3[[#This Row],[Cliente factura]],Tabla4[[NIT]:[TOTAL CREDITO]],6,FALSE),0)</f>
        <v>0</v>
      </c>
      <c r="S1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8" s="10" t="str">
        <f>VLOOKUP(Tabla3[[#This Row],[Razón social cliente factura]]&amp;Tabla3[[#This Row],[Desc. ciudad]],'Estandar de Rutas'!$C$1:$E$553,2,FALSE)</f>
        <v>10.1</v>
      </c>
      <c r="U1658" s="130">
        <f>IFERROR(VLOOKUP(Tabla3[[#This Row],[Referencia]]&amp;Tabla3[[#This Row],[Desc detalle ext 1]],Tabla1[[Referencia-Color]:[Disponibilidad]],3,FALSE),0)</f>
        <v>0</v>
      </c>
      <c r="V1658" s="13"/>
      <c r="W1658" s="17">
        <f>+Tabla3[[#This Row],[Cant. Programada]]*Tabla3[[#This Row],[Precio unit]]</f>
        <v>0</v>
      </c>
      <c r="X1658" s="8"/>
      <c r="Y1658" s="8"/>
      <c r="Z1658" s="8" t="str">
        <f>+Tabla3[[#This Row],[Referencia]]&amp;Tabla3[[#This Row],[Desc detalle ext 1]]</f>
        <v>CB 190R                                           NEGRO ONI</v>
      </c>
      <c r="AA1658" s="128" t="e">
        <f>+VLOOKUP(Tabla3[[#This Row],[CODIGO2]],ESTANDAR!$B$3:$C$9,2,FALSE)</f>
        <v>#N/A</v>
      </c>
      <c r="AB1658" s="128" t="str">
        <f>+MID(Tabla3[[#This Row],['# Viaje]],10,1)</f>
        <v/>
      </c>
    </row>
    <row r="1659" spans="1:28" ht="15" hidden="1" customHeight="1">
      <c r="A1659" s="44" t="s">
        <v>1775</v>
      </c>
      <c r="B1659" s="45">
        <v>42951</v>
      </c>
      <c r="C1659" s="44" t="s">
        <v>1477</v>
      </c>
      <c r="D1659" s="44" t="s">
        <v>1487</v>
      </c>
      <c r="E1659" s="44" t="s">
        <v>1479</v>
      </c>
      <c r="F1659" s="44">
        <v>2</v>
      </c>
      <c r="G1659" s="44" t="s">
        <v>398</v>
      </c>
      <c r="H1659" s="44">
        <v>2</v>
      </c>
      <c r="I1659" s="44" t="s">
        <v>1776</v>
      </c>
      <c r="J1659" s="44" t="s">
        <v>25</v>
      </c>
      <c r="K1659" s="44" t="s">
        <v>26</v>
      </c>
      <c r="L1659" s="45"/>
      <c r="M1659" s="44" t="s">
        <v>139</v>
      </c>
      <c r="N1659" s="44">
        <v>900768559</v>
      </c>
      <c r="O1659" s="46">
        <v>3521008</v>
      </c>
      <c r="P1659" s="7"/>
      <c r="Q1659" s="16">
        <f>+IF(IFERROR(VLOOKUP(Tabla3[[#This Row],[Cliente factura]],Tabla4[[NIT]:[TOTAL CREDITO]],3,FALSE),0)="",0,IFERROR(VLOOKUP(Tabla3[[#This Row],[Cliente factura]],Tabla4[[NIT]:[TOTAL CREDITO]],3,FALSE),0))</f>
        <v>20422454</v>
      </c>
      <c r="R1659" s="9">
        <f>+IFERROR(VLOOKUP(Tabla3[[#This Row],[Cliente factura]],Tabla4[[NIT]:[TOTAL CREDITO]],6,FALSE),0)</f>
        <v>0</v>
      </c>
      <c r="S1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9" s="10" t="str">
        <f>VLOOKUP(Tabla3[[#This Row],[Razón social cliente factura]]&amp;Tabla3[[#This Row],[Desc. ciudad]],'Estandar de Rutas'!$C$1:$E$553,2,FALSE)</f>
        <v>10.1</v>
      </c>
      <c r="U1659" s="130">
        <f>IFERROR(VLOOKUP(Tabla3[[#This Row],[Referencia]]&amp;Tabla3[[#This Row],[Desc detalle ext 1]],Tabla1[[Referencia-Color]:[Disponibilidad]],3,FALSE),0)</f>
        <v>15</v>
      </c>
      <c r="V1659" s="13"/>
      <c r="W1659" s="17">
        <f>+Tabla3[[#This Row],[Cant. Programada]]*Tabla3[[#This Row],[Precio unit]]</f>
        <v>0</v>
      </c>
      <c r="X1659" s="8"/>
      <c r="Y1659" s="8"/>
      <c r="Z1659" s="8" t="str">
        <f>+Tabla3[[#This Row],[Referencia]]&amp;Tabla3[[#This Row],[Desc detalle ext 1]]</f>
        <v>DIO 110                                           NEGRO BLA</v>
      </c>
      <c r="AA1659" s="128" t="e">
        <f>+VLOOKUP(Tabla3[[#This Row],[CODIGO2]],ESTANDAR!$B$3:$C$9,2,FALSE)</f>
        <v>#N/A</v>
      </c>
      <c r="AB1659" s="128" t="str">
        <f>+MID(Tabla3[[#This Row],['# Viaje]],10,1)</f>
        <v/>
      </c>
    </row>
    <row r="1660" spans="1:28" ht="15" hidden="1" customHeight="1">
      <c r="A1660" s="44" t="s">
        <v>1775</v>
      </c>
      <c r="B1660" s="45">
        <v>42951</v>
      </c>
      <c r="C1660" s="44" t="s">
        <v>1477</v>
      </c>
      <c r="D1660" s="44" t="s">
        <v>1487</v>
      </c>
      <c r="E1660" s="44" t="s">
        <v>1479</v>
      </c>
      <c r="F1660" s="44">
        <v>1</v>
      </c>
      <c r="G1660" s="44" t="s">
        <v>398</v>
      </c>
      <c r="H1660" s="44">
        <v>1</v>
      </c>
      <c r="I1660" s="44" t="s">
        <v>1776</v>
      </c>
      <c r="J1660" s="44" t="s">
        <v>354</v>
      </c>
      <c r="K1660" s="44" t="s">
        <v>355</v>
      </c>
      <c r="L1660" s="45"/>
      <c r="M1660" s="44" t="s">
        <v>139</v>
      </c>
      <c r="N1660" s="44">
        <v>900768559</v>
      </c>
      <c r="O1660" s="46">
        <v>6133613</v>
      </c>
      <c r="P1660" s="7"/>
      <c r="Q1660" s="16">
        <f>+IF(IFERROR(VLOOKUP(Tabla3[[#This Row],[Cliente factura]],Tabla4[[NIT]:[TOTAL CREDITO]],3,FALSE),0)="",0,IFERROR(VLOOKUP(Tabla3[[#This Row],[Cliente factura]],Tabla4[[NIT]:[TOTAL CREDITO]],3,FALSE),0))</f>
        <v>20422454</v>
      </c>
      <c r="R1660" s="9">
        <f>+IFERROR(VLOOKUP(Tabla3[[#This Row],[Cliente factura]],Tabla4[[NIT]:[TOTAL CREDITO]],6,FALSE),0)</f>
        <v>0</v>
      </c>
      <c r="S1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0" s="10" t="str">
        <f>VLOOKUP(Tabla3[[#This Row],[Razón social cliente factura]]&amp;Tabla3[[#This Row],[Desc. ciudad]],'Estandar de Rutas'!$C$1:$E$553,2,FALSE)</f>
        <v>10.1</v>
      </c>
      <c r="U1660" s="130">
        <f>IFERROR(VLOOKUP(Tabla3[[#This Row],[Referencia]]&amp;Tabla3[[#This Row],[Desc detalle ext 1]],Tabla1[[Referencia-Color]:[Disponibilidad]],3,FALSE),0)</f>
        <v>0</v>
      </c>
      <c r="V1660" s="13"/>
      <c r="W1660" s="17">
        <f>+Tabla3[[#This Row],[Cant. Programada]]*Tabla3[[#This Row],[Precio unit]]</f>
        <v>0</v>
      </c>
      <c r="X1660" s="8"/>
      <c r="Y1660" s="8"/>
      <c r="Z1660" s="8" t="str">
        <f>+Tabla3[[#This Row],[Referencia]]&amp;Tabla3[[#This Row],[Desc detalle ext 1]]</f>
        <v>CB 160F DLX                                       NEGRO PER</v>
      </c>
      <c r="AA1660" s="128" t="e">
        <f>+VLOOKUP(Tabla3[[#This Row],[CODIGO2]],ESTANDAR!$B$3:$C$9,2,FALSE)</f>
        <v>#N/A</v>
      </c>
      <c r="AB1660" s="128" t="str">
        <f>+MID(Tabla3[[#This Row],['# Viaje]],10,1)</f>
        <v/>
      </c>
    </row>
    <row r="1661" spans="1:28" ht="15" hidden="1" customHeight="1">
      <c r="A1661" s="44" t="s">
        <v>1775</v>
      </c>
      <c r="B1661" s="45">
        <v>42951</v>
      </c>
      <c r="C1661" s="44" t="s">
        <v>1477</v>
      </c>
      <c r="D1661" s="44" t="s">
        <v>1487</v>
      </c>
      <c r="E1661" s="44" t="s">
        <v>1479</v>
      </c>
      <c r="F1661" s="44">
        <v>1</v>
      </c>
      <c r="G1661" s="44" t="s">
        <v>398</v>
      </c>
      <c r="H1661" s="44">
        <v>1</v>
      </c>
      <c r="I1661" s="44" t="s">
        <v>1776</v>
      </c>
      <c r="J1661" s="44" t="s">
        <v>1433</v>
      </c>
      <c r="K1661" s="44" t="s">
        <v>1431</v>
      </c>
      <c r="L1661" s="45"/>
      <c r="M1661" s="44" t="s">
        <v>139</v>
      </c>
      <c r="N1661" s="44">
        <v>900768559</v>
      </c>
      <c r="O1661" s="46">
        <v>3521008</v>
      </c>
      <c r="P1661" s="7"/>
      <c r="Q1661" s="16">
        <f>+IF(IFERROR(VLOOKUP(Tabla3[[#This Row],[Cliente factura]],Tabla4[[NIT]:[TOTAL CREDITO]],3,FALSE),0)="",0,IFERROR(VLOOKUP(Tabla3[[#This Row],[Cliente factura]],Tabla4[[NIT]:[TOTAL CREDITO]],3,FALSE),0))</f>
        <v>20422454</v>
      </c>
      <c r="R1661" s="9">
        <f>+IFERROR(VLOOKUP(Tabla3[[#This Row],[Cliente factura]],Tabla4[[NIT]:[TOTAL CREDITO]],6,FALSE),0)</f>
        <v>0</v>
      </c>
      <c r="S1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1" s="10" t="str">
        <f>VLOOKUP(Tabla3[[#This Row],[Razón social cliente factura]]&amp;Tabla3[[#This Row],[Desc. ciudad]],'Estandar de Rutas'!$C$1:$E$553,2,FALSE)</f>
        <v>10.1</v>
      </c>
      <c r="U1661" s="130">
        <f>IFERROR(VLOOKUP(Tabla3[[#This Row],[Referencia]]&amp;Tabla3[[#This Row],[Desc detalle ext 1]],Tabla1[[Referencia-Color]:[Disponibilidad]],3,FALSE),0)</f>
        <v>0</v>
      </c>
      <c r="V1661" s="13"/>
      <c r="W1661" s="17">
        <f>+Tabla3[[#This Row],[Cant. Programada]]*Tabla3[[#This Row],[Precio unit]]</f>
        <v>0</v>
      </c>
      <c r="X1661" s="8"/>
      <c r="Y1661" s="8"/>
      <c r="Z1661" s="8" t="str">
        <f>+Tabla3[[#This Row],[Referencia]]&amp;Tabla3[[#This Row],[Desc detalle ext 1]]</f>
        <v xml:space="preserve">DIO  110                                          ROJO     </v>
      </c>
      <c r="AA1661" s="128" t="e">
        <f>+VLOOKUP(Tabla3[[#This Row],[CODIGO2]],ESTANDAR!$B$3:$C$9,2,FALSE)</f>
        <v>#N/A</v>
      </c>
      <c r="AB1661" s="128" t="str">
        <f>+MID(Tabla3[[#This Row],['# Viaje]],10,1)</f>
        <v/>
      </c>
    </row>
    <row r="1662" spans="1:28" ht="15" hidden="1" customHeight="1">
      <c r="A1662" s="44" t="s">
        <v>1775</v>
      </c>
      <c r="B1662" s="45">
        <v>42951</v>
      </c>
      <c r="C1662" s="44" t="s">
        <v>1477</v>
      </c>
      <c r="D1662" s="44" t="s">
        <v>1487</v>
      </c>
      <c r="E1662" s="44" t="s">
        <v>1479</v>
      </c>
      <c r="F1662" s="44">
        <v>2</v>
      </c>
      <c r="G1662" s="44" t="s">
        <v>398</v>
      </c>
      <c r="H1662" s="44">
        <v>2</v>
      </c>
      <c r="I1662" s="44" t="s">
        <v>1776</v>
      </c>
      <c r="J1662" s="44" t="s">
        <v>1433</v>
      </c>
      <c r="K1662" s="44" t="s">
        <v>1434</v>
      </c>
      <c r="L1662" s="45"/>
      <c r="M1662" s="44" t="s">
        <v>139</v>
      </c>
      <c r="N1662" s="44">
        <v>900768559</v>
      </c>
      <c r="O1662" s="46">
        <v>3521008</v>
      </c>
      <c r="P1662" s="7"/>
      <c r="Q1662" s="16">
        <f>+IF(IFERROR(VLOOKUP(Tabla3[[#This Row],[Cliente factura]],Tabla4[[NIT]:[TOTAL CREDITO]],3,FALSE),0)="",0,IFERROR(VLOOKUP(Tabla3[[#This Row],[Cliente factura]],Tabla4[[NIT]:[TOTAL CREDITO]],3,FALSE),0))</f>
        <v>20422454</v>
      </c>
      <c r="R1662" s="9">
        <f>+IFERROR(VLOOKUP(Tabla3[[#This Row],[Cliente factura]],Tabla4[[NIT]:[TOTAL CREDITO]],6,FALSE),0)</f>
        <v>0</v>
      </c>
      <c r="S1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2" s="10" t="str">
        <f>VLOOKUP(Tabla3[[#This Row],[Razón social cliente factura]]&amp;Tabla3[[#This Row],[Desc. ciudad]],'Estandar de Rutas'!$C$1:$E$553,2,FALSE)</f>
        <v>10.1</v>
      </c>
      <c r="U1662" s="130">
        <f>IFERROR(VLOOKUP(Tabla3[[#This Row],[Referencia]]&amp;Tabla3[[#This Row],[Desc detalle ext 1]],Tabla1[[Referencia-Color]:[Disponibilidad]],3,FALSE),0)</f>
        <v>23</v>
      </c>
      <c r="V1662" s="13"/>
      <c r="W1662" s="17">
        <f>+Tabla3[[#This Row],[Cant. Programada]]*Tabla3[[#This Row],[Precio unit]]</f>
        <v>0</v>
      </c>
      <c r="X1662" s="8"/>
      <c r="Y1662" s="8"/>
      <c r="Z1662" s="8" t="str">
        <f>+Tabla3[[#This Row],[Referencia]]&amp;Tabla3[[#This Row],[Desc detalle ext 1]]</f>
        <v>DIO  110                                          BLANCO NE</v>
      </c>
      <c r="AA1662" s="128" t="e">
        <f>+VLOOKUP(Tabla3[[#This Row],[CODIGO2]],ESTANDAR!$B$3:$C$9,2,FALSE)</f>
        <v>#N/A</v>
      </c>
      <c r="AB1662" s="128" t="str">
        <f>+MID(Tabla3[[#This Row],['# Viaje]],10,1)</f>
        <v/>
      </c>
    </row>
    <row r="1663" spans="1:28" ht="15" hidden="1" customHeight="1">
      <c r="A1663" s="47" t="s">
        <v>1775</v>
      </c>
      <c r="B1663" s="48">
        <v>42951</v>
      </c>
      <c r="C1663" s="47" t="s">
        <v>1477</v>
      </c>
      <c r="D1663" s="47" t="s">
        <v>1487</v>
      </c>
      <c r="E1663" s="47" t="s">
        <v>1479</v>
      </c>
      <c r="F1663" s="47">
        <v>1</v>
      </c>
      <c r="G1663" s="47" t="s">
        <v>398</v>
      </c>
      <c r="H1663" s="47">
        <v>1</v>
      </c>
      <c r="I1663" s="47" t="s">
        <v>1776</v>
      </c>
      <c r="J1663" s="47" t="s">
        <v>1433</v>
      </c>
      <c r="K1663" s="47" t="s">
        <v>1452</v>
      </c>
      <c r="L1663" s="48"/>
      <c r="M1663" s="47" t="s">
        <v>139</v>
      </c>
      <c r="N1663" s="47">
        <v>900768559</v>
      </c>
      <c r="O1663" s="49">
        <v>3521008</v>
      </c>
      <c r="P1663" s="7"/>
      <c r="Q1663" s="16">
        <f>+IF(IFERROR(VLOOKUP(Tabla3[[#This Row],[Cliente factura]],Tabla4[[NIT]:[TOTAL CREDITO]],3,FALSE),0)="",0,IFERROR(VLOOKUP(Tabla3[[#This Row],[Cliente factura]],Tabla4[[NIT]:[TOTAL CREDITO]],3,FALSE),0))</f>
        <v>20422454</v>
      </c>
      <c r="R1663" s="9">
        <f>+IFERROR(VLOOKUP(Tabla3[[#This Row],[Cliente factura]],Tabla4[[NIT]:[TOTAL CREDITO]],6,FALSE),0)</f>
        <v>0</v>
      </c>
      <c r="S1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3" s="10" t="str">
        <f>VLOOKUP(Tabla3[[#This Row],[Razón social cliente factura]]&amp;Tabla3[[#This Row],[Desc. ciudad]],'Estandar de Rutas'!$C$1:$E$553,2,FALSE)</f>
        <v>10.1</v>
      </c>
      <c r="U1663" s="130">
        <f>IFERROR(VLOOKUP(Tabla3[[#This Row],[Referencia]]&amp;Tabla3[[#This Row],[Desc detalle ext 1]],Tabla1[[Referencia-Color]:[Disponibilidad]],3,FALSE),0)</f>
        <v>0</v>
      </c>
      <c r="V1663" s="13"/>
      <c r="W1663" s="17">
        <f>+Tabla3[[#This Row],[Cant. Programada]]*Tabla3[[#This Row],[Precio unit]]</f>
        <v>0</v>
      </c>
      <c r="X1663" s="8"/>
      <c r="Y1663" s="8"/>
      <c r="Z1663" s="8" t="str">
        <f>+Tabla3[[#This Row],[Referencia]]&amp;Tabla3[[#This Row],[Desc detalle ext 1]]</f>
        <v xml:space="preserve">DIO  110                                          AZUL     </v>
      </c>
      <c r="AA1663" s="128" t="e">
        <f>+VLOOKUP(Tabla3[[#This Row],[CODIGO2]],ESTANDAR!$B$3:$C$9,2,FALSE)</f>
        <v>#N/A</v>
      </c>
      <c r="AB1663" s="128" t="str">
        <f>+MID(Tabla3[[#This Row],['# Viaje]],10,1)</f>
        <v/>
      </c>
    </row>
    <row r="1664" spans="1:28" ht="15" hidden="1" customHeight="1">
      <c r="A1664" s="38" t="s">
        <v>1775</v>
      </c>
      <c r="B1664" s="39">
        <v>42951</v>
      </c>
      <c r="C1664" s="38" t="s">
        <v>1477</v>
      </c>
      <c r="D1664" s="38" t="s">
        <v>1487</v>
      </c>
      <c r="E1664" s="38" t="s">
        <v>1479</v>
      </c>
      <c r="F1664" s="38">
        <v>3</v>
      </c>
      <c r="G1664" s="38" t="s">
        <v>398</v>
      </c>
      <c r="H1664" s="38">
        <v>3</v>
      </c>
      <c r="I1664" s="38" t="s">
        <v>1776</v>
      </c>
      <c r="J1664" s="38" t="s">
        <v>1428</v>
      </c>
      <c r="K1664" s="38" t="s">
        <v>32</v>
      </c>
      <c r="L1664" s="39"/>
      <c r="M1664" s="38" t="s">
        <v>139</v>
      </c>
      <c r="N1664" s="38">
        <v>900768559</v>
      </c>
      <c r="O1664" s="40">
        <v>3067227</v>
      </c>
      <c r="P1664" s="7"/>
      <c r="Q1664" s="16">
        <f>+IF(IFERROR(VLOOKUP(Tabla3[[#This Row],[Cliente factura]],Tabla4[[NIT]:[TOTAL CREDITO]],3,FALSE),0)="",0,IFERROR(VLOOKUP(Tabla3[[#This Row],[Cliente factura]],Tabla4[[NIT]:[TOTAL CREDITO]],3,FALSE),0))</f>
        <v>20422454</v>
      </c>
      <c r="R1664" s="9">
        <f>+IFERROR(VLOOKUP(Tabla3[[#This Row],[Cliente factura]],Tabla4[[NIT]:[TOTAL CREDITO]],6,FALSE),0)</f>
        <v>0</v>
      </c>
      <c r="S1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4" s="10" t="str">
        <f>VLOOKUP(Tabla3[[#This Row],[Razón social cliente factura]]&amp;Tabla3[[#This Row],[Desc. ciudad]],'Estandar de Rutas'!$C$1:$E$553,2,FALSE)</f>
        <v>10.1</v>
      </c>
      <c r="U1664" s="130">
        <f>IFERROR(VLOOKUP(Tabla3[[#This Row],[Referencia]]&amp;Tabla3[[#This Row],[Desc detalle ext 1]],Tabla1[[Referencia-Color]:[Disponibilidad]],3,FALSE),0)</f>
        <v>0</v>
      </c>
      <c r="V1664" s="13"/>
      <c r="W1664" s="17">
        <f>+Tabla3[[#This Row],[Cant. Programada]]*Tabla3[[#This Row],[Precio unit]]</f>
        <v>0</v>
      </c>
      <c r="X1664" s="8"/>
      <c r="Y1664" s="8"/>
      <c r="Z1664" s="8" t="str">
        <f>+Tabla3[[#This Row],[Referencia]]&amp;Tabla3[[#This Row],[Desc detalle ext 1]]</f>
        <v>DREAM  NEO                                        NEGRO ROJ</v>
      </c>
      <c r="AA1664" s="128" t="e">
        <f>+VLOOKUP(Tabla3[[#This Row],[CODIGO2]],ESTANDAR!$B$3:$C$9,2,FALSE)</f>
        <v>#N/A</v>
      </c>
      <c r="AB1664" s="128" t="str">
        <f>+MID(Tabla3[[#This Row],['# Viaje]],10,1)</f>
        <v/>
      </c>
    </row>
    <row r="1665" spans="1:28" ht="15" hidden="1" customHeight="1">
      <c r="A1665" s="38" t="s">
        <v>1775</v>
      </c>
      <c r="B1665" s="39">
        <v>42951</v>
      </c>
      <c r="C1665" s="38" t="s">
        <v>1477</v>
      </c>
      <c r="D1665" s="38" t="s">
        <v>1487</v>
      </c>
      <c r="E1665" s="38" t="s">
        <v>1479</v>
      </c>
      <c r="F1665" s="38">
        <v>5</v>
      </c>
      <c r="G1665" s="38" t="s">
        <v>398</v>
      </c>
      <c r="H1665" s="38">
        <v>5</v>
      </c>
      <c r="I1665" s="38" t="s">
        <v>1776</v>
      </c>
      <c r="J1665" s="38" t="s">
        <v>1428</v>
      </c>
      <c r="K1665" s="38" t="s">
        <v>1429</v>
      </c>
      <c r="L1665" s="39"/>
      <c r="M1665" s="38" t="s">
        <v>139</v>
      </c>
      <c r="N1665" s="38">
        <v>900768559</v>
      </c>
      <c r="O1665" s="40">
        <v>3067227</v>
      </c>
      <c r="P1665" s="7"/>
      <c r="Q1665" s="16">
        <f>+IF(IFERROR(VLOOKUP(Tabla3[[#This Row],[Cliente factura]],Tabla4[[NIT]:[TOTAL CREDITO]],3,FALSE),0)="",0,IFERROR(VLOOKUP(Tabla3[[#This Row],[Cliente factura]],Tabla4[[NIT]:[TOTAL CREDITO]],3,FALSE),0))</f>
        <v>20422454</v>
      </c>
      <c r="R1665" s="9">
        <f>+IFERROR(VLOOKUP(Tabla3[[#This Row],[Cliente factura]],Tabla4[[NIT]:[TOTAL CREDITO]],6,FALSE),0)</f>
        <v>0</v>
      </c>
      <c r="S1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5" s="10" t="str">
        <f>VLOOKUP(Tabla3[[#This Row],[Razón social cliente factura]]&amp;Tabla3[[#This Row],[Desc. ciudad]],'Estandar de Rutas'!$C$1:$E$553,2,FALSE)</f>
        <v>10.1</v>
      </c>
      <c r="U1665" s="130">
        <f>IFERROR(VLOOKUP(Tabla3[[#This Row],[Referencia]]&amp;Tabla3[[#This Row],[Desc detalle ext 1]],Tabla1[[Referencia-Color]:[Disponibilidad]],3,FALSE),0)</f>
        <v>0</v>
      </c>
      <c r="V1665" s="13"/>
      <c r="W1665" s="17">
        <f>+Tabla3[[#This Row],[Cant. Programada]]*Tabla3[[#This Row],[Precio unit]]</f>
        <v>0</v>
      </c>
      <c r="X1665" s="8"/>
      <c r="Y1665" s="8"/>
      <c r="Z1665" s="8" t="str">
        <f>+Tabla3[[#This Row],[Referencia]]&amp;Tabla3[[#This Row],[Desc detalle ext 1]]</f>
        <v>DREAM  NEO                                        NEGRO AZU</v>
      </c>
      <c r="AA1665" s="128" t="e">
        <f>+VLOOKUP(Tabla3[[#This Row],[CODIGO2]],ESTANDAR!$B$3:$C$9,2,FALSE)</f>
        <v>#N/A</v>
      </c>
      <c r="AB1665" s="128" t="str">
        <f>+MID(Tabla3[[#This Row],['# Viaje]],10,1)</f>
        <v/>
      </c>
    </row>
    <row r="1666" spans="1:28" ht="15" hidden="1" customHeight="1">
      <c r="A1666" s="38" t="s">
        <v>1775</v>
      </c>
      <c r="B1666" s="39">
        <v>42951</v>
      </c>
      <c r="C1666" s="38" t="s">
        <v>1477</v>
      </c>
      <c r="D1666" s="38" t="s">
        <v>1487</v>
      </c>
      <c r="E1666" s="38" t="s">
        <v>1479</v>
      </c>
      <c r="F1666" s="38">
        <v>2</v>
      </c>
      <c r="G1666" s="38" t="s">
        <v>398</v>
      </c>
      <c r="H1666" s="38">
        <v>2</v>
      </c>
      <c r="I1666" s="38" t="s">
        <v>1776</v>
      </c>
      <c r="J1666" s="38" t="s">
        <v>1428</v>
      </c>
      <c r="K1666" s="38" t="s">
        <v>1461</v>
      </c>
      <c r="L1666" s="39"/>
      <c r="M1666" s="38" t="s">
        <v>139</v>
      </c>
      <c r="N1666" s="38">
        <v>900768559</v>
      </c>
      <c r="O1666" s="40">
        <v>3067227</v>
      </c>
      <c r="P1666" s="7"/>
      <c r="Q1666" s="16">
        <f>+IF(IFERROR(VLOOKUP(Tabla3[[#This Row],[Cliente factura]],Tabla4[[NIT]:[TOTAL CREDITO]],3,FALSE),0)="",0,IFERROR(VLOOKUP(Tabla3[[#This Row],[Cliente factura]],Tabla4[[NIT]:[TOTAL CREDITO]],3,FALSE),0))</f>
        <v>20422454</v>
      </c>
      <c r="R1666" s="9">
        <f>+IFERROR(VLOOKUP(Tabla3[[#This Row],[Cliente factura]],Tabla4[[NIT]:[TOTAL CREDITO]],6,FALSE),0)</f>
        <v>0</v>
      </c>
      <c r="S1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6" s="10" t="str">
        <f>VLOOKUP(Tabla3[[#This Row],[Razón social cliente factura]]&amp;Tabla3[[#This Row],[Desc. ciudad]],'Estandar de Rutas'!$C$1:$E$553,2,FALSE)</f>
        <v>10.1</v>
      </c>
      <c r="U1666" s="130">
        <f>IFERROR(VLOOKUP(Tabla3[[#This Row],[Referencia]]&amp;Tabla3[[#This Row],[Desc detalle ext 1]],Tabla1[[Referencia-Color]:[Disponibilidad]],3,FALSE),0)</f>
        <v>0</v>
      </c>
      <c r="V1666" s="13"/>
      <c r="W1666" s="17">
        <f>+Tabla3[[#This Row],[Cant. Programada]]*Tabla3[[#This Row],[Precio unit]]</f>
        <v>0</v>
      </c>
      <c r="X1666" s="8"/>
      <c r="Y1666" s="8"/>
      <c r="Z1666" s="8" t="str">
        <f>+Tabla3[[#This Row],[Referencia]]&amp;Tabla3[[#This Row],[Desc detalle ext 1]]</f>
        <v>DREAM  NEO                                        ROJO ALFA</v>
      </c>
      <c r="AA1666" s="128" t="e">
        <f>+VLOOKUP(Tabla3[[#This Row],[CODIGO2]],ESTANDAR!$B$3:$C$9,2,FALSE)</f>
        <v>#N/A</v>
      </c>
      <c r="AB1666" s="128" t="str">
        <f>+MID(Tabla3[[#This Row],['# Viaje]],10,1)</f>
        <v/>
      </c>
    </row>
    <row r="1667" spans="1:28" ht="15" hidden="1" customHeight="1">
      <c r="A1667" s="38" t="s">
        <v>1775</v>
      </c>
      <c r="B1667" s="39">
        <v>42951</v>
      </c>
      <c r="C1667" s="38" t="s">
        <v>1477</v>
      </c>
      <c r="D1667" s="38" t="s">
        <v>1487</v>
      </c>
      <c r="E1667" s="38" t="s">
        <v>1479</v>
      </c>
      <c r="F1667" s="38">
        <v>1</v>
      </c>
      <c r="G1667" s="38" t="s">
        <v>398</v>
      </c>
      <c r="H1667" s="38">
        <v>1</v>
      </c>
      <c r="I1667" s="38" t="s">
        <v>1776</v>
      </c>
      <c r="J1667" s="38" t="s">
        <v>1430</v>
      </c>
      <c r="K1667" s="38" t="s">
        <v>1431</v>
      </c>
      <c r="L1667" s="39"/>
      <c r="M1667" s="38" t="s">
        <v>139</v>
      </c>
      <c r="N1667" s="38">
        <v>900768559</v>
      </c>
      <c r="O1667" s="40">
        <v>3941176</v>
      </c>
      <c r="P1667" s="7"/>
      <c r="Q1667" s="16">
        <f>+IF(IFERROR(VLOOKUP(Tabla3[[#This Row],[Cliente factura]],Tabla4[[NIT]:[TOTAL CREDITO]],3,FALSE),0)="",0,IFERROR(VLOOKUP(Tabla3[[#This Row],[Cliente factura]],Tabla4[[NIT]:[TOTAL CREDITO]],3,FALSE),0))</f>
        <v>20422454</v>
      </c>
      <c r="R1667" s="9">
        <f>+IFERROR(VLOOKUP(Tabla3[[#This Row],[Cliente factura]],Tabla4[[NIT]:[TOTAL CREDITO]],6,FALSE),0)</f>
        <v>0</v>
      </c>
      <c r="S1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7" s="10" t="str">
        <f>VLOOKUP(Tabla3[[#This Row],[Razón social cliente factura]]&amp;Tabla3[[#This Row],[Desc. ciudad]],'Estandar de Rutas'!$C$1:$E$553,2,FALSE)</f>
        <v>10.1</v>
      </c>
      <c r="U1667" s="130">
        <f>IFERROR(VLOOKUP(Tabla3[[#This Row],[Referencia]]&amp;Tabla3[[#This Row],[Desc detalle ext 1]],Tabla1[[Referencia-Color]:[Disponibilidad]],3,FALSE),0)</f>
        <v>0</v>
      </c>
      <c r="V1667" s="13"/>
      <c r="W1667" s="17">
        <f>+Tabla3[[#This Row],[Cant. Programada]]*Tabla3[[#This Row],[Precio unit]]</f>
        <v>0</v>
      </c>
      <c r="X1667" s="8"/>
      <c r="Y1667" s="8"/>
      <c r="Z1667" s="8" t="str">
        <f>+Tabla3[[#This Row],[Referencia]]&amp;Tabla3[[#This Row],[Desc detalle ext 1]]</f>
        <v xml:space="preserve">WAVE 110S                                         ROJO     </v>
      </c>
      <c r="AA1667" s="128" t="e">
        <f>+VLOOKUP(Tabla3[[#This Row],[CODIGO2]],ESTANDAR!$B$3:$C$9,2,FALSE)</f>
        <v>#N/A</v>
      </c>
      <c r="AB1667" s="128" t="str">
        <f>+MID(Tabla3[[#This Row],['# Viaje]],10,1)</f>
        <v/>
      </c>
    </row>
    <row r="1668" spans="1:28" ht="15" hidden="1" customHeight="1">
      <c r="A1668" s="38" t="s">
        <v>1775</v>
      </c>
      <c r="B1668" s="39">
        <v>42951</v>
      </c>
      <c r="C1668" s="38" t="s">
        <v>1477</v>
      </c>
      <c r="D1668" s="38" t="s">
        <v>1487</v>
      </c>
      <c r="E1668" s="38" t="s">
        <v>1479</v>
      </c>
      <c r="F1668" s="38">
        <v>1</v>
      </c>
      <c r="G1668" s="38" t="s">
        <v>398</v>
      </c>
      <c r="H1668" s="38">
        <v>1</v>
      </c>
      <c r="I1668" s="38" t="s">
        <v>1776</v>
      </c>
      <c r="J1668" s="38" t="s">
        <v>1430</v>
      </c>
      <c r="K1668" s="38" t="s">
        <v>1432</v>
      </c>
      <c r="L1668" s="39"/>
      <c r="M1668" s="38" t="s">
        <v>139</v>
      </c>
      <c r="N1668" s="38">
        <v>900768559</v>
      </c>
      <c r="O1668" s="40">
        <v>3941176</v>
      </c>
      <c r="P1668" s="7"/>
      <c r="Q1668" s="16">
        <f>+IF(IFERROR(VLOOKUP(Tabla3[[#This Row],[Cliente factura]],Tabla4[[NIT]:[TOTAL CREDITO]],3,FALSE),0)="",0,IFERROR(VLOOKUP(Tabla3[[#This Row],[Cliente factura]],Tabla4[[NIT]:[TOTAL CREDITO]],3,FALSE),0))</f>
        <v>20422454</v>
      </c>
      <c r="R1668" s="9">
        <f>+IFERROR(VLOOKUP(Tabla3[[#This Row],[Cliente factura]],Tabla4[[NIT]:[TOTAL CREDITO]],6,FALSE),0)</f>
        <v>0</v>
      </c>
      <c r="S1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8" s="10" t="str">
        <f>VLOOKUP(Tabla3[[#This Row],[Razón social cliente factura]]&amp;Tabla3[[#This Row],[Desc. ciudad]],'Estandar de Rutas'!$C$1:$E$553,2,FALSE)</f>
        <v>10.1</v>
      </c>
      <c r="U1668" s="130">
        <f>IFERROR(VLOOKUP(Tabla3[[#This Row],[Referencia]]&amp;Tabla3[[#This Row],[Desc detalle ext 1]],Tabla1[[Referencia-Color]:[Disponibilidad]],3,FALSE),0)</f>
        <v>23</v>
      </c>
      <c r="V1668" s="13"/>
      <c r="W1668" s="17">
        <f>+Tabla3[[#This Row],[Cant. Programada]]*Tabla3[[#This Row],[Precio unit]]</f>
        <v>0</v>
      </c>
      <c r="X1668" s="8"/>
      <c r="Y1668" s="8"/>
      <c r="Z1668" s="8" t="str">
        <f>+Tabla3[[#This Row],[Referencia]]&amp;Tabla3[[#This Row],[Desc detalle ext 1]]</f>
        <v xml:space="preserve">WAVE 110S                                         BLANCO   </v>
      </c>
      <c r="AA1668" s="128" t="e">
        <f>+VLOOKUP(Tabla3[[#This Row],[CODIGO2]],ESTANDAR!$B$3:$C$9,2,FALSE)</f>
        <v>#N/A</v>
      </c>
      <c r="AB1668" s="128" t="str">
        <f>+MID(Tabla3[[#This Row],['# Viaje]],10,1)</f>
        <v/>
      </c>
    </row>
    <row r="1669" spans="1:28" ht="15" hidden="1" customHeight="1">
      <c r="A1669" s="38" t="s">
        <v>1775</v>
      </c>
      <c r="B1669" s="39">
        <v>42951</v>
      </c>
      <c r="C1669" s="38" t="s">
        <v>1477</v>
      </c>
      <c r="D1669" s="38" t="s">
        <v>1487</v>
      </c>
      <c r="E1669" s="38" t="s">
        <v>1479</v>
      </c>
      <c r="F1669" s="38">
        <v>1</v>
      </c>
      <c r="G1669" s="38" t="s">
        <v>398</v>
      </c>
      <c r="H1669" s="38">
        <v>1</v>
      </c>
      <c r="I1669" s="38" t="s">
        <v>1776</v>
      </c>
      <c r="J1669" s="38" t="s">
        <v>1451</v>
      </c>
      <c r="K1669" s="38" t="s">
        <v>1431</v>
      </c>
      <c r="L1669" s="39"/>
      <c r="M1669" s="38" t="s">
        <v>139</v>
      </c>
      <c r="N1669" s="38">
        <v>900768559</v>
      </c>
      <c r="O1669" s="40">
        <v>3696639</v>
      </c>
      <c r="P1669" s="7"/>
      <c r="Q1669" s="16">
        <f>+IF(IFERROR(VLOOKUP(Tabla3[[#This Row],[Cliente factura]],Tabla4[[NIT]:[TOTAL CREDITO]],3,FALSE),0)="",0,IFERROR(VLOOKUP(Tabla3[[#This Row],[Cliente factura]],Tabla4[[NIT]:[TOTAL CREDITO]],3,FALSE),0))</f>
        <v>20422454</v>
      </c>
      <c r="R1669" s="9">
        <f>+IFERROR(VLOOKUP(Tabla3[[#This Row],[Cliente factura]],Tabla4[[NIT]:[TOTAL CREDITO]],6,FALSE),0)</f>
        <v>0</v>
      </c>
      <c r="S1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9" s="10" t="str">
        <f>VLOOKUP(Tabla3[[#This Row],[Razón social cliente factura]]&amp;Tabla3[[#This Row],[Desc. ciudad]],'Estandar de Rutas'!$C$1:$E$553,2,FALSE)</f>
        <v>10.1</v>
      </c>
      <c r="U1669" s="130">
        <f>IFERROR(VLOOKUP(Tabla3[[#This Row],[Referencia]]&amp;Tabla3[[#This Row],[Desc detalle ext 1]],Tabla1[[Referencia-Color]:[Disponibilidad]],3,FALSE),0)</f>
        <v>21</v>
      </c>
      <c r="V1669" s="13"/>
      <c r="W1669" s="17">
        <f>+Tabla3[[#This Row],[Cant. Programada]]*Tabla3[[#This Row],[Precio unit]]</f>
        <v>0</v>
      </c>
      <c r="X1669" s="8"/>
      <c r="Y1669" s="8"/>
      <c r="Z1669" s="8" t="str">
        <f>+Tabla3[[#This Row],[Referencia]]&amp;Tabla3[[#This Row],[Desc detalle ext 1]]</f>
        <v xml:space="preserve">CB 110 DLX                                        ROJO     </v>
      </c>
      <c r="AA1669" s="128" t="e">
        <f>+VLOOKUP(Tabla3[[#This Row],[CODIGO2]],ESTANDAR!$B$3:$C$9,2,FALSE)</f>
        <v>#N/A</v>
      </c>
      <c r="AB1669" s="128" t="str">
        <f>+MID(Tabla3[[#This Row],['# Viaje]],10,1)</f>
        <v/>
      </c>
    </row>
    <row r="1670" spans="1:28" ht="15" hidden="1" customHeight="1">
      <c r="A1670" s="38" t="s">
        <v>1775</v>
      </c>
      <c r="B1670" s="39">
        <v>42951</v>
      </c>
      <c r="C1670" s="38" t="s">
        <v>1477</v>
      </c>
      <c r="D1670" s="38" t="s">
        <v>1487</v>
      </c>
      <c r="E1670" s="38" t="s">
        <v>1479</v>
      </c>
      <c r="F1670" s="38">
        <v>3</v>
      </c>
      <c r="G1670" s="38" t="s">
        <v>398</v>
      </c>
      <c r="H1670" s="38">
        <v>3</v>
      </c>
      <c r="I1670" s="38" t="s">
        <v>1776</v>
      </c>
      <c r="J1670" s="38" t="s">
        <v>1451</v>
      </c>
      <c r="K1670" s="38" t="s">
        <v>16</v>
      </c>
      <c r="L1670" s="39"/>
      <c r="M1670" s="38" t="s">
        <v>139</v>
      </c>
      <c r="N1670" s="38">
        <v>900768559</v>
      </c>
      <c r="O1670" s="40">
        <v>3696639</v>
      </c>
      <c r="P1670" s="7"/>
      <c r="Q1670" s="16">
        <f>+IF(IFERROR(VLOOKUP(Tabla3[[#This Row],[Cliente factura]],Tabla4[[NIT]:[TOTAL CREDITO]],3,FALSE),0)="",0,IFERROR(VLOOKUP(Tabla3[[#This Row],[Cliente factura]],Tabla4[[NIT]:[TOTAL CREDITO]],3,FALSE),0))</f>
        <v>20422454</v>
      </c>
      <c r="R1670" s="9">
        <f>+IFERROR(VLOOKUP(Tabla3[[#This Row],[Cliente factura]],Tabla4[[NIT]:[TOTAL CREDITO]],6,FALSE),0)</f>
        <v>0</v>
      </c>
      <c r="S1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0" s="10" t="str">
        <f>VLOOKUP(Tabla3[[#This Row],[Razón social cliente factura]]&amp;Tabla3[[#This Row],[Desc. ciudad]],'Estandar de Rutas'!$C$1:$E$553,2,FALSE)</f>
        <v>10.1</v>
      </c>
      <c r="U1670" s="130">
        <f>IFERROR(VLOOKUP(Tabla3[[#This Row],[Referencia]]&amp;Tabla3[[#This Row],[Desc detalle ext 1]],Tabla1[[Referencia-Color]:[Disponibilidad]],3,FALSE),0)</f>
        <v>3</v>
      </c>
      <c r="V1670" s="13"/>
      <c r="W1670" s="17">
        <f>+Tabla3[[#This Row],[Cant. Programada]]*Tabla3[[#This Row],[Precio unit]]</f>
        <v>0</v>
      </c>
      <c r="X1670" s="8"/>
      <c r="Y1670" s="8"/>
      <c r="Z1670" s="8" t="str">
        <f>+Tabla3[[#This Row],[Referencia]]&amp;Tabla3[[#This Row],[Desc detalle ext 1]]</f>
        <v xml:space="preserve">CB 110 DLX                                        NEGRO    </v>
      </c>
      <c r="AA1670" s="128" t="e">
        <f>+VLOOKUP(Tabla3[[#This Row],[CODIGO2]],ESTANDAR!$B$3:$C$9,2,FALSE)</f>
        <v>#N/A</v>
      </c>
      <c r="AB1670" s="128" t="str">
        <f>+MID(Tabla3[[#This Row],['# Viaje]],10,1)</f>
        <v/>
      </c>
    </row>
    <row r="1671" spans="1:28" ht="15" hidden="1" customHeight="1">
      <c r="A1671" s="38" t="s">
        <v>1777</v>
      </c>
      <c r="B1671" s="39">
        <v>42951</v>
      </c>
      <c r="C1671" s="38" t="s">
        <v>1231</v>
      </c>
      <c r="D1671" s="38" t="s">
        <v>1487</v>
      </c>
      <c r="E1671" s="38" t="s">
        <v>1479</v>
      </c>
      <c r="F1671" s="38">
        <v>1</v>
      </c>
      <c r="G1671" s="38" t="s">
        <v>398</v>
      </c>
      <c r="H1671" s="38">
        <v>1</v>
      </c>
      <c r="I1671" s="38" t="s">
        <v>1934</v>
      </c>
      <c r="J1671" s="38" t="s">
        <v>14</v>
      </c>
      <c r="K1671" s="38" t="s">
        <v>17</v>
      </c>
      <c r="L1671" s="39"/>
      <c r="M1671" s="38" t="s">
        <v>139</v>
      </c>
      <c r="N1671" s="38">
        <v>900768559</v>
      </c>
      <c r="O1671" s="40">
        <v>3360504</v>
      </c>
      <c r="P1671" s="7"/>
      <c r="Q1671" s="16">
        <f>+IF(IFERROR(VLOOKUP(Tabla3[[#This Row],[Cliente factura]],Tabla4[[NIT]:[TOTAL CREDITO]],3,FALSE),0)="",0,IFERROR(VLOOKUP(Tabla3[[#This Row],[Cliente factura]],Tabla4[[NIT]:[TOTAL CREDITO]],3,FALSE),0))</f>
        <v>20422454</v>
      </c>
      <c r="R1671" s="9">
        <f>+IFERROR(VLOOKUP(Tabla3[[#This Row],[Cliente factura]],Tabla4[[NIT]:[TOTAL CREDITO]],6,FALSE),0)</f>
        <v>0</v>
      </c>
      <c r="S1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1" s="10" t="str">
        <f>VLOOKUP(Tabla3[[#This Row],[Razón social cliente factura]]&amp;Tabla3[[#This Row],[Desc. ciudad]],'Estandar de Rutas'!$C$1:$E$553,2,FALSE)</f>
        <v>10.1</v>
      </c>
      <c r="U1671" s="130">
        <f>IFERROR(VLOOKUP(Tabla3[[#This Row],[Referencia]]&amp;Tabla3[[#This Row],[Desc detalle ext 1]],Tabla1[[Referencia-Color]:[Disponibilidad]],3,FALSE),0)</f>
        <v>38</v>
      </c>
      <c r="V1671" s="13"/>
      <c r="W1671" s="17">
        <f>+Tabla3[[#This Row],[Cant. Programada]]*Tabla3[[#This Row],[Precio unit]]</f>
        <v>0</v>
      </c>
      <c r="X1671" s="8"/>
      <c r="Y1671" s="8"/>
      <c r="Z1671" s="8" t="str">
        <f>+Tabla3[[#This Row],[Referencia]]&amp;Tabla3[[#This Row],[Desc detalle ext 1]]</f>
        <v>*CB-110                                           ROJO SPOR</v>
      </c>
      <c r="AA1671" s="128" t="e">
        <f>+VLOOKUP(Tabla3[[#This Row],[CODIGO2]],ESTANDAR!$B$3:$C$9,2,FALSE)</f>
        <v>#N/A</v>
      </c>
      <c r="AB1671" s="128" t="str">
        <f>+MID(Tabla3[[#This Row],['# Viaje]],10,1)</f>
        <v/>
      </c>
    </row>
    <row r="1672" spans="1:28" ht="15" hidden="1" customHeight="1">
      <c r="A1672" s="38" t="s">
        <v>1777</v>
      </c>
      <c r="B1672" s="39">
        <v>42951</v>
      </c>
      <c r="C1672" s="38" t="s">
        <v>1231</v>
      </c>
      <c r="D1672" s="38" t="s">
        <v>1487</v>
      </c>
      <c r="E1672" s="38" t="s">
        <v>1479</v>
      </c>
      <c r="F1672" s="38">
        <v>1</v>
      </c>
      <c r="G1672" s="38" t="s">
        <v>398</v>
      </c>
      <c r="H1672" s="38">
        <v>1</v>
      </c>
      <c r="I1672" s="38" t="s">
        <v>1934</v>
      </c>
      <c r="J1672" s="38" t="s">
        <v>25</v>
      </c>
      <c r="K1672" s="38" t="s">
        <v>26</v>
      </c>
      <c r="L1672" s="39"/>
      <c r="M1672" s="38" t="s">
        <v>139</v>
      </c>
      <c r="N1672" s="38">
        <v>900768559</v>
      </c>
      <c r="O1672" s="40">
        <v>3521008</v>
      </c>
      <c r="P1672" s="7"/>
      <c r="Q1672" s="16">
        <f>+IF(IFERROR(VLOOKUP(Tabla3[[#This Row],[Cliente factura]],Tabla4[[NIT]:[TOTAL CREDITO]],3,FALSE),0)="",0,IFERROR(VLOOKUP(Tabla3[[#This Row],[Cliente factura]],Tabla4[[NIT]:[TOTAL CREDITO]],3,FALSE),0))</f>
        <v>20422454</v>
      </c>
      <c r="R1672" s="9">
        <f>+IFERROR(VLOOKUP(Tabla3[[#This Row],[Cliente factura]],Tabla4[[NIT]:[TOTAL CREDITO]],6,FALSE),0)</f>
        <v>0</v>
      </c>
      <c r="S1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2" s="10" t="str">
        <f>VLOOKUP(Tabla3[[#This Row],[Razón social cliente factura]]&amp;Tabla3[[#This Row],[Desc. ciudad]],'Estandar de Rutas'!$C$1:$E$553,2,FALSE)</f>
        <v>10.1</v>
      </c>
      <c r="U1672" s="130">
        <f>IFERROR(VLOOKUP(Tabla3[[#This Row],[Referencia]]&amp;Tabla3[[#This Row],[Desc detalle ext 1]],Tabla1[[Referencia-Color]:[Disponibilidad]],3,FALSE),0)</f>
        <v>15</v>
      </c>
      <c r="V1672" s="13"/>
      <c r="W1672" s="17">
        <f>+Tabla3[[#This Row],[Cant. Programada]]*Tabla3[[#This Row],[Precio unit]]</f>
        <v>0</v>
      </c>
      <c r="X1672" s="8"/>
      <c r="Y1672" s="8"/>
      <c r="Z1672" s="8" t="str">
        <f>+Tabla3[[#This Row],[Referencia]]&amp;Tabla3[[#This Row],[Desc detalle ext 1]]</f>
        <v>DIO 110                                           NEGRO BLA</v>
      </c>
      <c r="AA1672" s="128" t="e">
        <f>+VLOOKUP(Tabla3[[#This Row],[CODIGO2]],ESTANDAR!$B$3:$C$9,2,FALSE)</f>
        <v>#N/A</v>
      </c>
      <c r="AB1672" s="128" t="str">
        <f>+MID(Tabla3[[#This Row],['# Viaje]],10,1)</f>
        <v/>
      </c>
    </row>
    <row r="1673" spans="1:28" ht="15" hidden="1" customHeight="1">
      <c r="A1673" s="38" t="s">
        <v>1777</v>
      </c>
      <c r="B1673" s="39">
        <v>42951</v>
      </c>
      <c r="C1673" s="38" t="s">
        <v>1231</v>
      </c>
      <c r="D1673" s="38" t="s">
        <v>1487</v>
      </c>
      <c r="E1673" s="38" t="s">
        <v>1479</v>
      </c>
      <c r="F1673" s="38">
        <v>1</v>
      </c>
      <c r="G1673" s="38" t="s">
        <v>398</v>
      </c>
      <c r="H1673" s="38">
        <v>1</v>
      </c>
      <c r="I1673" s="38" t="s">
        <v>1934</v>
      </c>
      <c r="J1673" s="38" t="s">
        <v>1433</v>
      </c>
      <c r="K1673" s="38" t="s">
        <v>1431</v>
      </c>
      <c r="L1673" s="39"/>
      <c r="M1673" s="38" t="s">
        <v>139</v>
      </c>
      <c r="N1673" s="38">
        <v>900768559</v>
      </c>
      <c r="O1673" s="40">
        <v>3521008</v>
      </c>
      <c r="P1673" s="7"/>
      <c r="Q1673" s="16">
        <f>+IF(IFERROR(VLOOKUP(Tabla3[[#This Row],[Cliente factura]],Tabla4[[NIT]:[TOTAL CREDITO]],3,FALSE),0)="",0,IFERROR(VLOOKUP(Tabla3[[#This Row],[Cliente factura]],Tabla4[[NIT]:[TOTAL CREDITO]],3,FALSE),0))</f>
        <v>20422454</v>
      </c>
      <c r="R1673" s="9">
        <f>+IFERROR(VLOOKUP(Tabla3[[#This Row],[Cliente factura]],Tabla4[[NIT]:[TOTAL CREDITO]],6,FALSE),0)</f>
        <v>0</v>
      </c>
      <c r="S1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3" s="10" t="str">
        <f>VLOOKUP(Tabla3[[#This Row],[Razón social cliente factura]]&amp;Tabla3[[#This Row],[Desc. ciudad]],'Estandar de Rutas'!$C$1:$E$553,2,FALSE)</f>
        <v>10.1</v>
      </c>
      <c r="U1673" s="130">
        <f>IFERROR(VLOOKUP(Tabla3[[#This Row],[Referencia]]&amp;Tabla3[[#This Row],[Desc detalle ext 1]],Tabla1[[Referencia-Color]:[Disponibilidad]],3,FALSE),0)</f>
        <v>0</v>
      </c>
      <c r="V1673" s="13"/>
      <c r="W1673" s="17">
        <f>+Tabla3[[#This Row],[Cant. Programada]]*Tabla3[[#This Row],[Precio unit]]</f>
        <v>0</v>
      </c>
      <c r="X1673" s="8"/>
      <c r="Y1673" s="8"/>
      <c r="Z1673" s="8" t="str">
        <f>+Tabla3[[#This Row],[Referencia]]&amp;Tabla3[[#This Row],[Desc detalle ext 1]]</f>
        <v xml:space="preserve">DIO  110                                          ROJO     </v>
      </c>
      <c r="AA1673" s="128" t="e">
        <f>+VLOOKUP(Tabla3[[#This Row],[CODIGO2]],ESTANDAR!$B$3:$C$9,2,FALSE)</f>
        <v>#N/A</v>
      </c>
      <c r="AB1673" s="128" t="str">
        <f>+MID(Tabla3[[#This Row],['# Viaje]],10,1)</f>
        <v/>
      </c>
    </row>
    <row r="1674" spans="1:28" ht="15" hidden="1" customHeight="1">
      <c r="A1674" s="38" t="s">
        <v>1778</v>
      </c>
      <c r="B1674" s="39">
        <v>42951</v>
      </c>
      <c r="C1674" s="38" t="s">
        <v>1477</v>
      </c>
      <c r="D1674" s="38" t="s">
        <v>1487</v>
      </c>
      <c r="E1674" s="38" t="s">
        <v>1479</v>
      </c>
      <c r="F1674" s="38">
        <v>1</v>
      </c>
      <c r="G1674" s="38" t="s">
        <v>398</v>
      </c>
      <c r="H1674" s="38">
        <v>1</v>
      </c>
      <c r="I1674" s="38" t="s">
        <v>1779</v>
      </c>
      <c r="J1674" s="38" t="s">
        <v>14</v>
      </c>
      <c r="K1674" s="38" t="s">
        <v>17</v>
      </c>
      <c r="L1674" s="39"/>
      <c r="M1674" s="38" t="s">
        <v>141</v>
      </c>
      <c r="N1674" s="38">
        <v>900768559</v>
      </c>
      <c r="O1674" s="40">
        <v>3360504</v>
      </c>
      <c r="P1674" s="7"/>
      <c r="Q1674" s="16">
        <f>+IF(IFERROR(VLOOKUP(Tabla3[[#This Row],[Cliente factura]],Tabla4[[NIT]:[TOTAL CREDITO]],3,FALSE),0)="",0,IFERROR(VLOOKUP(Tabla3[[#This Row],[Cliente factura]],Tabla4[[NIT]:[TOTAL CREDITO]],3,FALSE),0))</f>
        <v>20422454</v>
      </c>
      <c r="R1674" s="9">
        <f>+IFERROR(VLOOKUP(Tabla3[[#This Row],[Cliente factura]],Tabla4[[NIT]:[TOTAL CREDITO]],6,FALSE),0)</f>
        <v>0</v>
      </c>
      <c r="S1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4" s="10" t="str">
        <f>VLOOKUP(Tabla3[[#This Row],[Razón social cliente factura]]&amp;Tabla3[[#This Row],[Desc. ciudad]],'Estandar de Rutas'!$C$1:$E$553,2,FALSE)</f>
        <v>10.2</v>
      </c>
      <c r="U1674" s="130">
        <f>IFERROR(VLOOKUP(Tabla3[[#This Row],[Referencia]]&amp;Tabla3[[#This Row],[Desc detalle ext 1]],Tabla1[[Referencia-Color]:[Disponibilidad]],3,FALSE),0)</f>
        <v>38</v>
      </c>
      <c r="V1674" s="13"/>
      <c r="W1674" s="17">
        <f>+Tabla3[[#This Row],[Cant. Programada]]*Tabla3[[#This Row],[Precio unit]]</f>
        <v>0</v>
      </c>
      <c r="X1674" s="8"/>
      <c r="Y1674" s="8"/>
      <c r="Z1674" s="8" t="str">
        <f>+Tabla3[[#This Row],[Referencia]]&amp;Tabla3[[#This Row],[Desc detalle ext 1]]</f>
        <v>*CB-110                                           ROJO SPOR</v>
      </c>
      <c r="AA1674" s="128" t="e">
        <f>+VLOOKUP(Tabla3[[#This Row],[CODIGO2]],ESTANDAR!$B$3:$C$9,2,FALSE)</f>
        <v>#N/A</v>
      </c>
      <c r="AB1674" s="128" t="str">
        <f>+MID(Tabla3[[#This Row],['# Viaje]],10,1)</f>
        <v/>
      </c>
    </row>
    <row r="1675" spans="1:28" ht="15" hidden="1" customHeight="1">
      <c r="A1675" s="38" t="s">
        <v>1778</v>
      </c>
      <c r="B1675" s="39">
        <v>42951</v>
      </c>
      <c r="C1675" s="38" t="s">
        <v>1477</v>
      </c>
      <c r="D1675" s="38" t="s">
        <v>1487</v>
      </c>
      <c r="E1675" s="38" t="s">
        <v>1479</v>
      </c>
      <c r="F1675" s="38">
        <v>3</v>
      </c>
      <c r="G1675" s="38" t="s">
        <v>398</v>
      </c>
      <c r="H1675" s="38">
        <v>3</v>
      </c>
      <c r="I1675" s="38" t="s">
        <v>1779</v>
      </c>
      <c r="J1675" s="38" t="s">
        <v>14</v>
      </c>
      <c r="K1675" s="38" t="s">
        <v>16</v>
      </c>
      <c r="L1675" s="39"/>
      <c r="M1675" s="38" t="s">
        <v>141</v>
      </c>
      <c r="N1675" s="38">
        <v>900768559</v>
      </c>
      <c r="O1675" s="40">
        <v>3360504</v>
      </c>
      <c r="P1675" s="7"/>
      <c r="Q1675" s="16">
        <f>+IF(IFERROR(VLOOKUP(Tabla3[[#This Row],[Cliente factura]],Tabla4[[NIT]:[TOTAL CREDITO]],3,FALSE),0)="",0,IFERROR(VLOOKUP(Tabla3[[#This Row],[Cliente factura]],Tabla4[[NIT]:[TOTAL CREDITO]],3,FALSE),0))</f>
        <v>20422454</v>
      </c>
      <c r="R1675" s="9">
        <f>+IFERROR(VLOOKUP(Tabla3[[#This Row],[Cliente factura]],Tabla4[[NIT]:[TOTAL CREDITO]],6,FALSE),0)</f>
        <v>0</v>
      </c>
      <c r="S1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5" s="10" t="str">
        <f>VLOOKUP(Tabla3[[#This Row],[Razón social cliente factura]]&amp;Tabla3[[#This Row],[Desc. ciudad]],'Estandar de Rutas'!$C$1:$E$553,2,FALSE)</f>
        <v>10.2</v>
      </c>
      <c r="U1675" s="130">
        <f>IFERROR(VLOOKUP(Tabla3[[#This Row],[Referencia]]&amp;Tabla3[[#This Row],[Desc detalle ext 1]],Tabla1[[Referencia-Color]:[Disponibilidad]],3,FALSE),0)</f>
        <v>83</v>
      </c>
      <c r="V1675" s="13"/>
      <c r="W1675" s="17">
        <f>+Tabla3[[#This Row],[Cant. Programada]]*Tabla3[[#This Row],[Precio unit]]</f>
        <v>0</v>
      </c>
      <c r="X1675" s="8"/>
      <c r="Y1675" s="8"/>
      <c r="Z1675" s="8" t="str">
        <f>+Tabla3[[#This Row],[Referencia]]&amp;Tabla3[[#This Row],[Desc detalle ext 1]]</f>
        <v xml:space="preserve">*CB-110                                           NEGRO    </v>
      </c>
      <c r="AA1675" s="128" t="e">
        <f>+VLOOKUP(Tabla3[[#This Row],[CODIGO2]],ESTANDAR!$B$3:$C$9,2,FALSE)</f>
        <v>#N/A</v>
      </c>
      <c r="AB1675" s="128" t="str">
        <f>+MID(Tabla3[[#This Row],['# Viaje]],10,1)</f>
        <v/>
      </c>
    </row>
    <row r="1676" spans="1:28" ht="15" hidden="1" customHeight="1">
      <c r="A1676" s="38" t="s">
        <v>1778</v>
      </c>
      <c r="B1676" s="39">
        <v>42951</v>
      </c>
      <c r="C1676" s="38" t="s">
        <v>1477</v>
      </c>
      <c r="D1676" s="38" t="s">
        <v>1487</v>
      </c>
      <c r="E1676" s="38" t="s">
        <v>1479</v>
      </c>
      <c r="F1676" s="38">
        <v>1</v>
      </c>
      <c r="G1676" s="38" t="s">
        <v>398</v>
      </c>
      <c r="H1676" s="38">
        <v>1</v>
      </c>
      <c r="I1676" s="38" t="s">
        <v>1779</v>
      </c>
      <c r="J1676" s="38" t="s">
        <v>27</v>
      </c>
      <c r="K1676" s="38" t="s">
        <v>32</v>
      </c>
      <c r="L1676" s="39"/>
      <c r="M1676" s="38" t="s">
        <v>141</v>
      </c>
      <c r="N1676" s="38">
        <v>900768559</v>
      </c>
      <c r="O1676" s="40">
        <v>5789916</v>
      </c>
      <c r="P1676" s="7"/>
      <c r="Q1676" s="16">
        <f>+IF(IFERROR(VLOOKUP(Tabla3[[#This Row],[Cliente factura]],Tabla4[[NIT]:[TOTAL CREDITO]],3,FALSE),0)="",0,IFERROR(VLOOKUP(Tabla3[[#This Row],[Cliente factura]],Tabla4[[NIT]:[TOTAL CREDITO]],3,FALSE),0))</f>
        <v>20422454</v>
      </c>
      <c r="R1676" s="9">
        <f>+IFERROR(VLOOKUP(Tabla3[[#This Row],[Cliente factura]],Tabla4[[NIT]:[TOTAL CREDITO]],6,FALSE),0)</f>
        <v>0</v>
      </c>
      <c r="S1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6" s="10" t="str">
        <f>VLOOKUP(Tabla3[[#This Row],[Razón social cliente factura]]&amp;Tabla3[[#This Row],[Desc. ciudad]],'Estandar de Rutas'!$C$1:$E$553,2,FALSE)</f>
        <v>10.2</v>
      </c>
      <c r="U1676" s="130">
        <f>IFERROR(VLOOKUP(Tabla3[[#This Row],[Referencia]]&amp;Tabla3[[#This Row],[Desc detalle ext 1]],Tabla1[[Referencia-Color]:[Disponibilidad]],3,FALSE),0)</f>
        <v>7</v>
      </c>
      <c r="V1676" s="13"/>
      <c r="W1676" s="17">
        <f>+Tabla3[[#This Row],[Cant. Programada]]*Tabla3[[#This Row],[Precio unit]]</f>
        <v>0</v>
      </c>
      <c r="X1676" s="8"/>
      <c r="Y1676" s="8"/>
      <c r="Z1676" s="8" t="str">
        <f>+Tabla3[[#This Row],[Referencia]]&amp;Tabla3[[#This Row],[Desc detalle ext 1]]</f>
        <v>*XR 150L                                          NEGRO ROJ</v>
      </c>
      <c r="AA1676" s="128" t="e">
        <f>+VLOOKUP(Tabla3[[#This Row],[CODIGO2]],ESTANDAR!$B$3:$C$9,2,FALSE)</f>
        <v>#N/A</v>
      </c>
      <c r="AB1676" s="128" t="str">
        <f>+MID(Tabla3[[#This Row],['# Viaje]],10,1)</f>
        <v/>
      </c>
    </row>
    <row r="1677" spans="1:28" ht="15" hidden="1" customHeight="1">
      <c r="A1677" s="38" t="s">
        <v>1778</v>
      </c>
      <c r="B1677" s="39">
        <v>42951</v>
      </c>
      <c r="C1677" s="38" t="s">
        <v>1477</v>
      </c>
      <c r="D1677" s="38" t="s">
        <v>1487</v>
      </c>
      <c r="E1677" s="38" t="s">
        <v>1479</v>
      </c>
      <c r="F1677" s="38">
        <v>1</v>
      </c>
      <c r="G1677" s="38" t="s">
        <v>398</v>
      </c>
      <c r="H1677" s="38">
        <v>1</v>
      </c>
      <c r="I1677" s="38" t="s">
        <v>1779</v>
      </c>
      <c r="J1677" s="38" t="s">
        <v>27</v>
      </c>
      <c r="K1677" s="38" t="s">
        <v>26</v>
      </c>
      <c r="L1677" s="39"/>
      <c r="M1677" s="38" t="s">
        <v>141</v>
      </c>
      <c r="N1677" s="38">
        <v>900768559</v>
      </c>
      <c r="O1677" s="40">
        <v>5789916</v>
      </c>
      <c r="P1677" s="7"/>
      <c r="Q1677" s="16">
        <f>+IF(IFERROR(VLOOKUP(Tabla3[[#This Row],[Cliente factura]],Tabla4[[NIT]:[TOTAL CREDITO]],3,FALSE),0)="",0,IFERROR(VLOOKUP(Tabla3[[#This Row],[Cliente factura]],Tabla4[[NIT]:[TOTAL CREDITO]],3,FALSE),0))</f>
        <v>20422454</v>
      </c>
      <c r="R1677" s="9">
        <f>+IFERROR(VLOOKUP(Tabla3[[#This Row],[Cliente factura]],Tabla4[[NIT]:[TOTAL CREDITO]],6,FALSE),0)</f>
        <v>0</v>
      </c>
      <c r="S1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7" s="10" t="str">
        <f>VLOOKUP(Tabla3[[#This Row],[Razón social cliente factura]]&amp;Tabla3[[#This Row],[Desc. ciudad]],'Estandar de Rutas'!$C$1:$E$553,2,FALSE)</f>
        <v>10.2</v>
      </c>
      <c r="U1677" s="130">
        <f>IFERROR(VLOOKUP(Tabla3[[#This Row],[Referencia]]&amp;Tabla3[[#This Row],[Desc detalle ext 1]],Tabla1[[Referencia-Color]:[Disponibilidad]],3,FALSE),0)</f>
        <v>59</v>
      </c>
      <c r="V1677" s="13"/>
      <c r="W1677" s="17">
        <f>+Tabla3[[#This Row],[Cant. Programada]]*Tabla3[[#This Row],[Precio unit]]</f>
        <v>0</v>
      </c>
      <c r="X1677" s="8"/>
      <c r="Y1677" s="8"/>
      <c r="Z1677" s="8" t="str">
        <f>+Tabla3[[#This Row],[Referencia]]&amp;Tabla3[[#This Row],[Desc detalle ext 1]]</f>
        <v>*XR 150L                                          NEGRO BLA</v>
      </c>
      <c r="AA1677" s="128" t="e">
        <f>+VLOOKUP(Tabla3[[#This Row],[CODIGO2]],ESTANDAR!$B$3:$C$9,2,FALSE)</f>
        <v>#N/A</v>
      </c>
      <c r="AB1677" s="128" t="str">
        <f>+MID(Tabla3[[#This Row],['# Viaje]],10,1)</f>
        <v/>
      </c>
    </row>
    <row r="1678" spans="1:28" ht="15" hidden="1" customHeight="1">
      <c r="A1678" s="38" t="s">
        <v>1778</v>
      </c>
      <c r="B1678" s="39">
        <v>42951</v>
      </c>
      <c r="C1678" s="38" t="s">
        <v>1477</v>
      </c>
      <c r="D1678" s="38" t="s">
        <v>1487</v>
      </c>
      <c r="E1678" s="38" t="s">
        <v>1479</v>
      </c>
      <c r="F1678" s="38">
        <v>1</v>
      </c>
      <c r="G1678" s="38" t="s">
        <v>398</v>
      </c>
      <c r="H1678" s="38">
        <v>1</v>
      </c>
      <c r="I1678" s="38" t="s">
        <v>1779</v>
      </c>
      <c r="J1678" s="38" t="s">
        <v>27</v>
      </c>
      <c r="K1678" s="38" t="s">
        <v>16</v>
      </c>
      <c r="L1678" s="39"/>
      <c r="M1678" s="38" t="s">
        <v>141</v>
      </c>
      <c r="N1678" s="38">
        <v>900768559</v>
      </c>
      <c r="O1678" s="40">
        <v>5789916</v>
      </c>
      <c r="P1678" s="7"/>
      <c r="Q1678" s="16">
        <f>+IF(IFERROR(VLOOKUP(Tabla3[[#This Row],[Cliente factura]],Tabla4[[NIT]:[TOTAL CREDITO]],3,FALSE),0)="",0,IFERROR(VLOOKUP(Tabla3[[#This Row],[Cliente factura]],Tabla4[[NIT]:[TOTAL CREDITO]],3,FALSE),0))</f>
        <v>20422454</v>
      </c>
      <c r="R1678" s="9">
        <f>+IFERROR(VLOOKUP(Tabla3[[#This Row],[Cliente factura]],Tabla4[[NIT]:[TOTAL CREDITO]],6,FALSE),0)</f>
        <v>0</v>
      </c>
      <c r="S1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8" s="10" t="str">
        <f>VLOOKUP(Tabla3[[#This Row],[Razón social cliente factura]]&amp;Tabla3[[#This Row],[Desc. ciudad]],'Estandar de Rutas'!$C$1:$E$553,2,FALSE)</f>
        <v>10.2</v>
      </c>
      <c r="U1678" s="130">
        <f>IFERROR(VLOOKUP(Tabla3[[#This Row],[Referencia]]&amp;Tabla3[[#This Row],[Desc detalle ext 1]],Tabla1[[Referencia-Color]:[Disponibilidad]],3,FALSE),0)</f>
        <v>3</v>
      </c>
      <c r="V1678" s="13"/>
      <c r="W1678" s="17">
        <f>+Tabla3[[#This Row],[Cant. Programada]]*Tabla3[[#This Row],[Precio unit]]</f>
        <v>0</v>
      </c>
      <c r="X1678" s="8"/>
      <c r="Y1678" s="8"/>
      <c r="Z1678" s="8" t="str">
        <f>+Tabla3[[#This Row],[Referencia]]&amp;Tabla3[[#This Row],[Desc detalle ext 1]]</f>
        <v xml:space="preserve">*XR 150L                                          NEGRO    </v>
      </c>
      <c r="AA1678" s="128" t="e">
        <f>+VLOOKUP(Tabla3[[#This Row],[CODIGO2]],ESTANDAR!$B$3:$C$9,2,FALSE)</f>
        <v>#N/A</v>
      </c>
      <c r="AB1678" s="128" t="str">
        <f>+MID(Tabla3[[#This Row],['# Viaje]],10,1)</f>
        <v/>
      </c>
    </row>
    <row r="1679" spans="1:28" ht="15" hidden="1" customHeight="1">
      <c r="A1679" s="38" t="s">
        <v>1778</v>
      </c>
      <c r="B1679" s="39">
        <v>42951</v>
      </c>
      <c r="C1679" s="38" t="s">
        <v>1477</v>
      </c>
      <c r="D1679" s="38" t="s">
        <v>1487</v>
      </c>
      <c r="E1679" s="38" t="s">
        <v>1479</v>
      </c>
      <c r="F1679" s="38">
        <v>1</v>
      </c>
      <c r="G1679" s="38" t="s">
        <v>398</v>
      </c>
      <c r="H1679" s="38">
        <v>1</v>
      </c>
      <c r="I1679" s="38" t="s">
        <v>1779</v>
      </c>
      <c r="J1679" s="38" t="s">
        <v>25</v>
      </c>
      <c r="K1679" s="38" t="s">
        <v>26</v>
      </c>
      <c r="L1679" s="39"/>
      <c r="M1679" s="38" t="s">
        <v>141</v>
      </c>
      <c r="N1679" s="38">
        <v>900768559</v>
      </c>
      <c r="O1679" s="40">
        <v>3521008</v>
      </c>
      <c r="P1679" s="7"/>
      <c r="Q1679" s="16">
        <f>+IF(IFERROR(VLOOKUP(Tabla3[[#This Row],[Cliente factura]],Tabla4[[NIT]:[TOTAL CREDITO]],3,FALSE),0)="",0,IFERROR(VLOOKUP(Tabla3[[#This Row],[Cliente factura]],Tabla4[[NIT]:[TOTAL CREDITO]],3,FALSE),0))</f>
        <v>20422454</v>
      </c>
      <c r="R1679" s="9">
        <f>+IFERROR(VLOOKUP(Tabla3[[#This Row],[Cliente factura]],Tabla4[[NIT]:[TOTAL CREDITO]],6,FALSE),0)</f>
        <v>0</v>
      </c>
      <c r="S1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9" s="10" t="str">
        <f>VLOOKUP(Tabla3[[#This Row],[Razón social cliente factura]]&amp;Tabla3[[#This Row],[Desc. ciudad]],'Estandar de Rutas'!$C$1:$E$553,2,FALSE)</f>
        <v>10.2</v>
      </c>
      <c r="U1679" s="130">
        <f>IFERROR(VLOOKUP(Tabla3[[#This Row],[Referencia]]&amp;Tabla3[[#This Row],[Desc detalle ext 1]],Tabla1[[Referencia-Color]:[Disponibilidad]],3,FALSE),0)</f>
        <v>15</v>
      </c>
      <c r="V1679" s="13"/>
      <c r="W1679" s="17">
        <f>+Tabla3[[#This Row],[Cant. Programada]]*Tabla3[[#This Row],[Precio unit]]</f>
        <v>0</v>
      </c>
      <c r="X1679" s="8"/>
      <c r="Y1679" s="8"/>
      <c r="Z1679" s="8" t="str">
        <f>+Tabla3[[#This Row],[Referencia]]&amp;Tabla3[[#This Row],[Desc detalle ext 1]]</f>
        <v>DIO 110                                           NEGRO BLA</v>
      </c>
      <c r="AA1679" s="128" t="e">
        <f>+VLOOKUP(Tabla3[[#This Row],[CODIGO2]],ESTANDAR!$B$3:$C$9,2,FALSE)</f>
        <v>#N/A</v>
      </c>
      <c r="AB1679" s="128" t="str">
        <f>+MID(Tabla3[[#This Row],['# Viaje]],10,1)</f>
        <v/>
      </c>
    </row>
    <row r="1680" spans="1:28" ht="15" hidden="1" customHeight="1">
      <c r="A1680" s="38" t="s">
        <v>1778</v>
      </c>
      <c r="B1680" s="39">
        <v>42951</v>
      </c>
      <c r="C1680" s="38" t="s">
        <v>1477</v>
      </c>
      <c r="D1680" s="38" t="s">
        <v>1487</v>
      </c>
      <c r="E1680" s="38" t="s">
        <v>1479</v>
      </c>
      <c r="F1680" s="38">
        <v>1</v>
      </c>
      <c r="G1680" s="38" t="s">
        <v>398</v>
      </c>
      <c r="H1680" s="38">
        <v>1</v>
      </c>
      <c r="I1680" s="38" t="s">
        <v>1779</v>
      </c>
      <c r="J1680" s="38" t="s">
        <v>1433</v>
      </c>
      <c r="K1680" s="38" t="s">
        <v>1431</v>
      </c>
      <c r="L1680" s="39"/>
      <c r="M1680" s="38" t="s">
        <v>141</v>
      </c>
      <c r="N1680" s="38">
        <v>900768559</v>
      </c>
      <c r="O1680" s="40">
        <v>3521008</v>
      </c>
      <c r="P1680" s="7"/>
      <c r="Q1680" s="16">
        <f>+IF(IFERROR(VLOOKUP(Tabla3[[#This Row],[Cliente factura]],Tabla4[[NIT]:[TOTAL CREDITO]],3,FALSE),0)="",0,IFERROR(VLOOKUP(Tabla3[[#This Row],[Cliente factura]],Tabla4[[NIT]:[TOTAL CREDITO]],3,FALSE),0))</f>
        <v>20422454</v>
      </c>
      <c r="R1680" s="9">
        <f>+IFERROR(VLOOKUP(Tabla3[[#This Row],[Cliente factura]],Tabla4[[NIT]:[TOTAL CREDITO]],6,FALSE),0)</f>
        <v>0</v>
      </c>
      <c r="S1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0" s="10" t="str">
        <f>VLOOKUP(Tabla3[[#This Row],[Razón social cliente factura]]&amp;Tabla3[[#This Row],[Desc. ciudad]],'Estandar de Rutas'!$C$1:$E$553,2,FALSE)</f>
        <v>10.2</v>
      </c>
      <c r="U1680" s="130">
        <f>IFERROR(VLOOKUP(Tabla3[[#This Row],[Referencia]]&amp;Tabla3[[#This Row],[Desc detalle ext 1]],Tabla1[[Referencia-Color]:[Disponibilidad]],3,FALSE),0)</f>
        <v>0</v>
      </c>
      <c r="V1680" s="13"/>
      <c r="W1680" s="17">
        <f>+Tabla3[[#This Row],[Cant. Programada]]*Tabla3[[#This Row],[Precio unit]]</f>
        <v>0</v>
      </c>
      <c r="X1680" s="8"/>
      <c r="Y1680" s="8"/>
      <c r="Z1680" s="8" t="str">
        <f>+Tabla3[[#This Row],[Referencia]]&amp;Tabla3[[#This Row],[Desc detalle ext 1]]</f>
        <v xml:space="preserve">DIO  110                                          ROJO     </v>
      </c>
      <c r="AA1680" s="128" t="e">
        <f>+VLOOKUP(Tabla3[[#This Row],[CODIGO2]],ESTANDAR!$B$3:$C$9,2,FALSE)</f>
        <v>#N/A</v>
      </c>
      <c r="AB1680" s="128" t="str">
        <f>+MID(Tabla3[[#This Row],['# Viaje]],10,1)</f>
        <v/>
      </c>
    </row>
    <row r="1681" spans="1:28" ht="15" hidden="1" customHeight="1">
      <c r="A1681" s="38" t="s">
        <v>1778</v>
      </c>
      <c r="B1681" s="39">
        <v>42951</v>
      </c>
      <c r="C1681" s="38" t="s">
        <v>1477</v>
      </c>
      <c r="D1681" s="38" t="s">
        <v>1487</v>
      </c>
      <c r="E1681" s="38" t="s">
        <v>1479</v>
      </c>
      <c r="F1681" s="38">
        <v>1</v>
      </c>
      <c r="G1681" s="38" t="s">
        <v>398</v>
      </c>
      <c r="H1681" s="38">
        <v>1</v>
      </c>
      <c r="I1681" s="38" t="s">
        <v>1779</v>
      </c>
      <c r="J1681" s="38" t="s">
        <v>1433</v>
      </c>
      <c r="K1681" s="38" t="s">
        <v>1452</v>
      </c>
      <c r="L1681" s="39"/>
      <c r="M1681" s="38" t="s">
        <v>141</v>
      </c>
      <c r="N1681" s="38">
        <v>900768559</v>
      </c>
      <c r="O1681" s="40">
        <v>3521008</v>
      </c>
      <c r="P1681" s="7"/>
      <c r="Q1681" s="16">
        <f>+IF(IFERROR(VLOOKUP(Tabla3[[#This Row],[Cliente factura]],Tabla4[[NIT]:[TOTAL CREDITO]],3,FALSE),0)="",0,IFERROR(VLOOKUP(Tabla3[[#This Row],[Cliente factura]],Tabla4[[NIT]:[TOTAL CREDITO]],3,FALSE),0))</f>
        <v>20422454</v>
      </c>
      <c r="R1681" s="9">
        <f>+IFERROR(VLOOKUP(Tabla3[[#This Row],[Cliente factura]],Tabla4[[NIT]:[TOTAL CREDITO]],6,FALSE),0)</f>
        <v>0</v>
      </c>
      <c r="S1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1" s="10" t="str">
        <f>VLOOKUP(Tabla3[[#This Row],[Razón social cliente factura]]&amp;Tabla3[[#This Row],[Desc. ciudad]],'Estandar de Rutas'!$C$1:$E$553,2,FALSE)</f>
        <v>10.2</v>
      </c>
      <c r="U1681" s="130">
        <f>IFERROR(VLOOKUP(Tabla3[[#This Row],[Referencia]]&amp;Tabla3[[#This Row],[Desc detalle ext 1]],Tabla1[[Referencia-Color]:[Disponibilidad]],3,FALSE),0)</f>
        <v>0</v>
      </c>
      <c r="V1681" s="13"/>
      <c r="W1681" s="17">
        <f>+Tabla3[[#This Row],[Cant. Programada]]*Tabla3[[#This Row],[Precio unit]]</f>
        <v>0</v>
      </c>
      <c r="X1681" s="8"/>
      <c r="Y1681" s="8"/>
      <c r="Z1681" s="8" t="str">
        <f>+Tabla3[[#This Row],[Referencia]]&amp;Tabla3[[#This Row],[Desc detalle ext 1]]</f>
        <v xml:space="preserve">DIO  110                                          AZUL     </v>
      </c>
      <c r="AA1681" s="128" t="e">
        <f>+VLOOKUP(Tabla3[[#This Row],[CODIGO2]],ESTANDAR!$B$3:$C$9,2,FALSE)</f>
        <v>#N/A</v>
      </c>
      <c r="AB1681" s="128" t="str">
        <f>+MID(Tabla3[[#This Row],['# Viaje]],10,1)</f>
        <v/>
      </c>
    </row>
    <row r="1682" spans="1:28" ht="15" hidden="1" customHeight="1">
      <c r="A1682" s="38" t="s">
        <v>1778</v>
      </c>
      <c r="B1682" s="39">
        <v>42951</v>
      </c>
      <c r="C1682" s="38" t="s">
        <v>1477</v>
      </c>
      <c r="D1682" s="38" t="s">
        <v>1487</v>
      </c>
      <c r="E1682" s="38" t="s">
        <v>1479</v>
      </c>
      <c r="F1682" s="38">
        <v>2</v>
      </c>
      <c r="G1682" s="38" t="s">
        <v>398</v>
      </c>
      <c r="H1682" s="38">
        <v>2</v>
      </c>
      <c r="I1682" s="38" t="s">
        <v>1779</v>
      </c>
      <c r="J1682" s="38" t="s">
        <v>1428</v>
      </c>
      <c r="K1682" s="38" t="s">
        <v>32</v>
      </c>
      <c r="L1682" s="39"/>
      <c r="M1682" s="38" t="s">
        <v>141</v>
      </c>
      <c r="N1682" s="38">
        <v>900768559</v>
      </c>
      <c r="O1682" s="40">
        <v>3067227</v>
      </c>
      <c r="P1682" s="7"/>
      <c r="Q1682" s="16">
        <f>+IF(IFERROR(VLOOKUP(Tabla3[[#This Row],[Cliente factura]],Tabla4[[NIT]:[TOTAL CREDITO]],3,FALSE),0)="",0,IFERROR(VLOOKUP(Tabla3[[#This Row],[Cliente factura]],Tabla4[[NIT]:[TOTAL CREDITO]],3,FALSE),0))</f>
        <v>20422454</v>
      </c>
      <c r="R1682" s="9">
        <f>+IFERROR(VLOOKUP(Tabla3[[#This Row],[Cliente factura]],Tabla4[[NIT]:[TOTAL CREDITO]],6,FALSE),0)</f>
        <v>0</v>
      </c>
      <c r="S1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2" s="10" t="str">
        <f>VLOOKUP(Tabla3[[#This Row],[Razón social cliente factura]]&amp;Tabla3[[#This Row],[Desc. ciudad]],'Estandar de Rutas'!$C$1:$E$553,2,FALSE)</f>
        <v>10.2</v>
      </c>
      <c r="U1682" s="130">
        <f>IFERROR(VLOOKUP(Tabla3[[#This Row],[Referencia]]&amp;Tabla3[[#This Row],[Desc detalle ext 1]],Tabla1[[Referencia-Color]:[Disponibilidad]],3,FALSE),0)</f>
        <v>0</v>
      </c>
      <c r="V1682" s="13"/>
      <c r="W1682" s="17">
        <f>+Tabla3[[#This Row],[Cant. Programada]]*Tabla3[[#This Row],[Precio unit]]</f>
        <v>0</v>
      </c>
      <c r="X1682" s="8"/>
      <c r="Y1682" s="8"/>
      <c r="Z1682" s="8" t="str">
        <f>+Tabla3[[#This Row],[Referencia]]&amp;Tabla3[[#This Row],[Desc detalle ext 1]]</f>
        <v>DREAM  NEO                                        NEGRO ROJ</v>
      </c>
      <c r="AA1682" s="128" t="e">
        <f>+VLOOKUP(Tabla3[[#This Row],[CODIGO2]],ESTANDAR!$B$3:$C$9,2,FALSE)</f>
        <v>#N/A</v>
      </c>
      <c r="AB1682" s="128" t="str">
        <f>+MID(Tabla3[[#This Row],['# Viaje]],10,1)</f>
        <v/>
      </c>
    </row>
    <row r="1683" spans="1:28" ht="15" hidden="1" customHeight="1">
      <c r="A1683" s="38" t="s">
        <v>1778</v>
      </c>
      <c r="B1683" s="39">
        <v>42951</v>
      </c>
      <c r="C1683" s="38" t="s">
        <v>1477</v>
      </c>
      <c r="D1683" s="38" t="s">
        <v>1487</v>
      </c>
      <c r="E1683" s="38" t="s">
        <v>1479</v>
      </c>
      <c r="F1683" s="38">
        <v>2</v>
      </c>
      <c r="G1683" s="38" t="s">
        <v>398</v>
      </c>
      <c r="H1683" s="38">
        <v>2</v>
      </c>
      <c r="I1683" s="38" t="s">
        <v>1779</v>
      </c>
      <c r="J1683" s="38" t="s">
        <v>1428</v>
      </c>
      <c r="K1683" s="38" t="s">
        <v>1429</v>
      </c>
      <c r="L1683" s="39"/>
      <c r="M1683" s="38" t="s">
        <v>141</v>
      </c>
      <c r="N1683" s="38">
        <v>900768559</v>
      </c>
      <c r="O1683" s="40">
        <v>3067227</v>
      </c>
      <c r="P1683" s="7"/>
      <c r="Q1683" s="16">
        <f>+IF(IFERROR(VLOOKUP(Tabla3[[#This Row],[Cliente factura]],Tabla4[[NIT]:[TOTAL CREDITO]],3,FALSE),0)="",0,IFERROR(VLOOKUP(Tabla3[[#This Row],[Cliente factura]],Tabla4[[NIT]:[TOTAL CREDITO]],3,FALSE),0))</f>
        <v>20422454</v>
      </c>
      <c r="R1683" s="9">
        <f>+IFERROR(VLOOKUP(Tabla3[[#This Row],[Cliente factura]],Tabla4[[NIT]:[TOTAL CREDITO]],6,FALSE),0)</f>
        <v>0</v>
      </c>
      <c r="S1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3" s="10" t="str">
        <f>VLOOKUP(Tabla3[[#This Row],[Razón social cliente factura]]&amp;Tabla3[[#This Row],[Desc. ciudad]],'Estandar de Rutas'!$C$1:$E$553,2,FALSE)</f>
        <v>10.2</v>
      </c>
      <c r="U1683" s="130">
        <f>IFERROR(VLOOKUP(Tabla3[[#This Row],[Referencia]]&amp;Tabla3[[#This Row],[Desc detalle ext 1]],Tabla1[[Referencia-Color]:[Disponibilidad]],3,FALSE),0)</f>
        <v>0</v>
      </c>
      <c r="V1683" s="13"/>
      <c r="W1683" s="17">
        <f>+Tabla3[[#This Row],[Cant. Programada]]*Tabla3[[#This Row],[Precio unit]]</f>
        <v>0</v>
      </c>
      <c r="X1683" s="8"/>
      <c r="Y1683" s="8"/>
      <c r="Z1683" s="8" t="str">
        <f>+Tabla3[[#This Row],[Referencia]]&amp;Tabla3[[#This Row],[Desc detalle ext 1]]</f>
        <v>DREAM  NEO                                        NEGRO AZU</v>
      </c>
      <c r="AA1683" s="128" t="e">
        <f>+VLOOKUP(Tabla3[[#This Row],[CODIGO2]],ESTANDAR!$B$3:$C$9,2,FALSE)</f>
        <v>#N/A</v>
      </c>
      <c r="AB1683" s="128" t="str">
        <f>+MID(Tabla3[[#This Row],['# Viaje]],10,1)</f>
        <v/>
      </c>
    </row>
    <row r="1684" spans="1:28" ht="15" hidden="1" customHeight="1">
      <c r="A1684" s="38" t="s">
        <v>1778</v>
      </c>
      <c r="B1684" s="39">
        <v>42951</v>
      </c>
      <c r="C1684" s="38" t="s">
        <v>1477</v>
      </c>
      <c r="D1684" s="38" t="s">
        <v>1487</v>
      </c>
      <c r="E1684" s="38" t="s">
        <v>1479</v>
      </c>
      <c r="F1684" s="38">
        <v>1</v>
      </c>
      <c r="G1684" s="38" t="s">
        <v>398</v>
      </c>
      <c r="H1684" s="38">
        <v>1</v>
      </c>
      <c r="I1684" s="38" t="s">
        <v>1779</v>
      </c>
      <c r="J1684" s="38" t="s">
        <v>1428</v>
      </c>
      <c r="K1684" s="38" t="s">
        <v>1461</v>
      </c>
      <c r="L1684" s="39"/>
      <c r="M1684" s="38" t="s">
        <v>141</v>
      </c>
      <c r="N1684" s="38">
        <v>900768559</v>
      </c>
      <c r="O1684" s="40">
        <v>3067227</v>
      </c>
      <c r="P1684" s="7"/>
      <c r="Q1684" s="16">
        <f>+IF(IFERROR(VLOOKUP(Tabla3[[#This Row],[Cliente factura]],Tabla4[[NIT]:[TOTAL CREDITO]],3,FALSE),0)="",0,IFERROR(VLOOKUP(Tabla3[[#This Row],[Cliente factura]],Tabla4[[NIT]:[TOTAL CREDITO]],3,FALSE),0))</f>
        <v>20422454</v>
      </c>
      <c r="R1684" s="9">
        <f>+IFERROR(VLOOKUP(Tabla3[[#This Row],[Cliente factura]],Tabla4[[NIT]:[TOTAL CREDITO]],6,FALSE),0)</f>
        <v>0</v>
      </c>
      <c r="S1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4" s="10" t="str">
        <f>VLOOKUP(Tabla3[[#This Row],[Razón social cliente factura]]&amp;Tabla3[[#This Row],[Desc. ciudad]],'Estandar de Rutas'!$C$1:$E$553,2,FALSE)</f>
        <v>10.2</v>
      </c>
      <c r="U1684" s="130">
        <f>IFERROR(VLOOKUP(Tabla3[[#This Row],[Referencia]]&amp;Tabla3[[#This Row],[Desc detalle ext 1]],Tabla1[[Referencia-Color]:[Disponibilidad]],3,FALSE),0)</f>
        <v>0</v>
      </c>
      <c r="V1684" s="13"/>
      <c r="W1684" s="17">
        <f>+Tabla3[[#This Row],[Cant. Programada]]*Tabla3[[#This Row],[Precio unit]]</f>
        <v>0</v>
      </c>
      <c r="X1684" s="8"/>
      <c r="Y1684" s="8"/>
      <c r="Z1684" s="8" t="str">
        <f>+Tabla3[[#This Row],[Referencia]]&amp;Tabla3[[#This Row],[Desc detalle ext 1]]</f>
        <v>DREAM  NEO                                        ROJO ALFA</v>
      </c>
      <c r="AA1684" s="128" t="e">
        <f>+VLOOKUP(Tabla3[[#This Row],[CODIGO2]],ESTANDAR!$B$3:$C$9,2,FALSE)</f>
        <v>#N/A</v>
      </c>
      <c r="AB1684" s="128" t="str">
        <f>+MID(Tabla3[[#This Row],['# Viaje]],10,1)</f>
        <v/>
      </c>
    </row>
    <row r="1685" spans="1:28" ht="15" hidden="1" customHeight="1">
      <c r="A1685" s="38" t="s">
        <v>1778</v>
      </c>
      <c r="B1685" s="39">
        <v>42951</v>
      </c>
      <c r="C1685" s="38" t="s">
        <v>1477</v>
      </c>
      <c r="D1685" s="38" t="s">
        <v>1487</v>
      </c>
      <c r="E1685" s="38" t="s">
        <v>1479</v>
      </c>
      <c r="F1685" s="38">
        <v>1</v>
      </c>
      <c r="G1685" s="38" t="s">
        <v>398</v>
      </c>
      <c r="H1685" s="38">
        <v>1</v>
      </c>
      <c r="I1685" s="38" t="s">
        <v>1779</v>
      </c>
      <c r="J1685" s="38" t="s">
        <v>1430</v>
      </c>
      <c r="K1685" s="38" t="s">
        <v>1431</v>
      </c>
      <c r="L1685" s="39"/>
      <c r="M1685" s="38" t="s">
        <v>141</v>
      </c>
      <c r="N1685" s="38">
        <v>900768559</v>
      </c>
      <c r="O1685" s="40">
        <v>3941176</v>
      </c>
      <c r="P1685" s="7"/>
      <c r="Q1685" s="16">
        <f>+IF(IFERROR(VLOOKUP(Tabla3[[#This Row],[Cliente factura]],Tabla4[[NIT]:[TOTAL CREDITO]],3,FALSE),0)="",0,IFERROR(VLOOKUP(Tabla3[[#This Row],[Cliente factura]],Tabla4[[NIT]:[TOTAL CREDITO]],3,FALSE),0))</f>
        <v>20422454</v>
      </c>
      <c r="R1685" s="9">
        <f>+IFERROR(VLOOKUP(Tabla3[[#This Row],[Cliente factura]],Tabla4[[NIT]:[TOTAL CREDITO]],6,FALSE),0)</f>
        <v>0</v>
      </c>
      <c r="S1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5" s="10" t="str">
        <f>VLOOKUP(Tabla3[[#This Row],[Razón social cliente factura]]&amp;Tabla3[[#This Row],[Desc. ciudad]],'Estandar de Rutas'!$C$1:$E$553,2,FALSE)</f>
        <v>10.2</v>
      </c>
      <c r="U1685" s="130">
        <f>IFERROR(VLOOKUP(Tabla3[[#This Row],[Referencia]]&amp;Tabla3[[#This Row],[Desc detalle ext 1]],Tabla1[[Referencia-Color]:[Disponibilidad]],3,FALSE),0)</f>
        <v>0</v>
      </c>
      <c r="V1685" s="13"/>
      <c r="W1685" s="17">
        <f>+Tabla3[[#This Row],[Cant. Programada]]*Tabla3[[#This Row],[Precio unit]]</f>
        <v>0</v>
      </c>
      <c r="X1685" s="8"/>
      <c r="Y1685" s="8"/>
      <c r="Z1685" s="8" t="str">
        <f>+Tabla3[[#This Row],[Referencia]]&amp;Tabla3[[#This Row],[Desc detalle ext 1]]</f>
        <v xml:space="preserve">WAVE 110S                                         ROJO     </v>
      </c>
      <c r="AA1685" s="128" t="e">
        <f>+VLOOKUP(Tabla3[[#This Row],[CODIGO2]],ESTANDAR!$B$3:$C$9,2,FALSE)</f>
        <v>#N/A</v>
      </c>
      <c r="AB1685" s="128" t="str">
        <f>+MID(Tabla3[[#This Row],['# Viaje]],10,1)</f>
        <v/>
      </c>
    </row>
    <row r="1686" spans="1:28" ht="15" hidden="1" customHeight="1">
      <c r="A1686" s="38" t="s">
        <v>1778</v>
      </c>
      <c r="B1686" s="39">
        <v>42951</v>
      </c>
      <c r="C1686" s="38" t="s">
        <v>1477</v>
      </c>
      <c r="D1686" s="38" t="s">
        <v>1487</v>
      </c>
      <c r="E1686" s="38" t="s">
        <v>1479</v>
      </c>
      <c r="F1686" s="38">
        <v>1</v>
      </c>
      <c r="G1686" s="38" t="s">
        <v>398</v>
      </c>
      <c r="H1686" s="38">
        <v>1</v>
      </c>
      <c r="I1686" s="38" t="s">
        <v>1779</v>
      </c>
      <c r="J1686" s="38" t="s">
        <v>1430</v>
      </c>
      <c r="K1686" s="38" t="s">
        <v>16</v>
      </c>
      <c r="L1686" s="39"/>
      <c r="M1686" s="38" t="s">
        <v>141</v>
      </c>
      <c r="N1686" s="38">
        <v>900768559</v>
      </c>
      <c r="O1686" s="40">
        <v>3941176</v>
      </c>
      <c r="P1686" s="7"/>
      <c r="Q1686" s="16">
        <f>+IF(IFERROR(VLOOKUP(Tabla3[[#This Row],[Cliente factura]],Tabla4[[NIT]:[TOTAL CREDITO]],3,FALSE),0)="",0,IFERROR(VLOOKUP(Tabla3[[#This Row],[Cliente factura]],Tabla4[[NIT]:[TOTAL CREDITO]],3,FALSE),0))</f>
        <v>20422454</v>
      </c>
      <c r="R1686" s="9">
        <f>+IFERROR(VLOOKUP(Tabla3[[#This Row],[Cliente factura]],Tabla4[[NIT]:[TOTAL CREDITO]],6,FALSE),0)</f>
        <v>0</v>
      </c>
      <c r="S1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6" s="10" t="str">
        <f>VLOOKUP(Tabla3[[#This Row],[Razón social cliente factura]]&amp;Tabla3[[#This Row],[Desc. ciudad]],'Estandar de Rutas'!$C$1:$E$553,2,FALSE)</f>
        <v>10.2</v>
      </c>
      <c r="U1686" s="130">
        <f>IFERROR(VLOOKUP(Tabla3[[#This Row],[Referencia]]&amp;Tabla3[[#This Row],[Desc detalle ext 1]],Tabla1[[Referencia-Color]:[Disponibilidad]],3,FALSE),0)</f>
        <v>0</v>
      </c>
      <c r="V1686" s="13"/>
      <c r="W1686" s="17">
        <f>+Tabla3[[#This Row],[Cant. Programada]]*Tabla3[[#This Row],[Precio unit]]</f>
        <v>0</v>
      </c>
      <c r="X1686" s="8"/>
      <c r="Y1686" s="8"/>
      <c r="Z1686" s="8" t="str">
        <f>+Tabla3[[#This Row],[Referencia]]&amp;Tabla3[[#This Row],[Desc detalle ext 1]]</f>
        <v xml:space="preserve">WAVE 110S                                         NEGRO    </v>
      </c>
      <c r="AA1686" s="128" t="e">
        <f>+VLOOKUP(Tabla3[[#This Row],[CODIGO2]],ESTANDAR!$B$3:$C$9,2,FALSE)</f>
        <v>#N/A</v>
      </c>
      <c r="AB1686" s="128" t="str">
        <f>+MID(Tabla3[[#This Row],['# Viaje]],10,1)</f>
        <v/>
      </c>
    </row>
    <row r="1687" spans="1:28" ht="15" hidden="1" customHeight="1">
      <c r="A1687" s="38" t="s">
        <v>1778</v>
      </c>
      <c r="B1687" s="39">
        <v>42951</v>
      </c>
      <c r="C1687" s="38" t="s">
        <v>1477</v>
      </c>
      <c r="D1687" s="38" t="s">
        <v>1487</v>
      </c>
      <c r="E1687" s="38" t="s">
        <v>1479</v>
      </c>
      <c r="F1687" s="38">
        <v>1</v>
      </c>
      <c r="G1687" s="38" t="s">
        <v>398</v>
      </c>
      <c r="H1687" s="38">
        <v>1</v>
      </c>
      <c r="I1687" s="38" t="s">
        <v>1779</v>
      </c>
      <c r="J1687" s="38" t="s">
        <v>1451</v>
      </c>
      <c r="K1687" s="38" t="s">
        <v>1431</v>
      </c>
      <c r="L1687" s="39"/>
      <c r="M1687" s="38" t="s">
        <v>141</v>
      </c>
      <c r="N1687" s="38">
        <v>900768559</v>
      </c>
      <c r="O1687" s="40">
        <v>3696639</v>
      </c>
      <c r="P1687" s="7"/>
      <c r="Q1687" s="16">
        <f>+IF(IFERROR(VLOOKUP(Tabla3[[#This Row],[Cliente factura]],Tabla4[[NIT]:[TOTAL CREDITO]],3,FALSE),0)="",0,IFERROR(VLOOKUP(Tabla3[[#This Row],[Cliente factura]],Tabla4[[NIT]:[TOTAL CREDITO]],3,FALSE),0))</f>
        <v>20422454</v>
      </c>
      <c r="R1687" s="9">
        <f>+IFERROR(VLOOKUP(Tabla3[[#This Row],[Cliente factura]],Tabla4[[NIT]:[TOTAL CREDITO]],6,FALSE),0)</f>
        <v>0</v>
      </c>
      <c r="S1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7" s="10" t="str">
        <f>VLOOKUP(Tabla3[[#This Row],[Razón social cliente factura]]&amp;Tabla3[[#This Row],[Desc. ciudad]],'Estandar de Rutas'!$C$1:$E$553,2,FALSE)</f>
        <v>10.2</v>
      </c>
      <c r="U1687" s="130">
        <f>IFERROR(VLOOKUP(Tabla3[[#This Row],[Referencia]]&amp;Tabla3[[#This Row],[Desc detalle ext 1]],Tabla1[[Referencia-Color]:[Disponibilidad]],3,FALSE),0)</f>
        <v>21</v>
      </c>
      <c r="V1687" s="13"/>
      <c r="W1687" s="17">
        <f>+Tabla3[[#This Row],[Cant. Programada]]*Tabla3[[#This Row],[Precio unit]]</f>
        <v>0</v>
      </c>
      <c r="X1687" s="8"/>
      <c r="Y1687" s="8"/>
      <c r="Z1687" s="8" t="str">
        <f>+Tabla3[[#This Row],[Referencia]]&amp;Tabla3[[#This Row],[Desc detalle ext 1]]</f>
        <v xml:space="preserve">CB 110 DLX                                        ROJO     </v>
      </c>
      <c r="AA1687" s="128" t="e">
        <f>+VLOOKUP(Tabla3[[#This Row],[CODIGO2]],ESTANDAR!$B$3:$C$9,2,FALSE)</f>
        <v>#N/A</v>
      </c>
      <c r="AB1687" s="128" t="str">
        <f>+MID(Tabla3[[#This Row],['# Viaje]],10,1)</f>
        <v/>
      </c>
    </row>
    <row r="1688" spans="1:28" ht="15" hidden="1" customHeight="1">
      <c r="A1688" s="38" t="s">
        <v>1778</v>
      </c>
      <c r="B1688" s="39">
        <v>42951</v>
      </c>
      <c r="C1688" s="38" t="s">
        <v>1477</v>
      </c>
      <c r="D1688" s="38" t="s">
        <v>1487</v>
      </c>
      <c r="E1688" s="38" t="s">
        <v>1479</v>
      </c>
      <c r="F1688" s="38">
        <v>1</v>
      </c>
      <c r="G1688" s="38" t="s">
        <v>398</v>
      </c>
      <c r="H1688" s="38">
        <v>1</v>
      </c>
      <c r="I1688" s="38" t="s">
        <v>1779</v>
      </c>
      <c r="J1688" s="38" t="s">
        <v>1451</v>
      </c>
      <c r="K1688" s="38" t="s">
        <v>16</v>
      </c>
      <c r="L1688" s="39"/>
      <c r="M1688" s="38" t="s">
        <v>141</v>
      </c>
      <c r="N1688" s="38">
        <v>900768559</v>
      </c>
      <c r="O1688" s="40">
        <v>3696639</v>
      </c>
      <c r="P1688" s="7"/>
      <c r="Q1688" s="16">
        <f>+IF(IFERROR(VLOOKUP(Tabla3[[#This Row],[Cliente factura]],Tabla4[[NIT]:[TOTAL CREDITO]],3,FALSE),0)="",0,IFERROR(VLOOKUP(Tabla3[[#This Row],[Cliente factura]],Tabla4[[NIT]:[TOTAL CREDITO]],3,FALSE),0))</f>
        <v>20422454</v>
      </c>
      <c r="R1688" s="9">
        <f>+IFERROR(VLOOKUP(Tabla3[[#This Row],[Cliente factura]],Tabla4[[NIT]:[TOTAL CREDITO]],6,FALSE),0)</f>
        <v>0</v>
      </c>
      <c r="S1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8" s="10" t="str">
        <f>VLOOKUP(Tabla3[[#This Row],[Razón social cliente factura]]&amp;Tabla3[[#This Row],[Desc. ciudad]],'Estandar de Rutas'!$C$1:$E$553,2,FALSE)</f>
        <v>10.2</v>
      </c>
      <c r="U1688" s="130">
        <f>IFERROR(VLOOKUP(Tabla3[[#This Row],[Referencia]]&amp;Tabla3[[#This Row],[Desc detalle ext 1]],Tabla1[[Referencia-Color]:[Disponibilidad]],3,FALSE),0)</f>
        <v>3</v>
      </c>
      <c r="V1688" s="13"/>
      <c r="W1688" s="17">
        <f>+Tabla3[[#This Row],[Cant. Programada]]*Tabla3[[#This Row],[Precio unit]]</f>
        <v>0</v>
      </c>
      <c r="X1688" s="8"/>
      <c r="Y1688" s="8"/>
      <c r="Z1688" s="8" t="str">
        <f>+Tabla3[[#This Row],[Referencia]]&amp;Tabla3[[#This Row],[Desc detalle ext 1]]</f>
        <v xml:space="preserve">CB 110 DLX                                        NEGRO    </v>
      </c>
      <c r="AA1688" s="128" t="e">
        <f>+VLOOKUP(Tabla3[[#This Row],[CODIGO2]],ESTANDAR!$B$3:$C$9,2,FALSE)</f>
        <v>#N/A</v>
      </c>
      <c r="AB1688" s="128" t="str">
        <f>+MID(Tabla3[[#This Row],['# Viaje]],10,1)</f>
        <v/>
      </c>
    </row>
    <row r="1689" spans="1:28" ht="15" hidden="1" customHeight="1">
      <c r="A1689" s="38" t="s">
        <v>1780</v>
      </c>
      <c r="B1689" s="39">
        <v>42951</v>
      </c>
      <c r="C1689" s="38" t="s">
        <v>1477</v>
      </c>
      <c r="D1689" s="38" t="s">
        <v>1487</v>
      </c>
      <c r="E1689" s="38" t="s">
        <v>1479</v>
      </c>
      <c r="F1689" s="38">
        <v>1</v>
      </c>
      <c r="G1689" s="38" t="s">
        <v>398</v>
      </c>
      <c r="H1689" s="38">
        <v>1</v>
      </c>
      <c r="I1689" s="38" t="s">
        <v>1781</v>
      </c>
      <c r="J1689" s="38" t="s">
        <v>14</v>
      </c>
      <c r="K1689" s="38" t="s">
        <v>16</v>
      </c>
      <c r="L1689" s="39"/>
      <c r="M1689" s="38" t="s">
        <v>236</v>
      </c>
      <c r="N1689" s="38">
        <v>900768559</v>
      </c>
      <c r="O1689" s="40">
        <v>3360504</v>
      </c>
      <c r="P1689" s="7"/>
      <c r="Q1689" s="16">
        <f>+IF(IFERROR(VLOOKUP(Tabla3[[#This Row],[Cliente factura]],Tabla4[[NIT]:[TOTAL CREDITO]],3,FALSE),0)="",0,IFERROR(VLOOKUP(Tabla3[[#This Row],[Cliente factura]],Tabla4[[NIT]:[TOTAL CREDITO]],3,FALSE),0))</f>
        <v>20422454</v>
      </c>
      <c r="R1689" s="9">
        <f>+IFERROR(VLOOKUP(Tabla3[[#This Row],[Cliente factura]],Tabla4[[NIT]:[TOTAL CREDITO]],6,FALSE),0)</f>
        <v>0</v>
      </c>
      <c r="S1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9" s="10" t="str">
        <f>VLOOKUP(Tabla3[[#This Row],[Razón social cliente factura]]&amp;Tabla3[[#This Row],[Desc. ciudad]],'Estandar de Rutas'!$C$1:$E$553,2,FALSE)</f>
        <v>10.1</v>
      </c>
      <c r="U1689" s="130">
        <f>IFERROR(VLOOKUP(Tabla3[[#This Row],[Referencia]]&amp;Tabla3[[#This Row],[Desc detalle ext 1]],Tabla1[[Referencia-Color]:[Disponibilidad]],3,FALSE),0)</f>
        <v>83</v>
      </c>
      <c r="V1689" s="13"/>
      <c r="W1689" s="17">
        <f>+Tabla3[[#This Row],[Cant. Programada]]*Tabla3[[#This Row],[Precio unit]]</f>
        <v>0</v>
      </c>
      <c r="X1689" s="8"/>
      <c r="Y1689" s="8"/>
      <c r="Z1689" s="8" t="str">
        <f>+Tabla3[[#This Row],[Referencia]]&amp;Tabla3[[#This Row],[Desc detalle ext 1]]</f>
        <v xml:space="preserve">*CB-110                                           NEGRO    </v>
      </c>
      <c r="AA1689" s="128" t="e">
        <f>+VLOOKUP(Tabla3[[#This Row],[CODIGO2]],ESTANDAR!$B$3:$C$9,2,FALSE)</f>
        <v>#N/A</v>
      </c>
      <c r="AB1689" s="128" t="str">
        <f>+MID(Tabla3[[#This Row],['# Viaje]],10,1)</f>
        <v/>
      </c>
    </row>
    <row r="1690" spans="1:28" ht="15" hidden="1" customHeight="1">
      <c r="A1690" s="38" t="s">
        <v>1780</v>
      </c>
      <c r="B1690" s="39">
        <v>42951</v>
      </c>
      <c r="C1690" s="38" t="s">
        <v>1477</v>
      </c>
      <c r="D1690" s="38" t="s">
        <v>1487</v>
      </c>
      <c r="E1690" s="38" t="s">
        <v>1479</v>
      </c>
      <c r="F1690" s="38">
        <v>2</v>
      </c>
      <c r="G1690" s="38" t="s">
        <v>398</v>
      </c>
      <c r="H1690" s="38">
        <v>2</v>
      </c>
      <c r="I1690" s="38" t="s">
        <v>1781</v>
      </c>
      <c r="J1690" s="38" t="s">
        <v>27</v>
      </c>
      <c r="K1690" s="38" t="s">
        <v>26</v>
      </c>
      <c r="L1690" s="39"/>
      <c r="M1690" s="38" t="s">
        <v>236</v>
      </c>
      <c r="N1690" s="38">
        <v>900768559</v>
      </c>
      <c r="O1690" s="40">
        <v>5789916</v>
      </c>
      <c r="P1690" s="7"/>
      <c r="Q1690" s="16">
        <f>+IF(IFERROR(VLOOKUP(Tabla3[[#This Row],[Cliente factura]],Tabla4[[NIT]:[TOTAL CREDITO]],3,FALSE),0)="",0,IFERROR(VLOOKUP(Tabla3[[#This Row],[Cliente factura]],Tabla4[[NIT]:[TOTAL CREDITO]],3,FALSE),0))</f>
        <v>20422454</v>
      </c>
      <c r="R1690" s="9">
        <f>+IFERROR(VLOOKUP(Tabla3[[#This Row],[Cliente factura]],Tabla4[[NIT]:[TOTAL CREDITO]],6,FALSE),0)</f>
        <v>0</v>
      </c>
      <c r="S1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0" s="10" t="str">
        <f>VLOOKUP(Tabla3[[#This Row],[Razón social cliente factura]]&amp;Tabla3[[#This Row],[Desc. ciudad]],'Estandar de Rutas'!$C$1:$E$553,2,FALSE)</f>
        <v>10.1</v>
      </c>
      <c r="U1690" s="130">
        <f>IFERROR(VLOOKUP(Tabla3[[#This Row],[Referencia]]&amp;Tabla3[[#This Row],[Desc detalle ext 1]],Tabla1[[Referencia-Color]:[Disponibilidad]],3,FALSE),0)</f>
        <v>59</v>
      </c>
      <c r="V1690" s="13"/>
      <c r="W1690" s="17">
        <f>+Tabla3[[#This Row],[Cant. Programada]]*Tabla3[[#This Row],[Precio unit]]</f>
        <v>0</v>
      </c>
      <c r="X1690" s="8"/>
      <c r="Y1690" s="8"/>
      <c r="Z1690" s="8" t="str">
        <f>+Tabla3[[#This Row],[Referencia]]&amp;Tabla3[[#This Row],[Desc detalle ext 1]]</f>
        <v>*XR 150L                                          NEGRO BLA</v>
      </c>
      <c r="AA1690" s="128" t="e">
        <f>+VLOOKUP(Tabla3[[#This Row],[CODIGO2]],ESTANDAR!$B$3:$C$9,2,FALSE)</f>
        <v>#N/A</v>
      </c>
      <c r="AB1690" s="128" t="str">
        <f>+MID(Tabla3[[#This Row],['# Viaje]],10,1)</f>
        <v/>
      </c>
    </row>
    <row r="1691" spans="1:28" ht="15" hidden="1" customHeight="1">
      <c r="A1691" s="38" t="s">
        <v>1780</v>
      </c>
      <c r="B1691" s="39">
        <v>42951</v>
      </c>
      <c r="C1691" s="38" t="s">
        <v>1477</v>
      </c>
      <c r="D1691" s="38" t="s">
        <v>1487</v>
      </c>
      <c r="E1691" s="38" t="s">
        <v>1479</v>
      </c>
      <c r="F1691" s="38">
        <v>1</v>
      </c>
      <c r="G1691" s="38" t="s">
        <v>398</v>
      </c>
      <c r="H1691" s="38">
        <v>1</v>
      </c>
      <c r="I1691" s="38" t="s">
        <v>1781</v>
      </c>
      <c r="J1691" s="38" t="s">
        <v>25</v>
      </c>
      <c r="K1691" s="38" t="s">
        <v>26</v>
      </c>
      <c r="L1691" s="39"/>
      <c r="M1691" s="38" t="s">
        <v>236</v>
      </c>
      <c r="N1691" s="38">
        <v>900768559</v>
      </c>
      <c r="O1691" s="40">
        <v>3521008</v>
      </c>
      <c r="P1691" s="7"/>
      <c r="Q1691" s="16">
        <f>+IF(IFERROR(VLOOKUP(Tabla3[[#This Row],[Cliente factura]],Tabla4[[NIT]:[TOTAL CREDITO]],3,FALSE),0)="",0,IFERROR(VLOOKUP(Tabla3[[#This Row],[Cliente factura]],Tabla4[[NIT]:[TOTAL CREDITO]],3,FALSE),0))</f>
        <v>20422454</v>
      </c>
      <c r="R1691" s="9">
        <f>+IFERROR(VLOOKUP(Tabla3[[#This Row],[Cliente factura]],Tabla4[[NIT]:[TOTAL CREDITO]],6,FALSE),0)</f>
        <v>0</v>
      </c>
      <c r="S1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1" s="10" t="str">
        <f>VLOOKUP(Tabla3[[#This Row],[Razón social cliente factura]]&amp;Tabla3[[#This Row],[Desc. ciudad]],'Estandar de Rutas'!$C$1:$E$553,2,FALSE)</f>
        <v>10.1</v>
      </c>
      <c r="U1691" s="130">
        <f>IFERROR(VLOOKUP(Tabla3[[#This Row],[Referencia]]&amp;Tabla3[[#This Row],[Desc detalle ext 1]],Tabla1[[Referencia-Color]:[Disponibilidad]],3,FALSE),0)</f>
        <v>15</v>
      </c>
      <c r="V1691" s="13"/>
      <c r="W1691" s="17">
        <f>+Tabla3[[#This Row],[Cant. Programada]]*Tabla3[[#This Row],[Precio unit]]</f>
        <v>0</v>
      </c>
      <c r="X1691" s="8"/>
      <c r="Y1691" s="8"/>
      <c r="Z1691" s="8" t="str">
        <f>+Tabla3[[#This Row],[Referencia]]&amp;Tabla3[[#This Row],[Desc detalle ext 1]]</f>
        <v>DIO 110                                           NEGRO BLA</v>
      </c>
      <c r="AA1691" s="128" t="e">
        <f>+VLOOKUP(Tabla3[[#This Row],[CODIGO2]],ESTANDAR!$B$3:$C$9,2,FALSE)</f>
        <v>#N/A</v>
      </c>
      <c r="AB1691" s="128" t="str">
        <f>+MID(Tabla3[[#This Row],['# Viaje]],10,1)</f>
        <v/>
      </c>
    </row>
    <row r="1692" spans="1:28" ht="15" hidden="1" customHeight="1">
      <c r="A1692" s="38" t="s">
        <v>1780</v>
      </c>
      <c r="B1692" s="39">
        <v>42951</v>
      </c>
      <c r="C1692" s="38" t="s">
        <v>1477</v>
      </c>
      <c r="D1692" s="38" t="s">
        <v>1487</v>
      </c>
      <c r="E1692" s="38" t="s">
        <v>1479</v>
      </c>
      <c r="F1692" s="38">
        <v>1</v>
      </c>
      <c r="G1692" s="38" t="s">
        <v>398</v>
      </c>
      <c r="H1692" s="38">
        <v>1</v>
      </c>
      <c r="I1692" s="38" t="s">
        <v>1781</v>
      </c>
      <c r="J1692" s="38" t="s">
        <v>1428</v>
      </c>
      <c r="K1692" s="38" t="s">
        <v>1461</v>
      </c>
      <c r="L1692" s="39"/>
      <c r="M1692" s="38" t="s">
        <v>236</v>
      </c>
      <c r="N1692" s="38">
        <v>900768559</v>
      </c>
      <c r="O1692" s="40">
        <v>3067227</v>
      </c>
      <c r="P1692" s="7"/>
      <c r="Q1692" s="16">
        <f>+IF(IFERROR(VLOOKUP(Tabla3[[#This Row],[Cliente factura]],Tabla4[[NIT]:[TOTAL CREDITO]],3,FALSE),0)="",0,IFERROR(VLOOKUP(Tabla3[[#This Row],[Cliente factura]],Tabla4[[NIT]:[TOTAL CREDITO]],3,FALSE),0))</f>
        <v>20422454</v>
      </c>
      <c r="R1692" s="9">
        <f>+IFERROR(VLOOKUP(Tabla3[[#This Row],[Cliente factura]],Tabla4[[NIT]:[TOTAL CREDITO]],6,FALSE),0)</f>
        <v>0</v>
      </c>
      <c r="S1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2" s="10" t="str">
        <f>VLOOKUP(Tabla3[[#This Row],[Razón social cliente factura]]&amp;Tabla3[[#This Row],[Desc. ciudad]],'Estandar de Rutas'!$C$1:$E$553,2,FALSE)</f>
        <v>10.1</v>
      </c>
      <c r="U1692" s="130">
        <f>IFERROR(VLOOKUP(Tabla3[[#This Row],[Referencia]]&amp;Tabla3[[#This Row],[Desc detalle ext 1]],Tabla1[[Referencia-Color]:[Disponibilidad]],3,FALSE),0)</f>
        <v>0</v>
      </c>
      <c r="V1692" s="13"/>
      <c r="W1692" s="17">
        <f>+Tabla3[[#This Row],[Cant. Programada]]*Tabla3[[#This Row],[Precio unit]]</f>
        <v>0</v>
      </c>
      <c r="X1692" s="8"/>
      <c r="Y1692" s="8"/>
      <c r="Z1692" s="8" t="str">
        <f>+Tabla3[[#This Row],[Referencia]]&amp;Tabla3[[#This Row],[Desc detalle ext 1]]</f>
        <v>DREAM  NEO                                        ROJO ALFA</v>
      </c>
      <c r="AA1692" s="128" t="e">
        <f>+VLOOKUP(Tabla3[[#This Row],[CODIGO2]],ESTANDAR!$B$3:$C$9,2,FALSE)</f>
        <v>#N/A</v>
      </c>
      <c r="AB1692" s="128" t="str">
        <f>+MID(Tabla3[[#This Row],['# Viaje]],10,1)</f>
        <v/>
      </c>
    </row>
    <row r="1693" spans="1:28" ht="15" hidden="1" customHeight="1">
      <c r="A1693" s="38" t="s">
        <v>1780</v>
      </c>
      <c r="B1693" s="39">
        <v>42951</v>
      </c>
      <c r="C1693" s="38" t="s">
        <v>1477</v>
      </c>
      <c r="D1693" s="38" t="s">
        <v>1487</v>
      </c>
      <c r="E1693" s="38" t="s">
        <v>1479</v>
      </c>
      <c r="F1693" s="38">
        <v>1</v>
      </c>
      <c r="G1693" s="38" t="s">
        <v>398</v>
      </c>
      <c r="H1693" s="38">
        <v>1</v>
      </c>
      <c r="I1693" s="38" t="s">
        <v>1781</v>
      </c>
      <c r="J1693" s="38" t="s">
        <v>1430</v>
      </c>
      <c r="K1693" s="38" t="s">
        <v>16</v>
      </c>
      <c r="L1693" s="39"/>
      <c r="M1693" s="38" t="s">
        <v>236</v>
      </c>
      <c r="N1693" s="38">
        <v>900768559</v>
      </c>
      <c r="O1693" s="40">
        <v>3941176</v>
      </c>
      <c r="P1693" s="7"/>
      <c r="Q1693" s="16">
        <f>+IF(IFERROR(VLOOKUP(Tabla3[[#This Row],[Cliente factura]],Tabla4[[NIT]:[TOTAL CREDITO]],3,FALSE),0)="",0,IFERROR(VLOOKUP(Tabla3[[#This Row],[Cliente factura]],Tabla4[[NIT]:[TOTAL CREDITO]],3,FALSE),0))</f>
        <v>20422454</v>
      </c>
      <c r="R1693" s="9">
        <f>+IFERROR(VLOOKUP(Tabla3[[#This Row],[Cliente factura]],Tabla4[[NIT]:[TOTAL CREDITO]],6,FALSE),0)</f>
        <v>0</v>
      </c>
      <c r="S1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3" s="10" t="str">
        <f>VLOOKUP(Tabla3[[#This Row],[Razón social cliente factura]]&amp;Tabla3[[#This Row],[Desc. ciudad]],'Estandar de Rutas'!$C$1:$E$553,2,FALSE)</f>
        <v>10.1</v>
      </c>
      <c r="U1693" s="130">
        <f>IFERROR(VLOOKUP(Tabla3[[#This Row],[Referencia]]&amp;Tabla3[[#This Row],[Desc detalle ext 1]],Tabla1[[Referencia-Color]:[Disponibilidad]],3,FALSE),0)</f>
        <v>0</v>
      </c>
      <c r="V1693" s="13"/>
      <c r="W1693" s="17">
        <f>+Tabla3[[#This Row],[Cant. Programada]]*Tabla3[[#This Row],[Precio unit]]</f>
        <v>0</v>
      </c>
      <c r="X1693" s="8"/>
      <c r="Y1693" s="8"/>
      <c r="Z1693" s="8" t="str">
        <f>+Tabla3[[#This Row],[Referencia]]&amp;Tabla3[[#This Row],[Desc detalle ext 1]]</f>
        <v xml:space="preserve">WAVE 110S                                         NEGRO    </v>
      </c>
      <c r="AA1693" s="128" t="e">
        <f>+VLOOKUP(Tabla3[[#This Row],[CODIGO2]],ESTANDAR!$B$3:$C$9,2,FALSE)</f>
        <v>#N/A</v>
      </c>
      <c r="AB1693" s="128" t="str">
        <f>+MID(Tabla3[[#This Row],['# Viaje]],10,1)</f>
        <v/>
      </c>
    </row>
    <row r="1694" spans="1:28" ht="15" hidden="1" customHeight="1">
      <c r="A1694" s="38" t="s">
        <v>1780</v>
      </c>
      <c r="B1694" s="39">
        <v>42951</v>
      </c>
      <c r="C1694" s="38" t="s">
        <v>1477</v>
      </c>
      <c r="D1694" s="38" t="s">
        <v>1487</v>
      </c>
      <c r="E1694" s="38" t="s">
        <v>1479</v>
      </c>
      <c r="F1694" s="38">
        <v>1</v>
      </c>
      <c r="G1694" s="38" t="s">
        <v>398</v>
      </c>
      <c r="H1694" s="38">
        <v>1</v>
      </c>
      <c r="I1694" s="38" t="s">
        <v>1781</v>
      </c>
      <c r="J1694" s="38" t="s">
        <v>1234</v>
      </c>
      <c r="K1694" s="38" t="s">
        <v>355</v>
      </c>
      <c r="L1694" s="39"/>
      <c r="M1694" s="38" t="s">
        <v>236</v>
      </c>
      <c r="N1694" s="38">
        <v>900768559</v>
      </c>
      <c r="O1694" s="40">
        <v>5453782</v>
      </c>
      <c r="P1694" s="7"/>
      <c r="Q1694" s="16">
        <f>+IF(IFERROR(VLOOKUP(Tabla3[[#This Row],[Cliente factura]],Tabla4[[NIT]:[TOTAL CREDITO]],3,FALSE),0)="",0,IFERROR(VLOOKUP(Tabla3[[#This Row],[Cliente factura]],Tabla4[[NIT]:[TOTAL CREDITO]],3,FALSE),0))</f>
        <v>20422454</v>
      </c>
      <c r="R1694" s="9">
        <f>+IFERROR(VLOOKUP(Tabla3[[#This Row],[Cliente factura]],Tabla4[[NIT]:[TOTAL CREDITO]],6,FALSE),0)</f>
        <v>0</v>
      </c>
      <c r="S1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4" s="10" t="str">
        <f>VLOOKUP(Tabla3[[#This Row],[Razón social cliente factura]]&amp;Tabla3[[#This Row],[Desc. ciudad]],'Estandar de Rutas'!$C$1:$E$553,2,FALSE)</f>
        <v>10.1</v>
      </c>
      <c r="U1694" s="130">
        <f>IFERROR(VLOOKUP(Tabla3[[#This Row],[Referencia]]&amp;Tabla3[[#This Row],[Desc detalle ext 1]],Tabla1[[Referencia-Color]:[Disponibilidad]],3,FALSE),0)</f>
        <v>0</v>
      </c>
      <c r="V1694" s="13"/>
      <c r="W1694" s="17">
        <f>+Tabla3[[#This Row],[Cant. Programada]]*Tabla3[[#This Row],[Precio unit]]</f>
        <v>0</v>
      </c>
      <c r="X1694" s="8"/>
      <c r="Y1694" s="8"/>
      <c r="Z1694" s="8" t="str">
        <f>+Tabla3[[#This Row],[Referencia]]&amp;Tabla3[[#This Row],[Desc detalle ext 1]]</f>
        <v>CB 160F STD                                       NEGRO PER</v>
      </c>
      <c r="AA1694" s="128" t="e">
        <f>+VLOOKUP(Tabla3[[#This Row],[CODIGO2]],ESTANDAR!$B$3:$C$9,2,FALSE)</f>
        <v>#N/A</v>
      </c>
      <c r="AB1694" s="128" t="str">
        <f>+MID(Tabla3[[#This Row],['# Viaje]],10,1)</f>
        <v/>
      </c>
    </row>
    <row r="1695" spans="1:28" ht="15" hidden="1" customHeight="1">
      <c r="A1695" s="38" t="s">
        <v>1780</v>
      </c>
      <c r="B1695" s="39">
        <v>42951</v>
      </c>
      <c r="C1695" s="38" t="s">
        <v>1477</v>
      </c>
      <c r="D1695" s="38" t="s">
        <v>1487</v>
      </c>
      <c r="E1695" s="38" t="s">
        <v>1479</v>
      </c>
      <c r="F1695" s="38">
        <v>1</v>
      </c>
      <c r="G1695" s="38" t="s">
        <v>398</v>
      </c>
      <c r="H1695" s="38">
        <v>1</v>
      </c>
      <c r="I1695" s="38" t="s">
        <v>1781</v>
      </c>
      <c r="J1695" s="38" t="s">
        <v>1451</v>
      </c>
      <c r="K1695" s="38" t="s">
        <v>16</v>
      </c>
      <c r="L1695" s="39"/>
      <c r="M1695" s="38" t="s">
        <v>236</v>
      </c>
      <c r="N1695" s="38">
        <v>900768559</v>
      </c>
      <c r="O1695" s="40">
        <v>3696639</v>
      </c>
      <c r="P1695" s="7"/>
      <c r="Q1695" s="16">
        <f>+IF(IFERROR(VLOOKUP(Tabla3[[#This Row],[Cliente factura]],Tabla4[[NIT]:[TOTAL CREDITO]],3,FALSE),0)="",0,IFERROR(VLOOKUP(Tabla3[[#This Row],[Cliente factura]],Tabla4[[NIT]:[TOTAL CREDITO]],3,FALSE),0))</f>
        <v>20422454</v>
      </c>
      <c r="R1695" s="9">
        <f>+IFERROR(VLOOKUP(Tabla3[[#This Row],[Cliente factura]],Tabla4[[NIT]:[TOTAL CREDITO]],6,FALSE),0)</f>
        <v>0</v>
      </c>
      <c r="S1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5" s="10" t="str">
        <f>VLOOKUP(Tabla3[[#This Row],[Razón social cliente factura]]&amp;Tabla3[[#This Row],[Desc. ciudad]],'Estandar de Rutas'!$C$1:$E$553,2,FALSE)</f>
        <v>10.1</v>
      </c>
      <c r="U1695" s="130">
        <f>IFERROR(VLOOKUP(Tabla3[[#This Row],[Referencia]]&amp;Tabla3[[#This Row],[Desc detalle ext 1]],Tabla1[[Referencia-Color]:[Disponibilidad]],3,FALSE),0)</f>
        <v>3</v>
      </c>
      <c r="V1695" s="13"/>
      <c r="W1695" s="17">
        <f>+Tabla3[[#This Row],[Cant. Programada]]*Tabla3[[#This Row],[Precio unit]]</f>
        <v>0</v>
      </c>
      <c r="X1695" s="8"/>
      <c r="Y1695" s="8"/>
      <c r="Z1695" s="8" t="str">
        <f>+Tabla3[[#This Row],[Referencia]]&amp;Tabla3[[#This Row],[Desc detalle ext 1]]</f>
        <v xml:space="preserve">CB 110 DLX                                        NEGRO    </v>
      </c>
      <c r="AA1695" s="128" t="e">
        <f>+VLOOKUP(Tabla3[[#This Row],[CODIGO2]],ESTANDAR!$B$3:$C$9,2,FALSE)</f>
        <v>#N/A</v>
      </c>
      <c r="AB1695" s="128" t="str">
        <f>+MID(Tabla3[[#This Row],['# Viaje]],10,1)</f>
        <v/>
      </c>
    </row>
    <row r="1696" spans="1:28" ht="15" hidden="1" customHeight="1">
      <c r="A1696" s="38" t="s">
        <v>1782</v>
      </c>
      <c r="B1696" s="39">
        <v>42951</v>
      </c>
      <c r="C1696" s="38" t="s">
        <v>1477</v>
      </c>
      <c r="D1696" s="38" t="s">
        <v>1487</v>
      </c>
      <c r="E1696" s="38" t="s">
        <v>1479</v>
      </c>
      <c r="F1696" s="38">
        <v>1</v>
      </c>
      <c r="G1696" s="38" t="s">
        <v>398</v>
      </c>
      <c r="H1696" s="38">
        <v>1</v>
      </c>
      <c r="I1696" s="38" t="s">
        <v>398</v>
      </c>
      <c r="J1696" s="38" t="s">
        <v>1425</v>
      </c>
      <c r="K1696" s="38" t="s">
        <v>1426</v>
      </c>
      <c r="L1696" s="39"/>
      <c r="M1696" s="38" t="s">
        <v>167</v>
      </c>
      <c r="N1696" s="38">
        <v>900768559</v>
      </c>
      <c r="O1696" s="40">
        <v>7730252</v>
      </c>
      <c r="P1696" s="7"/>
      <c r="Q1696" s="16">
        <f>+IF(IFERROR(VLOOKUP(Tabla3[[#This Row],[Cliente factura]],Tabla4[[NIT]:[TOTAL CREDITO]],3,FALSE),0)="",0,IFERROR(VLOOKUP(Tabla3[[#This Row],[Cliente factura]],Tabla4[[NIT]:[TOTAL CREDITO]],3,FALSE),0))</f>
        <v>20422454</v>
      </c>
      <c r="R1696" s="9">
        <f>+IFERROR(VLOOKUP(Tabla3[[#This Row],[Cliente factura]],Tabla4[[NIT]:[TOTAL CREDITO]],6,FALSE),0)</f>
        <v>0</v>
      </c>
      <c r="S1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6" s="10" t="str">
        <f>VLOOKUP(Tabla3[[#This Row],[Razón social cliente factura]]&amp;Tabla3[[#This Row],[Desc. ciudad]],'Estandar de Rutas'!$C$1:$E$553,2,FALSE)</f>
        <v>8.2.A</v>
      </c>
      <c r="U1696" s="130">
        <f>IFERROR(VLOOKUP(Tabla3[[#This Row],[Referencia]]&amp;Tabla3[[#This Row],[Desc detalle ext 1]],Tabla1[[Referencia-Color]:[Disponibilidad]],3,FALSE),0)</f>
        <v>104</v>
      </c>
      <c r="V1696" s="13"/>
      <c r="W1696" s="17">
        <f>+Tabla3[[#This Row],[Cant. Programada]]*Tabla3[[#This Row],[Precio unit]]</f>
        <v>0</v>
      </c>
      <c r="X1696" s="8"/>
      <c r="Y1696" s="8"/>
      <c r="Z1696" s="8" t="str">
        <f>+Tabla3[[#This Row],[Referencia]]&amp;Tabla3[[#This Row],[Desc detalle ext 1]]</f>
        <v>CB 190 REPSOL                                     NARANJA B</v>
      </c>
      <c r="AA1696" s="128" t="e">
        <f>+VLOOKUP(Tabla3[[#This Row],[CODIGO2]],ESTANDAR!$B$3:$C$9,2,FALSE)</f>
        <v>#N/A</v>
      </c>
      <c r="AB1696" s="128" t="str">
        <f>+MID(Tabla3[[#This Row],['# Viaje]],10,1)</f>
        <v/>
      </c>
    </row>
    <row r="1697" spans="1:28" ht="15" hidden="1" customHeight="1">
      <c r="A1697" s="38" t="s">
        <v>1782</v>
      </c>
      <c r="B1697" s="39">
        <v>42951</v>
      </c>
      <c r="C1697" s="38" t="s">
        <v>1477</v>
      </c>
      <c r="D1697" s="38" t="s">
        <v>1487</v>
      </c>
      <c r="E1697" s="38" t="s">
        <v>1479</v>
      </c>
      <c r="F1697" s="38">
        <v>2</v>
      </c>
      <c r="G1697" s="38" t="s">
        <v>398</v>
      </c>
      <c r="H1697" s="38">
        <v>2</v>
      </c>
      <c r="I1697" s="38" t="s">
        <v>398</v>
      </c>
      <c r="J1697" s="38" t="s">
        <v>354</v>
      </c>
      <c r="K1697" s="38" t="s">
        <v>355</v>
      </c>
      <c r="L1697" s="39"/>
      <c r="M1697" s="38" t="s">
        <v>167</v>
      </c>
      <c r="N1697" s="38">
        <v>900768559</v>
      </c>
      <c r="O1697" s="40">
        <v>6133613</v>
      </c>
      <c r="P1697" s="7"/>
      <c r="Q1697" s="16">
        <f>+IF(IFERROR(VLOOKUP(Tabla3[[#This Row],[Cliente factura]],Tabla4[[NIT]:[TOTAL CREDITO]],3,FALSE),0)="",0,IFERROR(VLOOKUP(Tabla3[[#This Row],[Cliente factura]],Tabla4[[NIT]:[TOTAL CREDITO]],3,FALSE),0))</f>
        <v>20422454</v>
      </c>
      <c r="R1697" s="9">
        <f>+IFERROR(VLOOKUP(Tabla3[[#This Row],[Cliente factura]],Tabla4[[NIT]:[TOTAL CREDITO]],6,FALSE),0)</f>
        <v>0</v>
      </c>
      <c r="S1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7" s="10" t="str">
        <f>VLOOKUP(Tabla3[[#This Row],[Razón social cliente factura]]&amp;Tabla3[[#This Row],[Desc. ciudad]],'Estandar de Rutas'!$C$1:$E$553,2,FALSE)</f>
        <v>8.2.A</v>
      </c>
      <c r="U1697" s="130">
        <f>IFERROR(VLOOKUP(Tabla3[[#This Row],[Referencia]]&amp;Tabla3[[#This Row],[Desc detalle ext 1]],Tabla1[[Referencia-Color]:[Disponibilidad]],3,FALSE),0)</f>
        <v>0</v>
      </c>
      <c r="V1697" s="13"/>
      <c r="W1697" s="17">
        <f>+Tabla3[[#This Row],[Cant. Programada]]*Tabla3[[#This Row],[Precio unit]]</f>
        <v>0</v>
      </c>
      <c r="X1697" s="8"/>
      <c r="Y1697" s="8"/>
      <c r="Z1697" s="8" t="str">
        <f>+Tabla3[[#This Row],[Referencia]]&amp;Tabla3[[#This Row],[Desc detalle ext 1]]</f>
        <v>CB 160F DLX                                       NEGRO PER</v>
      </c>
      <c r="AA1697" s="128" t="e">
        <f>+VLOOKUP(Tabla3[[#This Row],[CODIGO2]],ESTANDAR!$B$3:$C$9,2,FALSE)</f>
        <v>#N/A</v>
      </c>
      <c r="AB1697" s="128" t="str">
        <f>+MID(Tabla3[[#This Row],['# Viaje]],10,1)</f>
        <v/>
      </c>
    </row>
    <row r="1698" spans="1:28" ht="15" hidden="1" customHeight="1">
      <c r="A1698" s="38" t="s">
        <v>1782</v>
      </c>
      <c r="B1698" s="39">
        <v>42951</v>
      </c>
      <c r="C1698" s="38" t="s">
        <v>1477</v>
      </c>
      <c r="D1698" s="38" t="s">
        <v>1487</v>
      </c>
      <c r="E1698" s="38" t="s">
        <v>1479</v>
      </c>
      <c r="F1698" s="38">
        <v>1</v>
      </c>
      <c r="G1698" s="38" t="s">
        <v>398</v>
      </c>
      <c r="H1698" s="38">
        <v>1</v>
      </c>
      <c r="I1698" s="38" t="s">
        <v>398</v>
      </c>
      <c r="J1698" s="38" t="s">
        <v>1428</v>
      </c>
      <c r="K1698" s="38" t="s">
        <v>1429</v>
      </c>
      <c r="L1698" s="39"/>
      <c r="M1698" s="38" t="s">
        <v>167</v>
      </c>
      <c r="N1698" s="38">
        <v>900768559</v>
      </c>
      <c r="O1698" s="40">
        <v>3067227</v>
      </c>
      <c r="P1698" s="7"/>
      <c r="Q1698" s="16">
        <f>+IF(IFERROR(VLOOKUP(Tabla3[[#This Row],[Cliente factura]],Tabla4[[NIT]:[TOTAL CREDITO]],3,FALSE),0)="",0,IFERROR(VLOOKUP(Tabla3[[#This Row],[Cliente factura]],Tabla4[[NIT]:[TOTAL CREDITO]],3,FALSE),0))</f>
        <v>20422454</v>
      </c>
      <c r="R1698" s="9">
        <f>+IFERROR(VLOOKUP(Tabla3[[#This Row],[Cliente factura]],Tabla4[[NIT]:[TOTAL CREDITO]],6,FALSE),0)</f>
        <v>0</v>
      </c>
      <c r="S1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8" s="10" t="str">
        <f>VLOOKUP(Tabla3[[#This Row],[Razón social cliente factura]]&amp;Tabla3[[#This Row],[Desc. ciudad]],'Estandar de Rutas'!$C$1:$E$553,2,FALSE)</f>
        <v>8.2.A</v>
      </c>
      <c r="U1698" s="130">
        <f>IFERROR(VLOOKUP(Tabla3[[#This Row],[Referencia]]&amp;Tabla3[[#This Row],[Desc detalle ext 1]],Tabla1[[Referencia-Color]:[Disponibilidad]],3,FALSE),0)</f>
        <v>0</v>
      </c>
      <c r="V1698" s="13"/>
      <c r="W1698" s="17">
        <f>+Tabla3[[#This Row],[Cant. Programada]]*Tabla3[[#This Row],[Precio unit]]</f>
        <v>0</v>
      </c>
      <c r="X1698" s="8"/>
      <c r="Y1698" s="8"/>
      <c r="Z1698" s="8" t="str">
        <f>+Tabla3[[#This Row],[Referencia]]&amp;Tabla3[[#This Row],[Desc detalle ext 1]]</f>
        <v>DREAM  NEO                                        NEGRO AZU</v>
      </c>
      <c r="AA1698" s="128" t="e">
        <f>+VLOOKUP(Tabla3[[#This Row],[CODIGO2]],ESTANDAR!$B$3:$C$9,2,FALSE)</f>
        <v>#N/A</v>
      </c>
      <c r="AB1698" s="128" t="str">
        <f>+MID(Tabla3[[#This Row],['# Viaje]],10,1)</f>
        <v/>
      </c>
    </row>
    <row r="1699" spans="1:28" ht="15" hidden="1" customHeight="1">
      <c r="A1699" s="38" t="s">
        <v>1782</v>
      </c>
      <c r="B1699" s="39">
        <v>42951</v>
      </c>
      <c r="C1699" s="38" t="s">
        <v>1477</v>
      </c>
      <c r="D1699" s="38" t="s">
        <v>1487</v>
      </c>
      <c r="E1699" s="38" t="s">
        <v>1479</v>
      </c>
      <c r="F1699" s="38">
        <v>1</v>
      </c>
      <c r="G1699" s="38" t="s">
        <v>398</v>
      </c>
      <c r="H1699" s="38">
        <v>1</v>
      </c>
      <c r="I1699" s="38" t="s">
        <v>398</v>
      </c>
      <c r="J1699" s="38" t="s">
        <v>1428</v>
      </c>
      <c r="K1699" s="38" t="s">
        <v>1461</v>
      </c>
      <c r="L1699" s="39"/>
      <c r="M1699" s="38" t="s">
        <v>167</v>
      </c>
      <c r="N1699" s="38">
        <v>900768559</v>
      </c>
      <c r="O1699" s="40">
        <v>3067227</v>
      </c>
      <c r="P1699" s="7"/>
      <c r="Q1699" s="16">
        <f>+IF(IFERROR(VLOOKUP(Tabla3[[#This Row],[Cliente factura]],Tabla4[[NIT]:[TOTAL CREDITO]],3,FALSE),0)="",0,IFERROR(VLOOKUP(Tabla3[[#This Row],[Cliente factura]],Tabla4[[NIT]:[TOTAL CREDITO]],3,FALSE),0))</f>
        <v>20422454</v>
      </c>
      <c r="R1699" s="9">
        <f>+IFERROR(VLOOKUP(Tabla3[[#This Row],[Cliente factura]],Tabla4[[NIT]:[TOTAL CREDITO]],6,FALSE),0)</f>
        <v>0</v>
      </c>
      <c r="S1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9" s="10" t="str">
        <f>VLOOKUP(Tabla3[[#This Row],[Razón social cliente factura]]&amp;Tabla3[[#This Row],[Desc. ciudad]],'Estandar de Rutas'!$C$1:$E$553,2,FALSE)</f>
        <v>8.2.A</v>
      </c>
      <c r="U1699" s="130">
        <f>IFERROR(VLOOKUP(Tabla3[[#This Row],[Referencia]]&amp;Tabla3[[#This Row],[Desc detalle ext 1]],Tabla1[[Referencia-Color]:[Disponibilidad]],3,FALSE),0)</f>
        <v>0</v>
      </c>
      <c r="V1699" s="13"/>
      <c r="W1699" s="17">
        <f>+Tabla3[[#This Row],[Cant. Programada]]*Tabla3[[#This Row],[Precio unit]]</f>
        <v>0</v>
      </c>
      <c r="X1699" s="8"/>
      <c r="Y1699" s="8"/>
      <c r="Z1699" s="8" t="str">
        <f>+Tabla3[[#This Row],[Referencia]]&amp;Tabla3[[#This Row],[Desc detalle ext 1]]</f>
        <v>DREAM  NEO                                        ROJO ALFA</v>
      </c>
      <c r="AA1699" s="128" t="e">
        <f>+VLOOKUP(Tabla3[[#This Row],[CODIGO2]],ESTANDAR!$B$3:$C$9,2,FALSE)</f>
        <v>#N/A</v>
      </c>
      <c r="AB1699" s="128" t="str">
        <f>+MID(Tabla3[[#This Row],['# Viaje]],10,1)</f>
        <v/>
      </c>
    </row>
    <row r="1700" spans="1:28" ht="15" hidden="1" customHeight="1">
      <c r="A1700" s="38" t="s">
        <v>1782</v>
      </c>
      <c r="B1700" s="39">
        <v>42951</v>
      </c>
      <c r="C1700" s="38" t="s">
        <v>1477</v>
      </c>
      <c r="D1700" s="38" t="s">
        <v>1487</v>
      </c>
      <c r="E1700" s="38" t="s">
        <v>1479</v>
      </c>
      <c r="F1700" s="38">
        <v>1</v>
      </c>
      <c r="G1700" s="38" t="s">
        <v>398</v>
      </c>
      <c r="H1700" s="38">
        <v>1</v>
      </c>
      <c r="I1700" s="38" t="s">
        <v>398</v>
      </c>
      <c r="J1700" s="38" t="s">
        <v>1430</v>
      </c>
      <c r="K1700" s="38" t="s">
        <v>16</v>
      </c>
      <c r="L1700" s="39"/>
      <c r="M1700" s="38" t="s">
        <v>167</v>
      </c>
      <c r="N1700" s="38">
        <v>900768559</v>
      </c>
      <c r="O1700" s="40">
        <v>3941176</v>
      </c>
      <c r="P1700" s="7"/>
      <c r="Q1700" s="16">
        <f>+IF(IFERROR(VLOOKUP(Tabla3[[#This Row],[Cliente factura]],Tabla4[[NIT]:[TOTAL CREDITO]],3,FALSE),0)="",0,IFERROR(VLOOKUP(Tabla3[[#This Row],[Cliente factura]],Tabla4[[NIT]:[TOTAL CREDITO]],3,FALSE),0))</f>
        <v>20422454</v>
      </c>
      <c r="R1700" s="9">
        <f>+IFERROR(VLOOKUP(Tabla3[[#This Row],[Cliente factura]],Tabla4[[NIT]:[TOTAL CREDITO]],6,FALSE),0)</f>
        <v>0</v>
      </c>
      <c r="S1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0" s="10" t="str">
        <f>VLOOKUP(Tabla3[[#This Row],[Razón social cliente factura]]&amp;Tabla3[[#This Row],[Desc. ciudad]],'Estandar de Rutas'!$C$1:$E$553,2,FALSE)</f>
        <v>8.2.A</v>
      </c>
      <c r="U1700" s="130">
        <f>IFERROR(VLOOKUP(Tabla3[[#This Row],[Referencia]]&amp;Tabla3[[#This Row],[Desc detalle ext 1]],Tabla1[[Referencia-Color]:[Disponibilidad]],3,FALSE),0)</f>
        <v>0</v>
      </c>
      <c r="V1700" s="13"/>
      <c r="W1700" s="17">
        <f>+Tabla3[[#This Row],[Cant. Programada]]*Tabla3[[#This Row],[Precio unit]]</f>
        <v>0</v>
      </c>
      <c r="X1700" s="8"/>
      <c r="Y1700" s="8"/>
      <c r="Z1700" s="8" t="str">
        <f>+Tabla3[[#This Row],[Referencia]]&amp;Tabla3[[#This Row],[Desc detalle ext 1]]</f>
        <v xml:space="preserve">WAVE 110S                                         NEGRO    </v>
      </c>
      <c r="AA1700" s="128" t="e">
        <f>+VLOOKUP(Tabla3[[#This Row],[CODIGO2]],ESTANDAR!$B$3:$C$9,2,FALSE)</f>
        <v>#N/A</v>
      </c>
      <c r="AB1700" s="128" t="str">
        <f>+MID(Tabla3[[#This Row],['# Viaje]],10,1)</f>
        <v/>
      </c>
    </row>
    <row r="1701" spans="1:28" ht="15" hidden="1" customHeight="1">
      <c r="A1701" s="38" t="s">
        <v>1783</v>
      </c>
      <c r="B1701" s="39">
        <v>42951</v>
      </c>
      <c r="C1701" s="38" t="s">
        <v>1231</v>
      </c>
      <c r="D1701" s="38" t="s">
        <v>1478</v>
      </c>
      <c r="E1701" s="38" t="s">
        <v>1232</v>
      </c>
      <c r="F1701" s="38">
        <v>2</v>
      </c>
      <c r="G1701" s="38" t="s">
        <v>108</v>
      </c>
      <c r="H1701" s="38">
        <v>2</v>
      </c>
      <c r="I1701" s="38" t="s">
        <v>1784</v>
      </c>
      <c r="J1701" s="38" t="s">
        <v>14</v>
      </c>
      <c r="K1701" s="38" t="s">
        <v>1417</v>
      </c>
      <c r="L1701" s="39"/>
      <c r="M1701" s="38" t="s">
        <v>1235</v>
      </c>
      <c r="N1701" s="38">
        <v>814006664</v>
      </c>
      <c r="O1701" s="40">
        <v>3360504</v>
      </c>
      <c r="P1701" s="7"/>
      <c r="Q1701" s="16">
        <f>+IF(IFERROR(VLOOKUP(Tabla3[[#This Row],[Cliente factura]],Tabla4[[NIT]:[TOTAL CREDITO]],3,FALSE),0)="",0,IFERROR(VLOOKUP(Tabla3[[#This Row],[Cliente factura]],Tabla4[[NIT]:[TOTAL CREDITO]],3,FALSE),0))</f>
        <v>211189076</v>
      </c>
      <c r="R1701" s="9">
        <f>+IFERROR(VLOOKUP(Tabla3[[#This Row],[Cliente factura]],Tabla4[[NIT]:[TOTAL CREDITO]],6,FALSE),0)</f>
        <v>0</v>
      </c>
      <c r="S1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1" s="10" t="str">
        <f>VLOOKUP(Tabla3[[#This Row],[Razón social cliente factura]]&amp;Tabla3[[#This Row],[Desc. ciudad]],'Estandar de Rutas'!$C$1:$E$553,2,FALSE)</f>
        <v>2.2</v>
      </c>
      <c r="U1701" s="130">
        <f>IFERROR(VLOOKUP(Tabla3[[#This Row],[Referencia]]&amp;Tabla3[[#This Row],[Desc detalle ext 1]],Tabla1[[Referencia-Color]:[Disponibilidad]],3,FALSE),0)</f>
        <v>24</v>
      </c>
      <c r="V1701" s="13"/>
      <c r="W1701" s="17">
        <f>+Tabla3[[#This Row],[Cant. Programada]]*Tabla3[[#This Row],[Precio unit]]</f>
        <v>0</v>
      </c>
      <c r="X1701" s="8"/>
      <c r="Y1701" s="8"/>
      <c r="Z1701" s="8" t="str">
        <f>+Tabla3[[#This Row],[Referencia]]&amp;Tabla3[[#This Row],[Desc detalle ext 1]]</f>
        <v xml:space="preserve">*CB-110                                           GRIS MET </v>
      </c>
      <c r="AA1701" s="128" t="e">
        <f>+VLOOKUP(Tabla3[[#This Row],[CODIGO2]],ESTANDAR!$B$3:$C$9,2,FALSE)</f>
        <v>#N/A</v>
      </c>
      <c r="AB1701" s="128" t="str">
        <f>+MID(Tabla3[[#This Row],['# Viaje]],10,1)</f>
        <v/>
      </c>
    </row>
    <row r="1702" spans="1:28" ht="15" hidden="1" customHeight="1">
      <c r="A1702" s="38" t="s">
        <v>1783</v>
      </c>
      <c r="B1702" s="39">
        <v>42951</v>
      </c>
      <c r="C1702" s="38" t="s">
        <v>1231</v>
      </c>
      <c r="D1702" s="38" t="s">
        <v>1478</v>
      </c>
      <c r="E1702" s="38" t="s">
        <v>1232</v>
      </c>
      <c r="F1702" s="38">
        <v>3</v>
      </c>
      <c r="G1702" s="38" t="s">
        <v>108</v>
      </c>
      <c r="H1702" s="38">
        <v>3</v>
      </c>
      <c r="I1702" s="38" t="s">
        <v>1784</v>
      </c>
      <c r="J1702" s="38" t="s">
        <v>14</v>
      </c>
      <c r="K1702" s="38" t="s">
        <v>16</v>
      </c>
      <c r="L1702" s="39"/>
      <c r="M1702" s="38" t="s">
        <v>1235</v>
      </c>
      <c r="N1702" s="38">
        <v>814006664</v>
      </c>
      <c r="O1702" s="40">
        <v>3360504</v>
      </c>
      <c r="P1702" s="7"/>
      <c r="Q1702" s="16">
        <f>+IF(IFERROR(VLOOKUP(Tabla3[[#This Row],[Cliente factura]],Tabla4[[NIT]:[TOTAL CREDITO]],3,FALSE),0)="",0,IFERROR(VLOOKUP(Tabla3[[#This Row],[Cliente factura]],Tabla4[[NIT]:[TOTAL CREDITO]],3,FALSE),0))</f>
        <v>211189076</v>
      </c>
      <c r="R1702" s="9">
        <f>+IFERROR(VLOOKUP(Tabla3[[#This Row],[Cliente factura]],Tabla4[[NIT]:[TOTAL CREDITO]],6,FALSE),0)</f>
        <v>0</v>
      </c>
      <c r="S1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2" s="10" t="str">
        <f>VLOOKUP(Tabla3[[#This Row],[Razón social cliente factura]]&amp;Tabla3[[#This Row],[Desc. ciudad]],'Estandar de Rutas'!$C$1:$E$553,2,FALSE)</f>
        <v>2.2</v>
      </c>
      <c r="U1702" s="130">
        <f>IFERROR(VLOOKUP(Tabla3[[#This Row],[Referencia]]&amp;Tabla3[[#This Row],[Desc detalle ext 1]],Tabla1[[Referencia-Color]:[Disponibilidad]],3,FALSE),0)</f>
        <v>83</v>
      </c>
      <c r="V1702" s="13"/>
      <c r="W1702" s="17">
        <f>+Tabla3[[#This Row],[Cant. Programada]]*Tabla3[[#This Row],[Precio unit]]</f>
        <v>0</v>
      </c>
      <c r="X1702" s="8"/>
      <c r="Y1702" s="8"/>
      <c r="Z1702" s="8" t="str">
        <f>+Tabla3[[#This Row],[Referencia]]&amp;Tabla3[[#This Row],[Desc detalle ext 1]]</f>
        <v xml:space="preserve">*CB-110                                           NEGRO    </v>
      </c>
      <c r="AA1702" s="128" t="e">
        <f>+VLOOKUP(Tabla3[[#This Row],[CODIGO2]],ESTANDAR!$B$3:$C$9,2,FALSE)</f>
        <v>#N/A</v>
      </c>
      <c r="AB1702" s="128" t="str">
        <f>+MID(Tabla3[[#This Row],['# Viaje]],10,1)</f>
        <v/>
      </c>
    </row>
    <row r="1703" spans="1:28" ht="15" hidden="1" customHeight="1">
      <c r="A1703" s="38" t="s">
        <v>1783</v>
      </c>
      <c r="B1703" s="39">
        <v>42951</v>
      </c>
      <c r="C1703" s="38" t="s">
        <v>1231</v>
      </c>
      <c r="D1703" s="38" t="s">
        <v>1478</v>
      </c>
      <c r="E1703" s="38" t="s">
        <v>1232</v>
      </c>
      <c r="F1703" s="38">
        <v>1</v>
      </c>
      <c r="G1703" s="38" t="s">
        <v>108</v>
      </c>
      <c r="H1703" s="38">
        <v>1</v>
      </c>
      <c r="I1703" s="38" t="s">
        <v>1784</v>
      </c>
      <c r="J1703" s="38" t="s">
        <v>14</v>
      </c>
      <c r="K1703" s="38" t="s">
        <v>15</v>
      </c>
      <c r="L1703" s="39"/>
      <c r="M1703" s="38" t="s">
        <v>1235</v>
      </c>
      <c r="N1703" s="38">
        <v>814006664</v>
      </c>
      <c r="O1703" s="40">
        <v>3360504</v>
      </c>
      <c r="P1703" s="7"/>
      <c r="Q1703" s="16">
        <f>+IF(IFERROR(VLOOKUP(Tabla3[[#This Row],[Cliente factura]],Tabla4[[NIT]:[TOTAL CREDITO]],3,FALSE),0)="",0,IFERROR(VLOOKUP(Tabla3[[#This Row],[Cliente factura]],Tabla4[[NIT]:[TOTAL CREDITO]],3,FALSE),0))</f>
        <v>211189076</v>
      </c>
      <c r="R1703" s="9">
        <f>+IFERROR(VLOOKUP(Tabla3[[#This Row],[Cliente factura]],Tabla4[[NIT]:[TOTAL CREDITO]],6,FALSE),0)</f>
        <v>0</v>
      </c>
      <c r="S1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3" s="10" t="str">
        <f>VLOOKUP(Tabla3[[#This Row],[Razón social cliente factura]]&amp;Tabla3[[#This Row],[Desc. ciudad]],'Estandar de Rutas'!$C$1:$E$553,2,FALSE)</f>
        <v>2.2</v>
      </c>
      <c r="U1703" s="130">
        <f>IFERROR(VLOOKUP(Tabla3[[#This Row],[Referencia]]&amp;Tabla3[[#This Row],[Desc detalle ext 1]],Tabla1[[Referencia-Color]:[Disponibilidad]],3,FALSE),0)</f>
        <v>99</v>
      </c>
      <c r="V1703" s="13"/>
      <c r="W1703" s="17">
        <f>+Tabla3[[#This Row],[Cant. Programada]]*Tabla3[[#This Row],[Precio unit]]</f>
        <v>0</v>
      </c>
      <c r="X1703" s="8"/>
      <c r="Y1703" s="8"/>
      <c r="Z1703" s="8" t="str">
        <f>+Tabla3[[#This Row],[Referencia]]&amp;Tabla3[[#This Row],[Desc detalle ext 1]]</f>
        <v>*CB-110                                           AZUL FIJI</v>
      </c>
      <c r="AA1703" s="128" t="e">
        <f>+VLOOKUP(Tabla3[[#This Row],[CODIGO2]],ESTANDAR!$B$3:$C$9,2,FALSE)</f>
        <v>#N/A</v>
      </c>
      <c r="AB1703" s="128" t="str">
        <f>+MID(Tabla3[[#This Row],['# Viaje]],10,1)</f>
        <v/>
      </c>
    </row>
    <row r="1704" spans="1:28" ht="15" hidden="1" customHeight="1">
      <c r="A1704" s="38" t="s">
        <v>1783</v>
      </c>
      <c r="B1704" s="39">
        <v>42951</v>
      </c>
      <c r="C1704" s="38" t="s">
        <v>1231</v>
      </c>
      <c r="D1704" s="38" t="s">
        <v>1478</v>
      </c>
      <c r="E1704" s="38" t="s">
        <v>1232</v>
      </c>
      <c r="F1704" s="38">
        <v>1</v>
      </c>
      <c r="G1704" s="38" t="s">
        <v>108</v>
      </c>
      <c r="H1704" s="38">
        <v>1</v>
      </c>
      <c r="I1704" s="38" t="s">
        <v>1784</v>
      </c>
      <c r="J1704" s="38" t="s">
        <v>27</v>
      </c>
      <c r="K1704" s="38" t="s">
        <v>32</v>
      </c>
      <c r="L1704" s="39"/>
      <c r="M1704" s="38" t="s">
        <v>1235</v>
      </c>
      <c r="N1704" s="38">
        <v>814006664</v>
      </c>
      <c r="O1704" s="40">
        <v>5789916</v>
      </c>
      <c r="P1704" s="7"/>
      <c r="Q1704" s="16">
        <f>+IF(IFERROR(VLOOKUP(Tabla3[[#This Row],[Cliente factura]],Tabla4[[NIT]:[TOTAL CREDITO]],3,FALSE),0)="",0,IFERROR(VLOOKUP(Tabla3[[#This Row],[Cliente factura]],Tabla4[[NIT]:[TOTAL CREDITO]],3,FALSE),0))</f>
        <v>211189076</v>
      </c>
      <c r="R1704" s="9">
        <f>+IFERROR(VLOOKUP(Tabla3[[#This Row],[Cliente factura]],Tabla4[[NIT]:[TOTAL CREDITO]],6,FALSE),0)</f>
        <v>0</v>
      </c>
      <c r="S1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4" s="10" t="str">
        <f>VLOOKUP(Tabla3[[#This Row],[Razón social cliente factura]]&amp;Tabla3[[#This Row],[Desc. ciudad]],'Estandar de Rutas'!$C$1:$E$553,2,FALSE)</f>
        <v>2.2</v>
      </c>
      <c r="U1704" s="130">
        <f>IFERROR(VLOOKUP(Tabla3[[#This Row],[Referencia]]&amp;Tabla3[[#This Row],[Desc detalle ext 1]],Tabla1[[Referencia-Color]:[Disponibilidad]],3,FALSE),0)</f>
        <v>7</v>
      </c>
      <c r="V1704" s="13"/>
      <c r="W1704" s="17">
        <f>+Tabla3[[#This Row],[Cant. Programada]]*Tabla3[[#This Row],[Precio unit]]</f>
        <v>0</v>
      </c>
      <c r="X1704" s="8"/>
      <c r="Y1704" s="8"/>
      <c r="Z1704" s="8" t="str">
        <f>+Tabla3[[#This Row],[Referencia]]&amp;Tabla3[[#This Row],[Desc detalle ext 1]]</f>
        <v>*XR 150L                                          NEGRO ROJ</v>
      </c>
      <c r="AA1704" s="128" t="e">
        <f>+VLOOKUP(Tabla3[[#This Row],[CODIGO2]],ESTANDAR!$B$3:$C$9,2,FALSE)</f>
        <v>#N/A</v>
      </c>
      <c r="AB1704" s="128" t="str">
        <f>+MID(Tabla3[[#This Row],['# Viaje]],10,1)</f>
        <v/>
      </c>
    </row>
    <row r="1705" spans="1:28" ht="15" hidden="1" customHeight="1">
      <c r="A1705" s="38" t="s">
        <v>1783</v>
      </c>
      <c r="B1705" s="39">
        <v>42951</v>
      </c>
      <c r="C1705" s="38" t="s">
        <v>1231</v>
      </c>
      <c r="D1705" s="38" t="s">
        <v>1478</v>
      </c>
      <c r="E1705" s="38" t="s">
        <v>1232</v>
      </c>
      <c r="F1705" s="38">
        <v>1</v>
      </c>
      <c r="G1705" s="38" t="s">
        <v>108</v>
      </c>
      <c r="H1705" s="38">
        <v>1</v>
      </c>
      <c r="I1705" s="38" t="s">
        <v>1784</v>
      </c>
      <c r="J1705" s="38" t="s">
        <v>27</v>
      </c>
      <c r="K1705" s="38" t="s">
        <v>16</v>
      </c>
      <c r="L1705" s="39"/>
      <c r="M1705" s="38" t="s">
        <v>1235</v>
      </c>
      <c r="N1705" s="38">
        <v>814006664</v>
      </c>
      <c r="O1705" s="40">
        <v>5789916</v>
      </c>
      <c r="P1705" s="7"/>
      <c r="Q1705" s="16">
        <f>+IF(IFERROR(VLOOKUP(Tabla3[[#This Row],[Cliente factura]],Tabla4[[NIT]:[TOTAL CREDITO]],3,FALSE),0)="",0,IFERROR(VLOOKUP(Tabla3[[#This Row],[Cliente factura]],Tabla4[[NIT]:[TOTAL CREDITO]],3,FALSE),0))</f>
        <v>211189076</v>
      </c>
      <c r="R1705" s="9">
        <f>+IFERROR(VLOOKUP(Tabla3[[#This Row],[Cliente factura]],Tabla4[[NIT]:[TOTAL CREDITO]],6,FALSE),0)</f>
        <v>0</v>
      </c>
      <c r="S1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5" s="10" t="str">
        <f>VLOOKUP(Tabla3[[#This Row],[Razón social cliente factura]]&amp;Tabla3[[#This Row],[Desc. ciudad]],'Estandar de Rutas'!$C$1:$E$553,2,FALSE)</f>
        <v>2.2</v>
      </c>
      <c r="U1705" s="130">
        <f>IFERROR(VLOOKUP(Tabla3[[#This Row],[Referencia]]&amp;Tabla3[[#This Row],[Desc detalle ext 1]],Tabla1[[Referencia-Color]:[Disponibilidad]],3,FALSE),0)</f>
        <v>3</v>
      </c>
      <c r="V1705" s="13"/>
      <c r="W1705" s="17">
        <f>+Tabla3[[#This Row],[Cant. Programada]]*Tabla3[[#This Row],[Precio unit]]</f>
        <v>0</v>
      </c>
      <c r="X1705" s="8"/>
      <c r="Y1705" s="8"/>
      <c r="Z1705" s="8" t="str">
        <f>+Tabla3[[#This Row],[Referencia]]&amp;Tabla3[[#This Row],[Desc detalle ext 1]]</f>
        <v xml:space="preserve">*XR 150L                                          NEGRO    </v>
      </c>
      <c r="AA1705" s="128" t="e">
        <f>+VLOOKUP(Tabla3[[#This Row],[CODIGO2]],ESTANDAR!$B$3:$C$9,2,FALSE)</f>
        <v>#N/A</v>
      </c>
      <c r="AB1705" s="128" t="str">
        <f>+MID(Tabla3[[#This Row],['# Viaje]],10,1)</f>
        <v/>
      </c>
    </row>
    <row r="1706" spans="1:28" ht="15" hidden="1" customHeight="1">
      <c r="A1706" s="38" t="s">
        <v>1783</v>
      </c>
      <c r="B1706" s="39">
        <v>42951</v>
      </c>
      <c r="C1706" s="38" t="s">
        <v>1231</v>
      </c>
      <c r="D1706" s="38" t="s">
        <v>1478</v>
      </c>
      <c r="E1706" s="38" t="s">
        <v>1232</v>
      </c>
      <c r="F1706" s="38">
        <v>1</v>
      </c>
      <c r="G1706" s="38" t="s">
        <v>108</v>
      </c>
      <c r="H1706" s="38">
        <v>1</v>
      </c>
      <c r="I1706" s="38" t="s">
        <v>1784</v>
      </c>
      <c r="J1706" s="38" t="s">
        <v>1425</v>
      </c>
      <c r="K1706" s="38" t="s">
        <v>1426</v>
      </c>
      <c r="L1706" s="39"/>
      <c r="M1706" s="38" t="s">
        <v>1235</v>
      </c>
      <c r="N1706" s="38">
        <v>814006664</v>
      </c>
      <c r="O1706" s="40">
        <v>7730252</v>
      </c>
      <c r="P1706" s="7"/>
      <c r="Q1706" s="16">
        <f>+IF(IFERROR(VLOOKUP(Tabla3[[#This Row],[Cliente factura]],Tabla4[[NIT]:[TOTAL CREDITO]],3,FALSE),0)="",0,IFERROR(VLOOKUP(Tabla3[[#This Row],[Cliente factura]],Tabla4[[NIT]:[TOTAL CREDITO]],3,FALSE),0))</f>
        <v>211189076</v>
      </c>
      <c r="R1706" s="9">
        <f>+IFERROR(VLOOKUP(Tabla3[[#This Row],[Cliente factura]],Tabla4[[NIT]:[TOTAL CREDITO]],6,FALSE),0)</f>
        <v>0</v>
      </c>
      <c r="S1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6" s="10" t="str">
        <f>VLOOKUP(Tabla3[[#This Row],[Razón social cliente factura]]&amp;Tabla3[[#This Row],[Desc. ciudad]],'Estandar de Rutas'!$C$1:$E$553,2,FALSE)</f>
        <v>2.2</v>
      </c>
      <c r="U1706" s="130">
        <f>IFERROR(VLOOKUP(Tabla3[[#This Row],[Referencia]]&amp;Tabla3[[#This Row],[Desc detalle ext 1]],Tabla1[[Referencia-Color]:[Disponibilidad]],3,FALSE),0)</f>
        <v>104</v>
      </c>
      <c r="V1706" s="13"/>
      <c r="W1706" s="17">
        <f>+Tabla3[[#This Row],[Cant. Programada]]*Tabla3[[#This Row],[Precio unit]]</f>
        <v>0</v>
      </c>
      <c r="X1706" s="8"/>
      <c r="Y1706" s="8"/>
      <c r="Z1706" s="8" t="str">
        <f>+Tabla3[[#This Row],[Referencia]]&amp;Tabla3[[#This Row],[Desc detalle ext 1]]</f>
        <v>CB 190 REPSOL                                     NARANJA B</v>
      </c>
      <c r="AA1706" s="128" t="e">
        <f>+VLOOKUP(Tabla3[[#This Row],[CODIGO2]],ESTANDAR!$B$3:$C$9,2,FALSE)</f>
        <v>#N/A</v>
      </c>
      <c r="AB1706" s="128" t="str">
        <f>+MID(Tabla3[[#This Row],['# Viaje]],10,1)</f>
        <v/>
      </c>
    </row>
    <row r="1707" spans="1:28" ht="15" hidden="1" customHeight="1">
      <c r="A1707" s="38" t="s">
        <v>1783</v>
      </c>
      <c r="B1707" s="39">
        <v>42951</v>
      </c>
      <c r="C1707" s="38" t="s">
        <v>1231</v>
      </c>
      <c r="D1707" s="38" t="s">
        <v>1478</v>
      </c>
      <c r="E1707" s="38" t="s">
        <v>1232</v>
      </c>
      <c r="F1707" s="38">
        <v>1</v>
      </c>
      <c r="G1707" s="38" t="s">
        <v>108</v>
      </c>
      <c r="H1707" s="38">
        <v>1</v>
      </c>
      <c r="I1707" s="38" t="s">
        <v>1784</v>
      </c>
      <c r="J1707" s="38" t="s">
        <v>1433</v>
      </c>
      <c r="K1707" s="38" t="s">
        <v>1431</v>
      </c>
      <c r="L1707" s="39"/>
      <c r="M1707" s="38" t="s">
        <v>1235</v>
      </c>
      <c r="N1707" s="38">
        <v>814006664</v>
      </c>
      <c r="O1707" s="40">
        <v>3521008</v>
      </c>
      <c r="P1707" s="7"/>
      <c r="Q1707" s="16">
        <f>+IF(IFERROR(VLOOKUP(Tabla3[[#This Row],[Cliente factura]],Tabla4[[NIT]:[TOTAL CREDITO]],3,FALSE),0)="",0,IFERROR(VLOOKUP(Tabla3[[#This Row],[Cliente factura]],Tabla4[[NIT]:[TOTAL CREDITO]],3,FALSE),0))</f>
        <v>211189076</v>
      </c>
      <c r="R1707" s="9">
        <f>+IFERROR(VLOOKUP(Tabla3[[#This Row],[Cliente factura]],Tabla4[[NIT]:[TOTAL CREDITO]],6,FALSE),0)</f>
        <v>0</v>
      </c>
      <c r="S1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7" s="10" t="str">
        <f>VLOOKUP(Tabla3[[#This Row],[Razón social cliente factura]]&amp;Tabla3[[#This Row],[Desc. ciudad]],'Estandar de Rutas'!$C$1:$E$553,2,FALSE)</f>
        <v>2.2</v>
      </c>
      <c r="U1707" s="130">
        <f>IFERROR(VLOOKUP(Tabla3[[#This Row],[Referencia]]&amp;Tabla3[[#This Row],[Desc detalle ext 1]],Tabla1[[Referencia-Color]:[Disponibilidad]],3,FALSE),0)</f>
        <v>0</v>
      </c>
      <c r="V1707" s="13"/>
      <c r="W1707" s="17">
        <f>+Tabla3[[#This Row],[Cant. Programada]]*Tabla3[[#This Row],[Precio unit]]</f>
        <v>0</v>
      </c>
      <c r="X1707" s="8"/>
      <c r="Y1707" s="8"/>
      <c r="Z1707" s="8" t="str">
        <f>+Tabla3[[#This Row],[Referencia]]&amp;Tabla3[[#This Row],[Desc detalle ext 1]]</f>
        <v xml:space="preserve">DIO  110                                          ROJO     </v>
      </c>
      <c r="AA1707" s="128" t="e">
        <f>+VLOOKUP(Tabla3[[#This Row],[CODIGO2]],ESTANDAR!$B$3:$C$9,2,FALSE)</f>
        <v>#N/A</v>
      </c>
      <c r="AB1707" s="128" t="str">
        <f>+MID(Tabla3[[#This Row],['# Viaje]],10,1)</f>
        <v/>
      </c>
    </row>
    <row r="1708" spans="1:28" ht="15" hidden="1" customHeight="1">
      <c r="A1708" s="38" t="s">
        <v>1783</v>
      </c>
      <c r="B1708" s="39">
        <v>42951</v>
      </c>
      <c r="C1708" s="38" t="s">
        <v>1231</v>
      </c>
      <c r="D1708" s="38" t="s">
        <v>1478</v>
      </c>
      <c r="E1708" s="38" t="s">
        <v>1232</v>
      </c>
      <c r="F1708" s="38">
        <v>1</v>
      </c>
      <c r="G1708" s="38" t="s">
        <v>108</v>
      </c>
      <c r="H1708" s="38">
        <v>1</v>
      </c>
      <c r="I1708" s="38" t="s">
        <v>1784</v>
      </c>
      <c r="J1708" s="38" t="s">
        <v>1433</v>
      </c>
      <c r="K1708" s="38" t="s">
        <v>1452</v>
      </c>
      <c r="L1708" s="39"/>
      <c r="M1708" s="38" t="s">
        <v>1235</v>
      </c>
      <c r="N1708" s="38">
        <v>814006664</v>
      </c>
      <c r="O1708" s="40">
        <v>3521008</v>
      </c>
      <c r="P1708" s="7"/>
      <c r="Q1708" s="16">
        <f>+IF(IFERROR(VLOOKUP(Tabla3[[#This Row],[Cliente factura]],Tabla4[[NIT]:[TOTAL CREDITO]],3,FALSE),0)="",0,IFERROR(VLOOKUP(Tabla3[[#This Row],[Cliente factura]],Tabla4[[NIT]:[TOTAL CREDITO]],3,FALSE),0))</f>
        <v>211189076</v>
      </c>
      <c r="R1708" s="9">
        <f>+IFERROR(VLOOKUP(Tabla3[[#This Row],[Cliente factura]],Tabla4[[NIT]:[TOTAL CREDITO]],6,FALSE),0)</f>
        <v>0</v>
      </c>
      <c r="S1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8" s="10" t="str">
        <f>VLOOKUP(Tabla3[[#This Row],[Razón social cliente factura]]&amp;Tabla3[[#This Row],[Desc. ciudad]],'Estandar de Rutas'!$C$1:$E$553,2,FALSE)</f>
        <v>2.2</v>
      </c>
      <c r="U1708" s="130">
        <f>IFERROR(VLOOKUP(Tabla3[[#This Row],[Referencia]]&amp;Tabla3[[#This Row],[Desc detalle ext 1]],Tabla1[[Referencia-Color]:[Disponibilidad]],3,FALSE),0)</f>
        <v>0</v>
      </c>
      <c r="V1708" s="13"/>
      <c r="W1708" s="17">
        <f>+Tabla3[[#This Row],[Cant. Programada]]*Tabla3[[#This Row],[Precio unit]]</f>
        <v>0</v>
      </c>
      <c r="X1708" s="8"/>
      <c r="Y1708" s="8"/>
      <c r="Z1708" s="8" t="str">
        <f>+Tabla3[[#This Row],[Referencia]]&amp;Tabla3[[#This Row],[Desc detalle ext 1]]</f>
        <v xml:space="preserve">DIO  110                                          AZUL     </v>
      </c>
      <c r="AA1708" s="128" t="e">
        <f>+VLOOKUP(Tabla3[[#This Row],[CODIGO2]],ESTANDAR!$B$3:$C$9,2,FALSE)</f>
        <v>#N/A</v>
      </c>
      <c r="AB1708" s="128" t="str">
        <f>+MID(Tabla3[[#This Row],['# Viaje]],10,1)</f>
        <v/>
      </c>
    </row>
    <row r="1709" spans="1:28" ht="15" hidden="1" customHeight="1">
      <c r="A1709" s="38" t="s">
        <v>1783</v>
      </c>
      <c r="B1709" s="39">
        <v>42951</v>
      </c>
      <c r="C1709" s="38" t="s">
        <v>1231</v>
      </c>
      <c r="D1709" s="38" t="s">
        <v>1478</v>
      </c>
      <c r="E1709" s="38" t="s">
        <v>1232</v>
      </c>
      <c r="F1709" s="38">
        <v>1</v>
      </c>
      <c r="G1709" s="38" t="s">
        <v>108</v>
      </c>
      <c r="H1709" s="38">
        <v>1</v>
      </c>
      <c r="I1709" s="38" t="s">
        <v>1784</v>
      </c>
      <c r="J1709" s="38" t="s">
        <v>1453</v>
      </c>
      <c r="K1709" s="38" t="s">
        <v>11</v>
      </c>
      <c r="L1709" s="39"/>
      <c r="M1709" s="38" t="s">
        <v>1235</v>
      </c>
      <c r="N1709" s="38">
        <v>814006664</v>
      </c>
      <c r="O1709" s="40">
        <v>7730252</v>
      </c>
      <c r="P1709" s="7"/>
      <c r="Q1709" s="16">
        <f>+IF(IFERROR(VLOOKUP(Tabla3[[#This Row],[Cliente factura]],Tabla4[[NIT]:[TOTAL CREDITO]],3,FALSE),0)="",0,IFERROR(VLOOKUP(Tabla3[[#This Row],[Cliente factura]],Tabla4[[NIT]:[TOTAL CREDITO]],3,FALSE),0))</f>
        <v>211189076</v>
      </c>
      <c r="R1709" s="9">
        <f>+IFERROR(VLOOKUP(Tabla3[[#This Row],[Cliente factura]],Tabla4[[NIT]:[TOTAL CREDITO]],6,FALSE),0)</f>
        <v>0</v>
      </c>
      <c r="S1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9" s="10" t="str">
        <f>VLOOKUP(Tabla3[[#This Row],[Razón social cliente factura]]&amp;Tabla3[[#This Row],[Desc. ciudad]],'Estandar de Rutas'!$C$1:$E$553,2,FALSE)</f>
        <v>2.2</v>
      </c>
      <c r="U1709" s="130">
        <f>IFERROR(VLOOKUP(Tabla3[[#This Row],[Referencia]]&amp;Tabla3[[#This Row],[Desc detalle ext 1]],Tabla1[[Referencia-Color]:[Disponibilidad]],3,FALSE),0)</f>
        <v>0</v>
      </c>
      <c r="V1709" s="13"/>
      <c r="W1709" s="17">
        <f>+Tabla3[[#This Row],[Cant. Programada]]*Tabla3[[#This Row],[Precio unit]]</f>
        <v>0</v>
      </c>
      <c r="X1709" s="8"/>
      <c r="Y1709" s="8"/>
      <c r="Z1709" s="8" t="str">
        <f>+Tabla3[[#This Row],[Referencia]]&amp;Tabla3[[#This Row],[Desc detalle ext 1]]</f>
        <v>CB 190R INSTINTO R                                NEGRO ONI</v>
      </c>
      <c r="AA1709" s="128" t="e">
        <f>+VLOOKUP(Tabla3[[#This Row],[CODIGO2]],ESTANDAR!$B$3:$C$9,2,FALSE)</f>
        <v>#N/A</v>
      </c>
      <c r="AB1709" s="128" t="str">
        <f>+MID(Tabla3[[#This Row],['# Viaje]],10,1)</f>
        <v/>
      </c>
    </row>
    <row r="1710" spans="1:28" ht="15" hidden="1" customHeight="1">
      <c r="A1710" s="38" t="s">
        <v>1783</v>
      </c>
      <c r="B1710" s="39">
        <v>42951</v>
      </c>
      <c r="C1710" s="38" t="s">
        <v>1231</v>
      </c>
      <c r="D1710" s="38" t="s">
        <v>1478</v>
      </c>
      <c r="E1710" s="38" t="s">
        <v>1232</v>
      </c>
      <c r="F1710" s="38">
        <v>1</v>
      </c>
      <c r="G1710" s="38" t="s">
        <v>108</v>
      </c>
      <c r="H1710" s="38">
        <v>1</v>
      </c>
      <c r="I1710" s="38" t="s">
        <v>1784</v>
      </c>
      <c r="J1710" s="38" t="s">
        <v>1428</v>
      </c>
      <c r="K1710" s="38" t="s">
        <v>1461</v>
      </c>
      <c r="L1710" s="39"/>
      <c r="M1710" s="38" t="s">
        <v>1235</v>
      </c>
      <c r="N1710" s="38">
        <v>814006664</v>
      </c>
      <c r="O1710" s="40">
        <v>3067227</v>
      </c>
      <c r="P1710" s="7"/>
      <c r="Q1710" s="16">
        <f>+IF(IFERROR(VLOOKUP(Tabla3[[#This Row],[Cliente factura]],Tabla4[[NIT]:[TOTAL CREDITO]],3,FALSE),0)="",0,IFERROR(VLOOKUP(Tabla3[[#This Row],[Cliente factura]],Tabla4[[NIT]:[TOTAL CREDITO]],3,FALSE),0))</f>
        <v>211189076</v>
      </c>
      <c r="R1710" s="9">
        <f>+IFERROR(VLOOKUP(Tabla3[[#This Row],[Cliente factura]],Tabla4[[NIT]:[TOTAL CREDITO]],6,FALSE),0)</f>
        <v>0</v>
      </c>
      <c r="S1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0" s="10" t="str">
        <f>VLOOKUP(Tabla3[[#This Row],[Razón social cliente factura]]&amp;Tabla3[[#This Row],[Desc. ciudad]],'Estandar de Rutas'!$C$1:$E$553,2,FALSE)</f>
        <v>2.2</v>
      </c>
      <c r="U1710" s="130">
        <f>IFERROR(VLOOKUP(Tabla3[[#This Row],[Referencia]]&amp;Tabla3[[#This Row],[Desc detalle ext 1]],Tabla1[[Referencia-Color]:[Disponibilidad]],3,FALSE),0)</f>
        <v>0</v>
      </c>
      <c r="V1710" s="13"/>
      <c r="W1710" s="17">
        <f>+Tabla3[[#This Row],[Cant. Programada]]*Tabla3[[#This Row],[Precio unit]]</f>
        <v>0</v>
      </c>
      <c r="X1710" s="8"/>
      <c r="Y1710" s="8"/>
      <c r="Z1710" s="8" t="str">
        <f>+Tabla3[[#This Row],[Referencia]]&amp;Tabla3[[#This Row],[Desc detalle ext 1]]</f>
        <v>DREAM  NEO                                        ROJO ALFA</v>
      </c>
      <c r="AA1710" s="128" t="e">
        <f>+VLOOKUP(Tabla3[[#This Row],[CODIGO2]],ESTANDAR!$B$3:$C$9,2,FALSE)</f>
        <v>#N/A</v>
      </c>
      <c r="AB1710" s="128" t="str">
        <f>+MID(Tabla3[[#This Row],['# Viaje]],10,1)</f>
        <v/>
      </c>
    </row>
    <row r="1711" spans="1:28" ht="15" hidden="1" customHeight="1">
      <c r="A1711" s="38" t="s">
        <v>1783</v>
      </c>
      <c r="B1711" s="39">
        <v>42951</v>
      </c>
      <c r="C1711" s="38" t="s">
        <v>1231</v>
      </c>
      <c r="D1711" s="38" t="s">
        <v>1478</v>
      </c>
      <c r="E1711" s="38" t="s">
        <v>1232</v>
      </c>
      <c r="F1711" s="38">
        <v>2</v>
      </c>
      <c r="G1711" s="38" t="s">
        <v>108</v>
      </c>
      <c r="H1711" s="38">
        <v>2</v>
      </c>
      <c r="I1711" s="38" t="s">
        <v>1784</v>
      </c>
      <c r="J1711" s="38" t="s">
        <v>1428</v>
      </c>
      <c r="K1711" s="38" t="s">
        <v>32</v>
      </c>
      <c r="L1711" s="39"/>
      <c r="M1711" s="38" t="s">
        <v>1235</v>
      </c>
      <c r="N1711" s="38">
        <v>814006664</v>
      </c>
      <c r="O1711" s="40">
        <v>3067227</v>
      </c>
      <c r="P1711" s="7"/>
      <c r="Q1711" s="16">
        <f>+IF(IFERROR(VLOOKUP(Tabla3[[#This Row],[Cliente factura]],Tabla4[[NIT]:[TOTAL CREDITO]],3,FALSE),0)="",0,IFERROR(VLOOKUP(Tabla3[[#This Row],[Cliente factura]],Tabla4[[NIT]:[TOTAL CREDITO]],3,FALSE),0))</f>
        <v>211189076</v>
      </c>
      <c r="R1711" s="9">
        <f>+IFERROR(VLOOKUP(Tabla3[[#This Row],[Cliente factura]],Tabla4[[NIT]:[TOTAL CREDITO]],6,FALSE),0)</f>
        <v>0</v>
      </c>
      <c r="S1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1" s="10" t="str">
        <f>VLOOKUP(Tabla3[[#This Row],[Razón social cliente factura]]&amp;Tabla3[[#This Row],[Desc. ciudad]],'Estandar de Rutas'!$C$1:$E$553,2,FALSE)</f>
        <v>2.2</v>
      </c>
      <c r="U1711" s="130">
        <f>IFERROR(VLOOKUP(Tabla3[[#This Row],[Referencia]]&amp;Tabla3[[#This Row],[Desc detalle ext 1]],Tabla1[[Referencia-Color]:[Disponibilidad]],3,FALSE),0)</f>
        <v>0</v>
      </c>
      <c r="V1711" s="13"/>
      <c r="W1711" s="17">
        <f>+Tabla3[[#This Row],[Cant. Programada]]*Tabla3[[#This Row],[Precio unit]]</f>
        <v>0</v>
      </c>
      <c r="X1711" s="8"/>
      <c r="Y1711" s="8"/>
      <c r="Z1711" s="8" t="str">
        <f>+Tabla3[[#This Row],[Referencia]]&amp;Tabla3[[#This Row],[Desc detalle ext 1]]</f>
        <v>DREAM  NEO                                        NEGRO ROJ</v>
      </c>
      <c r="AA1711" s="128" t="e">
        <f>+VLOOKUP(Tabla3[[#This Row],[CODIGO2]],ESTANDAR!$B$3:$C$9,2,FALSE)</f>
        <v>#N/A</v>
      </c>
      <c r="AB1711" s="128" t="str">
        <f>+MID(Tabla3[[#This Row],['# Viaje]],10,1)</f>
        <v/>
      </c>
    </row>
    <row r="1712" spans="1:28" ht="15" hidden="1" customHeight="1">
      <c r="A1712" s="38" t="s">
        <v>1783</v>
      </c>
      <c r="B1712" s="39">
        <v>42951</v>
      </c>
      <c r="C1712" s="38" t="s">
        <v>1231</v>
      </c>
      <c r="D1712" s="38" t="s">
        <v>1478</v>
      </c>
      <c r="E1712" s="38" t="s">
        <v>1232</v>
      </c>
      <c r="F1712" s="38">
        <v>2</v>
      </c>
      <c r="G1712" s="38" t="s">
        <v>108</v>
      </c>
      <c r="H1712" s="38">
        <v>2</v>
      </c>
      <c r="I1712" s="38" t="s">
        <v>1784</v>
      </c>
      <c r="J1712" s="38" t="s">
        <v>1428</v>
      </c>
      <c r="K1712" s="38" t="s">
        <v>1429</v>
      </c>
      <c r="L1712" s="39"/>
      <c r="M1712" s="38" t="s">
        <v>1235</v>
      </c>
      <c r="N1712" s="38">
        <v>814006664</v>
      </c>
      <c r="O1712" s="40">
        <v>3067227</v>
      </c>
      <c r="P1712" s="7"/>
      <c r="Q1712" s="16">
        <f>+IF(IFERROR(VLOOKUP(Tabla3[[#This Row],[Cliente factura]],Tabla4[[NIT]:[TOTAL CREDITO]],3,FALSE),0)="",0,IFERROR(VLOOKUP(Tabla3[[#This Row],[Cliente factura]],Tabla4[[NIT]:[TOTAL CREDITO]],3,FALSE),0))</f>
        <v>211189076</v>
      </c>
      <c r="R1712" s="9">
        <f>+IFERROR(VLOOKUP(Tabla3[[#This Row],[Cliente factura]],Tabla4[[NIT]:[TOTAL CREDITO]],6,FALSE),0)</f>
        <v>0</v>
      </c>
      <c r="S1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2" s="10" t="str">
        <f>VLOOKUP(Tabla3[[#This Row],[Razón social cliente factura]]&amp;Tabla3[[#This Row],[Desc. ciudad]],'Estandar de Rutas'!$C$1:$E$553,2,FALSE)</f>
        <v>2.2</v>
      </c>
      <c r="U1712" s="130">
        <f>IFERROR(VLOOKUP(Tabla3[[#This Row],[Referencia]]&amp;Tabla3[[#This Row],[Desc detalle ext 1]],Tabla1[[Referencia-Color]:[Disponibilidad]],3,FALSE),0)</f>
        <v>0</v>
      </c>
      <c r="V1712" s="13"/>
      <c r="W1712" s="17">
        <f>+Tabla3[[#This Row],[Cant. Programada]]*Tabla3[[#This Row],[Precio unit]]</f>
        <v>0</v>
      </c>
      <c r="X1712" s="8"/>
      <c r="Y1712" s="8"/>
      <c r="Z1712" s="8" t="str">
        <f>+Tabla3[[#This Row],[Referencia]]&amp;Tabla3[[#This Row],[Desc detalle ext 1]]</f>
        <v>DREAM  NEO                                        NEGRO AZU</v>
      </c>
      <c r="AA1712" s="128" t="e">
        <f>+VLOOKUP(Tabla3[[#This Row],[CODIGO2]],ESTANDAR!$B$3:$C$9,2,FALSE)</f>
        <v>#N/A</v>
      </c>
      <c r="AB1712" s="128" t="str">
        <f>+MID(Tabla3[[#This Row],['# Viaje]],10,1)</f>
        <v/>
      </c>
    </row>
    <row r="1713" spans="1:28" ht="15" hidden="1" customHeight="1">
      <c r="A1713" s="38" t="s">
        <v>1783</v>
      </c>
      <c r="B1713" s="39">
        <v>42951</v>
      </c>
      <c r="C1713" s="38" t="s">
        <v>1231</v>
      </c>
      <c r="D1713" s="38" t="s">
        <v>1478</v>
      </c>
      <c r="E1713" s="38" t="s">
        <v>1232</v>
      </c>
      <c r="F1713" s="38">
        <v>2</v>
      </c>
      <c r="G1713" s="38" t="s">
        <v>108</v>
      </c>
      <c r="H1713" s="38">
        <v>2</v>
      </c>
      <c r="I1713" s="38" t="s">
        <v>1784</v>
      </c>
      <c r="J1713" s="38" t="s">
        <v>1430</v>
      </c>
      <c r="K1713" s="38" t="s">
        <v>16</v>
      </c>
      <c r="L1713" s="39"/>
      <c r="M1713" s="38" t="s">
        <v>1235</v>
      </c>
      <c r="N1713" s="38">
        <v>814006664</v>
      </c>
      <c r="O1713" s="40">
        <v>3941176</v>
      </c>
      <c r="P1713" s="7"/>
      <c r="Q1713" s="16">
        <f>+IF(IFERROR(VLOOKUP(Tabla3[[#This Row],[Cliente factura]],Tabla4[[NIT]:[TOTAL CREDITO]],3,FALSE),0)="",0,IFERROR(VLOOKUP(Tabla3[[#This Row],[Cliente factura]],Tabla4[[NIT]:[TOTAL CREDITO]],3,FALSE),0))</f>
        <v>211189076</v>
      </c>
      <c r="R1713" s="9">
        <f>+IFERROR(VLOOKUP(Tabla3[[#This Row],[Cliente factura]],Tabla4[[NIT]:[TOTAL CREDITO]],6,FALSE),0)</f>
        <v>0</v>
      </c>
      <c r="S1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3" s="10" t="str">
        <f>VLOOKUP(Tabla3[[#This Row],[Razón social cliente factura]]&amp;Tabla3[[#This Row],[Desc. ciudad]],'Estandar de Rutas'!$C$1:$E$553,2,FALSE)</f>
        <v>2.2</v>
      </c>
      <c r="U1713" s="130">
        <f>IFERROR(VLOOKUP(Tabla3[[#This Row],[Referencia]]&amp;Tabla3[[#This Row],[Desc detalle ext 1]],Tabla1[[Referencia-Color]:[Disponibilidad]],3,FALSE),0)</f>
        <v>0</v>
      </c>
      <c r="V1713" s="13"/>
      <c r="W1713" s="17">
        <f>+Tabla3[[#This Row],[Cant. Programada]]*Tabla3[[#This Row],[Precio unit]]</f>
        <v>0</v>
      </c>
      <c r="X1713" s="8"/>
      <c r="Y1713" s="8"/>
      <c r="Z1713" s="8" t="str">
        <f>+Tabla3[[#This Row],[Referencia]]&amp;Tabla3[[#This Row],[Desc detalle ext 1]]</f>
        <v xml:space="preserve">WAVE 110S                                         NEGRO    </v>
      </c>
      <c r="AA1713" s="128" t="e">
        <f>+VLOOKUP(Tabla3[[#This Row],[CODIGO2]],ESTANDAR!$B$3:$C$9,2,FALSE)</f>
        <v>#N/A</v>
      </c>
      <c r="AB1713" s="128" t="str">
        <f>+MID(Tabla3[[#This Row],['# Viaje]],10,1)</f>
        <v/>
      </c>
    </row>
    <row r="1714" spans="1:28" ht="15" hidden="1" customHeight="1">
      <c r="A1714" s="38" t="s">
        <v>1783</v>
      </c>
      <c r="B1714" s="39">
        <v>42951</v>
      </c>
      <c r="C1714" s="38" t="s">
        <v>1231</v>
      </c>
      <c r="D1714" s="38" t="s">
        <v>1478</v>
      </c>
      <c r="E1714" s="38" t="s">
        <v>1232</v>
      </c>
      <c r="F1714" s="38">
        <v>1</v>
      </c>
      <c r="G1714" s="38" t="s">
        <v>108</v>
      </c>
      <c r="H1714" s="38">
        <v>1</v>
      </c>
      <c r="I1714" s="38" t="s">
        <v>1784</v>
      </c>
      <c r="J1714" s="38" t="s">
        <v>1451</v>
      </c>
      <c r="K1714" s="38" t="s">
        <v>1449</v>
      </c>
      <c r="L1714" s="39"/>
      <c r="M1714" s="38" t="s">
        <v>1235</v>
      </c>
      <c r="N1714" s="38">
        <v>814006664</v>
      </c>
      <c r="O1714" s="40">
        <v>3696639</v>
      </c>
      <c r="P1714" s="7"/>
      <c r="Q1714" s="16">
        <f>+IF(IFERROR(VLOOKUP(Tabla3[[#This Row],[Cliente factura]],Tabla4[[NIT]:[TOTAL CREDITO]],3,FALSE),0)="",0,IFERROR(VLOOKUP(Tabla3[[#This Row],[Cliente factura]],Tabla4[[NIT]:[TOTAL CREDITO]],3,FALSE),0))</f>
        <v>211189076</v>
      </c>
      <c r="R1714" s="9">
        <f>+IFERROR(VLOOKUP(Tabla3[[#This Row],[Cliente factura]],Tabla4[[NIT]:[TOTAL CREDITO]],6,FALSE),0)</f>
        <v>0</v>
      </c>
      <c r="S1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4" s="10" t="str">
        <f>VLOOKUP(Tabla3[[#This Row],[Razón social cliente factura]]&amp;Tabla3[[#This Row],[Desc. ciudad]],'Estandar de Rutas'!$C$1:$E$553,2,FALSE)</f>
        <v>2.2</v>
      </c>
      <c r="U1714" s="130">
        <f>IFERROR(VLOOKUP(Tabla3[[#This Row],[Referencia]]&amp;Tabla3[[#This Row],[Desc detalle ext 1]],Tabla1[[Referencia-Color]:[Disponibilidad]],3,FALSE),0)</f>
        <v>24</v>
      </c>
      <c r="V1714" s="13"/>
      <c r="W1714" s="17">
        <f>+Tabla3[[#This Row],[Cant. Programada]]*Tabla3[[#This Row],[Precio unit]]</f>
        <v>0</v>
      </c>
      <c r="X1714" s="8"/>
      <c r="Y1714" s="8"/>
      <c r="Z1714" s="8" t="str">
        <f>+Tabla3[[#This Row],[Referencia]]&amp;Tabla3[[#This Row],[Desc detalle ext 1]]</f>
        <v xml:space="preserve">CB 110 DLX                                        GRIS     </v>
      </c>
      <c r="AA1714" s="128" t="e">
        <f>+VLOOKUP(Tabla3[[#This Row],[CODIGO2]],ESTANDAR!$B$3:$C$9,2,FALSE)</f>
        <v>#N/A</v>
      </c>
      <c r="AB1714" s="128" t="str">
        <f>+MID(Tabla3[[#This Row],['# Viaje]],10,1)</f>
        <v/>
      </c>
    </row>
    <row r="1715" spans="1:28" ht="15" hidden="1" customHeight="1">
      <c r="A1715" s="38" t="s">
        <v>1783</v>
      </c>
      <c r="B1715" s="39">
        <v>42951</v>
      </c>
      <c r="C1715" s="38" t="s">
        <v>1231</v>
      </c>
      <c r="D1715" s="38" t="s">
        <v>1478</v>
      </c>
      <c r="E1715" s="38" t="s">
        <v>1232</v>
      </c>
      <c r="F1715" s="38">
        <v>1</v>
      </c>
      <c r="G1715" s="38" t="s">
        <v>108</v>
      </c>
      <c r="H1715" s="38">
        <v>1</v>
      </c>
      <c r="I1715" s="38" t="s">
        <v>1784</v>
      </c>
      <c r="J1715" s="38" t="s">
        <v>1451</v>
      </c>
      <c r="K1715" s="38" t="s">
        <v>1431</v>
      </c>
      <c r="L1715" s="39"/>
      <c r="M1715" s="38" t="s">
        <v>1235</v>
      </c>
      <c r="N1715" s="38">
        <v>814006664</v>
      </c>
      <c r="O1715" s="40">
        <v>3696639</v>
      </c>
      <c r="P1715" s="7"/>
      <c r="Q1715" s="16">
        <f>+IF(IFERROR(VLOOKUP(Tabla3[[#This Row],[Cliente factura]],Tabla4[[NIT]:[TOTAL CREDITO]],3,FALSE),0)="",0,IFERROR(VLOOKUP(Tabla3[[#This Row],[Cliente factura]],Tabla4[[NIT]:[TOTAL CREDITO]],3,FALSE),0))</f>
        <v>211189076</v>
      </c>
      <c r="R1715" s="9">
        <f>+IFERROR(VLOOKUP(Tabla3[[#This Row],[Cliente factura]],Tabla4[[NIT]:[TOTAL CREDITO]],6,FALSE),0)</f>
        <v>0</v>
      </c>
      <c r="S1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5" s="10" t="str">
        <f>VLOOKUP(Tabla3[[#This Row],[Razón social cliente factura]]&amp;Tabla3[[#This Row],[Desc. ciudad]],'Estandar de Rutas'!$C$1:$E$553,2,FALSE)</f>
        <v>2.2</v>
      </c>
      <c r="U1715" s="130">
        <f>IFERROR(VLOOKUP(Tabla3[[#This Row],[Referencia]]&amp;Tabla3[[#This Row],[Desc detalle ext 1]],Tabla1[[Referencia-Color]:[Disponibilidad]],3,FALSE),0)</f>
        <v>21</v>
      </c>
      <c r="V1715" s="13"/>
      <c r="W1715" s="17">
        <f>+Tabla3[[#This Row],[Cant. Programada]]*Tabla3[[#This Row],[Precio unit]]</f>
        <v>0</v>
      </c>
      <c r="X1715" s="8"/>
      <c r="Y1715" s="8"/>
      <c r="Z1715" s="8" t="str">
        <f>+Tabla3[[#This Row],[Referencia]]&amp;Tabla3[[#This Row],[Desc detalle ext 1]]</f>
        <v xml:space="preserve">CB 110 DLX                                        ROJO     </v>
      </c>
      <c r="AA1715" s="128" t="e">
        <f>+VLOOKUP(Tabla3[[#This Row],[CODIGO2]],ESTANDAR!$B$3:$C$9,2,FALSE)</f>
        <v>#N/A</v>
      </c>
      <c r="AB1715" s="128" t="str">
        <f>+MID(Tabla3[[#This Row],['# Viaje]],10,1)</f>
        <v/>
      </c>
    </row>
    <row r="1716" spans="1:28" ht="15" hidden="1" customHeight="1">
      <c r="A1716" s="38" t="s">
        <v>1783</v>
      </c>
      <c r="B1716" s="39">
        <v>42951</v>
      </c>
      <c r="C1716" s="38" t="s">
        <v>1231</v>
      </c>
      <c r="D1716" s="38" t="s">
        <v>1478</v>
      </c>
      <c r="E1716" s="38" t="s">
        <v>1232</v>
      </c>
      <c r="F1716" s="38">
        <v>2</v>
      </c>
      <c r="G1716" s="38" t="s">
        <v>108</v>
      </c>
      <c r="H1716" s="38">
        <v>2</v>
      </c>
      <c r="I1716" s="38" t="s">
        <v>1784</v>
      </c>
      <c r="J1716" s="38" t="s">
        <v>1451</v>
      </c>
      <c r="K1716" s="38" t="s">
        <v>1452</v>
      </c>
      <c r="L1716" s="39"/>
      <c r="M1716" s="38" t="s">
        <v>1235</v>
      </c>
      <c r="N1716" s="38">
        <v>814006664</v>
      </c>
      <c r="O1716" s="40">
        <v>3696639</v>
      </c>
      <c r="P1716" s="7"/>
      <c r="Q1716" s="16">
        <f>+IF(IFERROR(VLOOKUP(Tabla3[[#This Row],[Cliente factura]],Tabla4[[NIT]:[TOTAL CREDITO]],3,FALSE),0)="",0,IFERROR(VLOOKUP(Tabla3[[#This Row],[Cliente factura]],Tabla4[[NIT]:[TOTAL CREDITO]],3,FALSE),0))</f>
        <v>211189076</v>
      </c>
      <c r="R1716" s="9">
        <f>+IFERROR(VLOOKUP(Tabla3[[#This Row],[Cliente factura]],Tabla4[[NIT]:[TOTAL CREDITO]],6,FALSE),0)</f>
        <v>0</v>
      </c>
      <c r="S1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6" s="10" t="str">
        <f>VLOOKUP(Tabla3[[#This Row],[Razón social cliente factura]]&amp;Tabla3[[#This Row],[Desc. ciudad]],'Estandar de Rutas'!$C$1:$E$553,2,FALSE)</f>
        <v>2.2</v>
      </c>
      <c r="U1716" s="130">
        <f>IFERROR(VLOOKUP(Tabla3[[#This Row],[Referencia]]&amp;Tabla3[[#This Row],[Desc detalle ext 1]],Tabla1[[Referencia-Color]:[Disponibilidad]],3,FALSE),0)</f>
        <v>21</v>
      </c>
      <c r="V1716" s="13"/>
      <c r="W1716" s="17">
        <f>+Tabla3[[#This Row],[Cant. Programada]]*Tabla3[[#This Row],[Precio unit]]</f>
        <v>0</v>
      </c>
      <c r="X1716" s="8"/>
      <c r="Y1716" s="8"/>
      <c r="Z1716" s="8" t="str">
        <f>+Tabla3[[#This Row],[Referencia]]&amp;Tabla3[[#This Row],[Desc detalle ext 1]]</f>
        <v xml:space="preserve">CB 110 DLX                                        AZUL     </v>
      </c>
      <c r="AA1716" s="128" t="e">
        <f>+VLOOKUP(Tabla3[[#This Row],[CODIGO2]],ESTANDAR!$B$3:$C$9,2,FALSE)</f>
        <v>#N/A</v>
      </c>
      <c r="AB1716" s="128" t="str">
        <f>+MID(Tabla3[[#This Row],['# Viaje]],10,1)</f>
        <v/>
      </c>
    </row>
    <row r="1717" spans="1:28" ht="15" hidden="1" customHeight="1">
      <c r="A1717" s="38" t="s">
        <v>1785</v>
      </c>
      <c r="B1717" s="39">
        <v>42951</v>
      </c>
      <c r="C1717" s="38" t="s">
        <v>1231</v>
      </c>
      <c r="D1717" s="38" t="s">
        <v>1478</v>
      </c>
      <c r="E1717" s="38" t="s">
        <v>1232</v>
      </c>
      <c r="F1717" s="38">
        <v>2</v>
      </c>
      <c r="G1717" s="38" t="s">
        <v>108</v>
      </c>
      <c r="H1717" s="38">
        <v>2</v>
      </c>
      <c r="I1717" s="38" t="s">
        <v>1786</v>
      </c>
      <c r="J1717" s="38" t="s">
        <v>14</v>
      </c>
      <c r="K1717" s="38" t="s">
        <v>1417</v>
      </c>
      <c r="L1717" s="39"/>
      <c r="M1717" s="38" t="s">
        <v>1236</v>
      </c>
      <c r="N1717" s="38">
        <v>814006664</v>
      </c>
      <c r="O1717" s="40">
        <v>3360504</v>
      </c>
      <c r="P1717" s="7"/>
      <c r="Q1717" s="16">
        <f>+IF(IFERROR(VLOOKUP(Tabla3[[#This Row],[Cliente factura]],Tabla4[[NIT]:[TOTAL CREDITO]],3,FALSE),0)="",0,IFERROR(VLOOKUP(Tabla3[[#This Row],[Cliente factura]],Tabla4[[NIT]:[TOTAL CREDITO]],3,FALSE),0))</f>
        <v>211189076</v>
      </c>
      <c r="R1717" s="9">
        <f>+IFERROR(VLOOKUP(Tabla3[[#This Row],[Cliente factura]],Tabla4[[NIT]:[TOTAL CREDITO]],6,FALSE),0)</f>
        <v>0</v>
      </c>
      <c r="S1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7" s="10" t="str">
        <f>VLOOKUP(Tabla3[[#This Row],[Razón social cliente factura]]&amp;Tabla3[[#This Row],[Desc. ciudad]],'Estandar de Rutas'!$C$1:$E$553,2,FALSE)</f>
        <v>2.2</v>
      </c>
      <c r="U1717" s="130">
        <f>IFERROR(VLOOKUP(Tabla3[[#This Row],[Referencia]]&amp;Tabla3[[#This Row],[Desc detalle ext 1]],Tabla1[[Referencia-Color]:[Disponibilidad]],3,FALSE),0)</f>
        <v>24</v>
      </c>
      <c r="V1717" s="13"/>
      <c r="W1717" s="17">
        <f>+Tabla3[[#This Row],[Cant. Programada]]*Tabla3[[#This Row],[Precio unit]]</f>
        <v>0</v>
      </c>
      <c r="X1717" s="8"/>
      <c r="Y1717" s="8"/>
      <c r="Z1717" s="8" t="str">
        <f>+Tabla3[[#This Row],[Referencia]]&amp;Tabla3[[#This Row],[Desc detalle ext 1]]</f>
        <v xml:space="preserve">*CB-110                                           GRIS MET </v>
      </c>
      <c r="AA1717" s="128" t="e">
        <f>+VLOOKUP(Tabla3[[#This Row],[CODIGO2]],ESTANDAR!$B$3:$C$9,2,FALSE)</f>
        <v>#N/A</v>
      </c>
      <c r="AB1717" s="128" t="str">
        <f>+MID(Tabla3[[#This Row],['# Viaje]],10,1)</f>
        <v/>
      </c>
    </row>
    <row r="1718" spans="1:28" ht="15" hidden="1" customHeight="1">
      <c r="A1718" s="38" t="s">
        <v>1785</v>
      </c>
      <c r="B1718" s="39">
        <v>42951</v>
      </c>
      <c r="C1718" s="38" t="s">
        <v>1231</v>
      </c>
      <c r="D1718" s="38" t="s">
        <v>1478</v>
      </c>
      <c r="E1718" s="38" t="s">
        <v>1232</v>
      </c>
      <c r="F1718" s="38">
        <v>1</v>
      </c>
      <c r="G1718" s="38" t="s">
        <v>108</v>
      </c>
      <c r="H1718" s="38">
        <v>1</v>
      </c>
      <c r="I1718" s="38" t="s">
        <v>1786</v>
      </c>
      <c r="J1718" s="38" t="s">
        <v>14</v>
      </c>
      <c r="K1718" s="38" t="s">
        <v>17</v>
      </c>
      <c r="L1718" s="39"/>
      <c r="M1718" s="38" t="s">
        <v>1236</v>
      </c>
      <c r="N1718" s="38">
        <v>814006664</v>
      </c>
      <c r="O1718" s="40">
        <v>3360504</v>
      </c>
      <c r="P1718" s="7"/>
      <c r="Q1718" s="16">
        <f>+IF(IFERROR(VLOOKUP(Tabla3[[#This Row],[Cliente factura]],Tabla4[[NIT]:[TOTAL CREDITO]],3,FALSE),0)="",0,IFERROR(VLOOKUP(Tabla3[[#This Row],[Cliente factura]],Tabla4[[NIT]:[TOTAL CREDITO]],3,FALSE),0))</f>
        <v>211189076</v>
      </c>
      <c r="R1718" s="9">
        <f>+IFERROR(VLOOKUP(Tabla3[[#This Row],[Cliente factura]],Tabla4[[NIT]:[TOTAL CREDITO]],6,FALSE),0)</f>
        <v>0</v>
      </c>
      <c r="S1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8" s="10" t="str">
        <f>VLOOKUP(Tabla3[[#This Row],[Razón social cliente factura]]&amp;Tabla3[[#This Row],[Desc. ciudad]],'Estandar de Rutas'!$C$1:$E$553,2,FALSE)</f>
        <v>2.2</v>
      </c>
      <c r="U1718" s="130">
        <f>IFERROR(VLOOKUP(Tabla3[[#This Row],[Referencia]]&amp;Tabla3[[#This Row],[Desc detalle ext 1]],Tabla1[[Referencia-Color]:[Disponibilidad]],3,FALSE),0)</f>
        <v>38</v>
      </c>
      <c r="V1718" s="13"/>
      <c r="W1718" s="17">
        <f>+Tabla3[[#This Row],[Cant. Programada]]*Tabla3[[#This Row],[Precio unit]]</f>
        <v>0</v>
      </c>
      <c r="X1718" s="8"/>
      <c r="Y1718" s="8"/>
      <c r="Z1718" s="8" t="str">
        <f>+Tabla3[[#This Row],[Referencia]]&amp;Tabla3[[#This Row],[Desc detalle ext 1]]</f>
        <v>*CB-110                                           ROJO SPOR</v>
      </c>
      <c r="AA1718" s="128" t="e">
        <f>+VLOOKUP(Tabla3[[#This Row],[CODIGO2]],ESTANDAR!$B$3:$C$9,2,FALSE)</f>
        <v>#N/A</v>
      </c>
      <c r="AB1718" s="128" t="str">
        <f>+MID(Tabla3[[#This Row],['# Viaje]],10,1)</f>
        <v/>
      </c>
    </row>
    <row r="1719" spans="1:28" ht="15" hidden="1" customHeight="1">
      <c r="A1719" s="38" t="s">
        <v>1785</v>
      </c>
      <c r="B1719" s="39">
        <v>42951</v>
      </c>
      <c r="C1719" s="38" t="s">
        <v>1231</v>
      </c>
      <c r="D1719" s="38" t="s">
        <v>1478</v>
      </c>
      <c r="E1719" s="38" t="s">
        <v>1232</v>
      </c>
      <c r="F1719" s="38">
        <v>3</v>
      </c>
      <c r="G1719" s="38" t="s">
        <v>108</v>
      </c>
      <c r="H1719" s="38">
        <v>3</v>
      </c>
      <c r="I1719" s="38" t="s">
        <v>1786</v>
      </c>
      <c r="J1719" s="38" t="s">
        <v>14</v>
      </c>
      <c r="K1719" s="38" t="s">
        <v>16</v>
      </c>
      <c r="L1719" s="39"/>
      <c r="M1719" s="38" t="s">
        <v>1236</v>
      </c>
      <c r="N1719" s="38">
        <v>814006664</v>
      </c>
      <c r="O1719" s="40">
        <v>3360504</v>
      </c>
      <c r="P1719" s="7"/>
      <c r="Q1719" s="16">
        <f>+IF(IFERROR(VLOOKUP(Tabla3[[#This Row],[Cliente factura]],Tabla4[[NIT]:[TOTAL CREDITO]],3,FALSE),0)="",0,IFERROR(VLOOKUP(Tabla3[[#This Row],[Cliente factura]],Tabla4[[NIT]:[TOTAL CREDITO]],3,FALSE),0))</f>
        <v>211189076</v>
      </c>
      <c r="R1719" s="9">
        <f>+IFERROR(VLOOKUP(Tabla3[[#This Row],[Cliente factura]],Tabla4[[NIT]:[TOTAL CREDITO]],6,FALSE),0)</f>
        <v>0</v>
      </c>
      <c r="S1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9" s="10" t="str">
        <f>VLOOKUP(Tabla3[[#This Row],[Razón social cliente factura]]&amp;Tabla3[[#This Row],[Desc. ciudad]],'Estandar de Rutas'!$C$1:$E$553,2,FALSE)</f>
        <v>2.2</v>
      </c>
      <c r="U1719" s="130">
        <f>IFERROR(VLOOKUP(Tabla3[[#This Row],[Referencia]]&amp;Tabla3[[#This Row],[Desc detalle ext 1]],Tabla1[[Referencia-Color]:[Disponibilidad]],3,FALSE),0)</f>
        <v>83</v>
      </c>
      <c r="V1719" s="13"/>
      <c r="W1719" s="17">
        <f>+Tabla3[[#This Row],[Cant. Programada]]*Tabla3[[#This Row],[Precio unit]]</f>
        <v>0</v>
      </c>
      <c r="X1719" s="8"/>
      <c r="Y1719" s="8"/>
      <c r="Z1719" s="8" t="str">
        <f>+Tabla3[[#This Row],[Referencia]]&amp;Tabla3[[#This Row],[Desc detalle ext 1]]</f>
        <v xml:space="preserve">*CB-110                                           NEGRO    </v>
      </c>
      <c r="AA1719" s="128" t="e">
        <f>+VLOOKUP(Tabla3[[#This Row],[CODIGO2]],ESTANDAR!$B$3:$C$9,2,FALSE)</f>
        <v>#N/A</v>
      </c>
      <c r="AB1719" s="128" t="str">
        <f>+MID(Tabla3[[#This Row],['# Viaje]],10,1)</f>
        <v/>
      </c>
    </row>
    <row r="1720" spans="1:28" ht="15" hidden="1" customHeight="1">
      <c r="A1720" s="38" t="s">
        <v>1785</v>
      </c>
      <c r="B1720" s="39">
        <v>42951</v>
      </c>
      <c r="C1720" s="38" t="s">
        <v>1231</v>
      </c>
      <c r="D1720" s="38" t="s">
        <v>1478</v>
      </c>
      <c r="E1720" s="38" t="s">
        <v>1232</v>
      </c>
      <c r="F1720" s="38">
        <v>1</v>
      </c>
      <c r="G1720" s="38" t="s">
        <v>108</v>
      </c>
      <c r="H1720" s="38">
        <v>1</v>
      </c>
      <c r="I1720" s="38" t="s">
        <v>1786</v>
      </c>
      <c r="J1720" s="38" t="s">
        <v>14</v>
      </c>
      <c r="K1720" s="38" t="s">
        <v>1418</v>
      </c>
      <c r="L1720" s="39"/>
      <c r="M1720" s="38" t="s">
        <v>1236</v>
      </c>
      <c r="N1720" s="38">
        <v>814006664</v>
      </c>
      <c r="O1720" s="40">
        <v>3360504</v>
      </c>
      <c r="P1720" s="7"/>
      <c r="Q1720" s="16">
        <f>+IF(IFERROR(VLOOKUP(Tabla3[[#This Row],[Cliente factura]],Tabla4[[NIT]:[TOTAL CREDITO]],3,FALSE),0)="",0,IFERROR(VLOOKUP(Tabla3[[#This Row],[Cliente factura]],Tabla4[[NIT]:[TOTAL CREDITO]],3,FALSE),0))</f>
        <v>211189076</v>
      </c>
      <c r="R1720" s="9">
        <f>+IFERROR(VLOOKUP(Tabla3[[#This Row],[Cliente factura]],Tabla4[[NIT]:[TOTAL CREDITO]],6,FALSE),0)</f>
        <v>0</v>
      </c>
      <c r="S1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0" s="10" t="str">
        <f>VLOOKUP(Tabla3[[#This Row],[Razón social cliente factura]]&amp;Tabla3[[#This Row],[Desc. ciudad]],'Estandar de Rutas'!$C$1:$E$553,2,FALSE)</f>
        <v>2.2</v>
      </c>
      <c r="U1720" s="130">
        <f>IFERROR(VLOOKUP(Tabla3[[#This Row],[Referencia]]&amp;Tabla3[[#This Row],[Desc detalle ext 1]],Tabla1[[Referencia-Color]:[Disponibilidad]],3,FALSE),0)</f>
        <v>0</v>
      </c>
      <c r="V1720" s="13"/>
      <c r="W1720" s="17">
        <f>+Tabla3[[#This Row],[Cant. Programada]]*Tabla3[[#This Row],[Precio unit]]</f>
        <v>0</v>
      </c>
      <c r="X1720" s="8"/>
      <c r="Y1720" s="8"/>
      <c r="Z1720" s="8" t="str">
        <f>+Tabla3[[#This Row],[Referencia]]&amp;Tabla3[[#This Row],[Desc detalle ext 1]]</f>
        <v>*CB-110                                           VERDE CAN</v>
      </c>
      <c r="AA1720" s="128" t="e">
        <f>+VLOOKUP(Tabla3[[#This Row],[CODIGO2]],ESTANDAR!$B$3:$C$9,2,FALSE)</f>
        <v>#N/A</v>
      </c>
      <c r="AB1720" s="128" t="str">
        <f>+MID(Tabla3[[#This Row],['# Viaje]],10,1)</f>
        <v/>
      </c>
    </row>
    <row r="1721" spans="1:28" ht="15" hidden="1" customHeight="1">
      <c r="A1721" s="38" t="s">
        <v>1785</v>
      </c>
      <c r="B1721" s="39">
        <v>42951</v>
      </c>
      <c r="C1721" s="38" t="s">
        <v>1231</v>
      </c>
      <c r="D1721" s="38" t="s">
        <v>1478</v>
      </c>
      <c r="E1721" s="38" t="s">
        <v>1232</v>
      </c>
      <c r="F1721" s="38">
        <v>2</v>
      </c>
      <c r="G1721" s="38" t="s">
        <v>108</v>
      </c>
      <c r="H1721" s="38">
        <v>2</v>
      </c>
      <c r="I1721" s="38" t="s">
        <v>1786</v>
      </c>
      <c r="J1721" s="38" t="s">
        <v>14</v>
      </c>
      <c r="K1721" s="38" t="s">
        <v>15</v>
      </c>
      <c r="L1721" s="39"/>
      <c r="M1721" s="38" t="s">
        <v>1236</v>
      </c>
      <c r="N1721" s="38">
        <v>814006664</v>
      </c>
      <c r="O1721" s="40">
        <v>3360504</v>
      </c>
      <c r="P1721" s="7"/>
      <c r="Q1721" s="16">
        <f>+IF(IFERROR(VLOOKUP(Tabla3[[#This Row],[Cliente factura]],Tabla4[[NIT]:[TOTAL CREDITO]],3,FALSE),0)="",0,IFERROR(VLOOKUP(Tabla3[[#This Row],[Cliente factura]],Tabla4[[NIT]:[TOTAL CREDITO]],3,FALSE),0))</f>
        <v>211189076</v>
      </c>
      <c r="R1721" s="9">
        <f>+IFERROR(VLOOKUP(Tabla3[[#This Row],[Cliente factura]],Tabla4[[NIT]:[TOTAL CREDITO]],6,FALSE),0)</f>
        <v>0</v>
      </c>
      <c r="S1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1" s="10" t="str">
        <f>VLOOKUP(Tabla3[[#This Row],[Razón social cliente factura]]&amp;Tabla3[[#This Row],[Desc. ciudad]],'Estandar de Rutas'!$C$1:$E$553,2,FALSE)</f>
        <v>2.2</v>
      </c>
      <c r="U1721" s="130">
        <f>IFERROR(VLOOKUP(Tabla3[[#This Row],[Referencia]]&amp;Tabla3[[#This Row],[Desc detalle ext 1]],Tabla1[[Referencia-Color]:[Disponibilidad]],3,FALSE),0)</f>
        <v>99</v>
      </c>
      <c r="V1721" s="13"/>
      <c r="W1721" s="17">
        <f>+Tabla3[[#This Row],[Cant. Programada]]*Tabla3[[#This Row],[Precio unit]]</f>
        <v>0</v>
      </c>
      <c r="X1721" s="8"/>
      <c r="Y1721" s="8"/>
      <c r="Z1721" s="8" t="str">
        <f>+Tabla3[[#This Row],[Referencia]]&amp;Tabla3[[#This Row],[Desc detalle ext 1]]</f>
        <v>*CB-110                                           AZUL FIJI</v>
      </c>
      <c r="AA1721" s="128" t="e">
        <f>+VLOOKUP(Tabla3[[#This Row],[CODIGO2]],ESTANDAR!$B$3:$C$9,2,FALSE)</f>
        <v>#N/A</v>
      </c>
      <c r="AB1721" s="128" t="str">
        <f>+MID(Tabla3[[#This Row],['# Viaje]],10,1)</f>
        <v/>
      </c>
    </row>
    <row r="1722" spans="1:28" ht="15" hidden="1" customHeight="1">
      <c r="A1722" s="38" t="s">
        <v>1785</v>
      </c>
      <c r="B1722" s="39">
        <v>42951</v>
      </c>
      <c r="C1722" s="38" t="s">
        <v>1231</v>
      </c>
      <c r="D1722" s="38" t="s">
        <v>1478</v>
      </c>
      <c r="E1722" s="38" t="s">
        <v>1232</v>
      </c>
      <c r="F1722" s="38">
        <v>1</v>
      </c>
      <c r="G1722" s="38" t="s">
        <v>108</v>
      </c>
      <c r="H1722" s="38">
        <v>1</v>
      </c>
      <c r="I1722" s="38" t="s">
        <v>1786</v>
      </c>
      <c r="J1722" s="38" t="s">
        <v>27</v>
      </c>
      <c r="K1722" s="38" t="s">
        <v>32</v>
      </c>
      <c r="L1722" s="39"/>
      <c r="M1722" s="38" t="s">
        <v>1236</v>
      </c>
      <c r="N1722" s="38">
        <v>814006664</v>
      </c>
      <c r="O1722" s="40">
        <v>5789916</v>
      </c>
      <c r="P1722" s="7"/>
      <c r="Q1722" s="16">
        <f>+IF(IFERROR(VLOOKUP(Tabla3[[#This Row],[Cliente factura]],Tabla4[[NIT]:[TOTAL CREDITO]],3,FALSE),0)="",0,IFERROR(VLOOKUP(Tabla3[[#This Row],[Cliente factura]],Tabla4[[NIT]:[TOTAL CREDITO]],3,FALSE),0))</f>
        <v>211189076</v>
      </c>
      <c r="R1722" s="9">
        <f>+IFERROR(VLOOKUP(Tabla3[[#This Row],[Cliente factura]],Tabla4[[NIT]:[TOTAL CREDITO]],6,FALSE),0)</f>
        <v>0</v>
      </c>
      <c r="S1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2" s="10" t="str">
        <f>VLOOKUP(Tabla3[[#This Row],[Razón social cliente factura]]&amp;Tabla3[[#This Row],[Desc. ciudad]],'Estandar de Rutas'!$C$1:$E$553,2,FALSE)</f>
        <v>2.2</v>
      </c>
      <c r="U1722" s="130">
        <f>IFERROR(VLOOKUP(Tabla3[[#This Row],[Referencia]]&amp;Tabla3[[#This Row],[Desc detalle ext 1]],Tabla1[[Referencia-Color]:[Disponibilidad]],3,FALSE),0)</f>
        <v>7</v>
      </c>
      <c r="V1722" s="13"/>
      <c r="W1722" s="17">
        <f>+Tabla3[[#This Row],[Cant. Programada]]*Tabla3[[#This Row],[Precio unit]]</f>
        <v>0</v>
      </c>
      <c r="X1722" s="8"/>
      <c r="Y1722" s="8"/>
      <c r="Z1722" s="8" t="str">
        <f>+Tabla3[[#This Row],[Referencia]]&amp;Tabla3[[#This Row],[Desc detalle ext 1]]</f>
        <v>*XR 150L                                          NEGRO ROJ</v>
      </c>
      <c r="AA1722" s="128" t="e">
        <f>+VLOOKUP(Tabla3[[#This Row],[CODIGO2]],ESTANDAR!$B$3:$C$9,2,FALSE)</f>
        <v>#N/A</v>
      </c>
      <c r="AB1722" s="128" t="str">
        <f>+MID(Tabla3[[#This Row],['# Viaje]],10,1)</f>
        <v/>
      </c>
    </row>
    <row r="1723" spans="1:28" ht="15" hidden="1" customHeight="1">
      <c r="A1723" s="38" t="s">
        <v>1785</v>
      </c>
      <c r="B1723" s="39">
        <v>42951</v>
      </c>
      <c r="C1723" s="38" t="s">
        <v>1231</v>
      </c>
      <c r="D1723" s="38" t="s">
        <v>1478</v>
      </c>
      <c r="E1723" s="38" t="s">
        <v>1232</v>
      </c>
      <c r="F1723" s="38">
        <v>1</v>
      </c>
      <c r="G1723" s="38" t="s">
        <v>108</v>
      </c>
      <c r="H1723" s="38">
        <v>1</v>
      </c>
      <c r="I1723" s="38" t="s">
        <v>1786</v>
      </c>
      <c r="J1723" s="38" t="s">
        <v>27</v>
      </c>
      <c r="K1723" s="38" t="s">
        <v>26</v>
      </c>
      <c r="L1723" s="39"/>
      <c r="M1723" s="38" t="s">
        <v>1236</v>
      </c>
      <c r="N1723" s="38">
        <v>814006664</v>
      </c>
      <c r="O1723" s="40">
        <v>5789916</v>
      </c>
      <c r="P1723" s="7"/>
      <c r="Q1723" s="16">
        <f>+IF(IFERROR(VLOOKUP(Tabla3[[#This Row],[Cliente factura]],Tabla4[[NIT]:[TOTAL CREDITO]],3,FALSE),0)="",0,IFERROR(VLOOKUP(Tabla3[[#This Row],[Cliente factura]],Tabla4[[NIT]:[TOTAL CREDITO]],3,FALSE),0))</f>
        <v>211189076</v>
      </c>
      <c r="R1723" s="9">
        <f>+IFERROR(VLOOKUP(Tabla3[[#This Row],[Cliente factura]],Tabla4[[NIT]:[TOTAL CREDITO]],6,FALSE),0)</f>
        <v>0</v>
      </c>
      <c r="S1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3" s="10" t="str">
        <f>VLOOKUP(Tabla3[[#This Row],[Razón social cliente factura]]&amp;Tabla3[[#This Row],[Desc. ciudad]],'Estandar de Rutas'!$C$1:$E$553,2,FALSE)</f>
        <v>2.2</v>
      </c>
      <c r="U1723" s="130">
        <f>IFERROR(VLOOKUP(Tabla3[[#This Row],[Referencia]]&amp;Tabla3[[#This Row],[Desc detalle ext 1]],Tabla1[[Referencia-Color]:[Disponibilidad]],3,FALSE),0)</f>
        <v>59</v>
      </c>
      <c r="V1723" s="13"/>
      <c r="W1723" s="17">
        <f>+Tabla3[[#This Row],[Cant. Programada]]*Tabla3[[#This Row],[Precio unit]]</f>
        <v>0</v>
      </c>
      <c r="X1723" s="8"/>
      <c r="Y1723" s="8"/>
      <c r="Z1723" s="8" t="str">
        <f>+Tabla3[[#This Row],[Referencia]]&amp;Tabla3[[#This Row],[Desc detalle ext 1]]</f>
        <v>*XR 150L                                          NEGRO BLA</v>
      </c>
      <c r="AA1723" s="128" t="e">
        <f>+VLOOKUP(Tabla3[[#This Row],[CODIGO2]],ESTANDAR!$B$3:$C$9,2,FALSE)</f>
        <v>#N/A</v>
      </c>
      <c r="AB1723" s="128" t="str">
        <f>+MID(Tabla3[[#This Row],['# Viaje]],10,1)</f>
        <v/>
      </c>
    </row>
    <row r="1724" spans="1:28" ht="15" hidden="1" customHeight="1">
      <c r="A1724" s="38" t="s">
        <v>1785</v>
      </c>
      <c r="B1724" s="39">
        <v>42951</v>
      </c>
      <c r="C1724" s="38" t="s">
        <v>1231</v>
      </c>
      <c r="D1724" s="38" t="s">
        <v>1478</v>
      </c>
      <c r="E1724" s="38" t="s">
        <v>1232</v>
      </c>
      <c r="F1724" s="38">
        <v>1</v>
      </c>
      <c r="G1724" s="38" t="s">
        <v>108</v>
      </c>
      <c r="H1724" s="38">
        <v>1</v>
      </c>
      <c r="I1724" s="38" t="s">
        <v>1786</v>
      </c>
      <c r="J1724" s="38" t="s">
        <v>27</v>
      </c>
      <c r="K1724" s="38" t="s">
        <v>16</v>
      </c>
      <c r="L1724" s="39"/>
      <c r="M1724" s="38" t="s">
        <v>1236</v>
      </c>
      <c r="N1724" s="38">
        <v>814006664</v>
      </c>
      <c r="O1724" s="40">
        <v>5789916</v>
      </c>
      <c r="P1724" s="7"/>
      <c r="Q1724" s="16">
        <f>+IF(IFERROR(VLOOKUP(Tabla3[[#This Row],[Cliente factura]],Tabla4[[NIT]:[TOTAL CREDITO]],3,FALSE),0)="",0,IFERROR(VLOOKUP(Tabla3[[#This Row],[Cliente factura]],Tabla4[[NIT]:[TOTAL CREDITO]],3,FALSE),0))</f>
        <v>211189076</v>
      </c>
      <c r="R1724" s="9">
        <f>+IFERROR(VLOOKUP(Tabla3[[#This Row],[Cliente factura]],Tabla4[[NIT]:[TOTAL CREDITO]],6,FALSE),0)</f>
        <v>0</v>
      </c>
      <c r="S1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4" s="10" t="str">
        <f>VLOOKUP(Tabla3[[#This Row],[Razón social cliente factura]]&amp;Tabla3[[#This Row],[Desc. ciudad]],'Estandar de Rutas'!$C$1:$E$553,2,FALSE)</f>
        <v>2.2</v>
      </c>
      <c r="U1724" s="130">
        <f>IFERROR(VLOOKUP(Tabla3[[#This Row],[Referencia]]&amp;Tabla3[[#This Row],[Desc detalle ext 1]],Tabla1[[Referencia-Color]:[Disponibilidad]],3,FALSE),0)</f>
        <v>3</v>
      </c>
      <c r="V1724" s="13"/>
      <c r="W1724" s="17">
        <f>+Tabla3[[#This Row],[Cant. Programada]]*Tabla3[[#This Row],[Precio unit]]</f>
        <v>0</v>
      </c>
      <c r="X1724" s="8"/>
      <c r="Y1724" s="8"/>
      <c r="Z1724" s="8" t="str">
        <f>+Tabla3[[#This Row],[Referencia]]&amp;Tabla3[[#This Row],[Desc detalle ext 1]]</f>
        <v xml:space="preserve">*XR 150L                                          NEGRO    </v>
      </c>
      <c r="AA1724" s="128" t="e">
        <f>+VLOOKUP(Tabla3[[#This Row],[CODIGO2]],ESTANDAR!$B$3:$C$9,2,FALSE)</f>
        <v>#N/A</v>
      </c>
      <c r="AB1724" s="128" t="str">
        <f>+MID(Tabla3[[#This Row],['# Viaje]],10,1)</f>
        <v/>
      </c>
    </row>
    <row r="1725" spans="1:28" ht="15" hidden="1" customHeight="1">
      <c r="A1725" s="38" t="s">
        <v>1785</v>
      </c>
      <c r="B1725" s="39">
        <v>42951</v>
      </c>
      <c r="C1725" s="38" t="s">
        <v>1231</v>
      </c>
      <c r="D1725" s="38" t="s">
        <v>1478</v>
      </c>
      <c r="E1725" s="38" t="s">
        <v>1232</v>
      </c>
      <c r="F1725" s="38">
        <v>1</v>
      </c>
      <c r="G1725" s="38" t="s">
        <v>108</v>
      </c>
      <c r="H1725" s="38">
        <v>1</v>
      </c>
      <c r="I1725" s="38" t="s">
        <v>1786</v>
      </c>
      <c r="J1725" s="38" t="s">
        <v>10</v>
      </c>
      <c r="K1725" s="38" t="s">
        <v>13</v>
      </c>
      <c r="L1725" s="39"/>
      <c r="M1725" s="38" t="s">
        <v>1236</v>
      </c>
      <c r="N1725" s="38">
        <v>814006664</v>
      </c>
      <c r="O1725" s="40">
        <v>7554622</v>
      </c>
      <c r="P1725" s="7"/>
      <c r="Q1725" s="16">
        <f>+IF(IFERROR(VLOOKUP(Tabla3[[#This Row],[Cliente factura]],Tabla4[[NIT]:[TOTAL CREDITO]],3,FALSE),0)="",0,IFERROR(VLOOKUP(Tabla3[[#This Row],[Cliente factura]],Tabla4[[NIT]:[TOTAL CREDITO]],3,FALSE),0))</f>
        <v>211189076</v>
      </c>
      <c r="R1725" s="9">
        <f>+IFERROR(VLOOKUP(Tabla3[[#This Row],[Cliente factura]],Tabla4[[NIT]:[TOTAL CREDITO]],6,FALSE),0)</f>
        <v>0</v>
      </c>
      <c r="S1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5" s="10" t="str">
        <f>VLOOKUP(Tabla3[[#This Row],[Razón social cliente factura]]&amp;Tabla3[[#This Row],[Desc. ciudad]],'Estandar de Rutas'!$C$1:$E$553,2,FALSE)</f>
        <v>2.2</v>
      </c>
      <c r="U1725" s="130">
        <f>IFERROR(VLOOKUP(Tabla3[[#This Row],[Referencia]]&amp;Tabla3[[#This Row],[Desc detalle ext 1]],Tabla1[[Referencia-Color]:[Disponibilidad]],3,FALSE),0)</f>
        <v>75</v>
      </c>
      <c r="V1725" s="13"/>
      <c r="W1725" s="17">
        <f>+Tabla3[[#This Row],[Cant. Programada]]*Tabla3[[#This Row],[Precio unit]]</f>
        <v>0</v>
      </c>
      <c r="X1725" s="8"/>
      <c r="Y1725" s="8"/>
      <c r="Z1725" s="8" t="str">
        <f>+Tabla3[[#This Row],[Referencia]]&amp;Tabla3[[#This Row],[Desc detalle ext 1]]</f>
        <v>CB 190R                                           ROJO NEGR</v>
      </c>
      <c r="AA1725" s="128" t="e">
        <f>+VLOOKUP(Tabla3[[#This Row],[CODIGO2]],ESTANDAR!$B$3:$C$9,2,FALSE)</f>
        <v>#N/A</v>
      </c>
      <c r="AB1725" s="128" t="str">
        <f>+MID(Tabla3[[#This Row],['# Viaje]],10,1)</f>
        <v/>
      </c>
    </row>
    <row r="1726" spans="1:28" ht="15" hidden="1" customHeight="1">
      <c r="A1726" s="38" t="s">
        <v>1785</v>
      </c>
      <c r="B1726" s="39">
        <v>42951</v>
      </c>
      <c r="C1726" s="38" t="s">
        <v>1231</v>
      </c>
      <c r="D1726" s="38" t="s">
        <v>1478</v>
      </c>
      <c r="E1726" s="38" t="s">
        <v>1232</v>
      </c>
      <c r="F1726" s="38">
        <v>1</v>
      </c>
      <c r="G1726" s="38" t="s">
        <v>108</v>
      </c>
      <c r="H1726" s="38">
        <v>1</v>
      </c>
      <c r="I1726" s="38" t="s">
        <v>1786</v>
      </c>
      <c r="J1726" s="38" t="s">
        <v>10</v>
      </c>
      <c r="K1726" s="38" t="s">
        <v>11</v>
      </c>
      <c r="L1726" s="39"/>
      <c r="M1726" s="38" t="s">
        <v>1236</v>
      </c>
      <c r="N1726" s="38">
        <v>814006664</v>
      </c>
      <c r="O1726" s="40">
        <v>7554622</v>
      </c>
      <c r="P1726" s="7"/>
      <c r="Q1726" s="16">
        <f>+IF(IFERROR(VLOOKUP(Tabla3[[#This Row],[Cliente factura]],Tabla4[[NIT]:[TOTAL CREDITO]],3,FALSE),0)="",0,IFERROR(VLOOKUP(Tabla3[[#This Row],[Cliente factura]],Tabla4[[NIT]:[TOTAL CREDITO]],3,FALSE),0))</f>
        <v>211189076</v>
      </c>
      <c r="R1726" s="9">
        <f>+IFERROR(VLOOKUP(Tabla3[[#This Row],[Cliente factura]],Tabla4[[NIT]:[TOTAL CREDITO]],6,FALSE),0)</f>
        <v>0</v>
      </c>
      <c r="S1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6" s="10" t="str">
        <f>VLOOKUP(Tabla3[[#This Row],[Razón social cliente factura]]&amp;Tabla3[[#This Row],[Desc. ciudad]],'Estandar de Rutas'!$C$1:$E$553,2,FALSE)</f>
        <v>2.2</v>
      </c>
      <c r="U1726" s="130">
        <f>IFERROR(VLOOKUP(Tabla3[[#This Row],[Referencia]]&amp;Tabla3[[#This Row],[Desc detalle ext 1]],Tabla1[[Referencia-Color]:[Disponibilidad]],3,FALSE),0)</f>
        <v>0</v>
      </c>
      <c r="V1726" s="13"/>
      <c r="W1726" s="17">
        <f>+Tabla3[[#This Row],[Cant. Programada]]*Tabla3[[#This Row],[Precio unit]]</f>
        <v>0</v>
      </c>
      <c r="X1726" s="8"/>
      <c r="Y1726" s="8"/>
      <c r="Z1726" s="8" t="str">
        <f>+Tabla3[[#This Row],[Referencia]]&amp;Tabla3[[#This Row],[Desc detalle ext 1]]</f>
        <v>CB 190R                                           NEGRO ONI</v>
      </c>
      <c r="AA1726" s="128" t="e">
        <f>+VLOOKUP(Tabla3[[#This Row],[CODIGO2]],ESTANDAR!$B$3:$C$9,2,FALSE)</f>
        <v>#N/A</v>
      </c>
      <c r="AB1726" s="128" t="str">
        <f>+MID(Tabla3[[#This Row],['# Viaje]],10,1)</f>
        <v/>
      </c>
    </row>
    <row r="1727" spans="1:28" ht="15" hidden="1" customHeight="1">
      <c r="A1727" s="38" t="s">
        <v>1785</v>
      </c>
      <c r="B1727" s="39">
        <v>42951</v>
      </c>
      <c r="C1727" s="38" t="s">
        <v>1231</v>
      </c>
      <c r="D1727" s="38" t="s">
        <v>1478</v>
      </c>
      <c r="E1727" s="38" t="s">
        <v>1232</v>
      </c>
      <c r="F1727" s="38">
        <v>1</v>
      </c>
      <c r="G1727" s="38" t="s">
        <v>108</v>
      </c>
      <c r="H1727" s="38">
        <v>1</v>
      </c>
      <c r="I1727" s="38" t="s">
        <v>1786</v>
      </c>
      <c r="J1727" s="38" t="s">
        <v>1425</v>
      </c>
      <c r="K1727" s="38" t="s">
        <v>1426</v>
      </c>
      <c r="L1727" s="39"/>
      <c r="M1727" s="38" t="s">
        <v>1236</v>
      </c>
      <c r="N1727" s="38">
        <v>814006664</v>
      </c>
      <c r="O1727" s="40">
        <v>7730252</v>
      </c>
      <c r="P1727" s="7"/>
      <c r="Q1727" s="16">
        <f>+IF(IFERROR(VLOOKUP(Tabla3[[#This Row],[Cliente factura]],Tabla4[[NIT]:[TOTAL CREDITO]],3,FALSE),0)="",0,IFERROR(VLOOKUP(Tabla3[[#This Row],[Cliente factura]],Tabla4[[NIT]:[TOTAL CREDITO]],3,FALSE),0))</f>
        <v>211189076</v>
      </c>
      <c r="R1727" s="9">
        <f>+IFERROR(VLOOKUP(Tabla3[[#This Row],[Cliente factura]],Tabla4[[NIT]:[TOTAL CREDITO]],6,FALSE),0)</f>
        <v>0</v>
      </c>
      <c r="S1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7" s="10" t="str">
        <f>VLOOKUP(Tabla3[[#This Row],[Razón social cliente factura]]&amp;Tabla3[[#This Row],[Desc. ciudad]],'Estandar de Rutas'!$C$1:$E$553,2,FALSE)</f>
        <v>2.2</v>
      </c>
      <c r="U1727" s="130">
        <f>IFERROR(VLOOKUP(Tabla3[[#This Row],[Referencia]]&amp;Tabla3[[#This Row],[Desc detalle ext 1]],Tabla1[[Referencia-Color]:[Disponibilidad]],3,FALSE),0)</f>
        <v>104</v>
      </c>
      <c r="V1727" s="13"/>
      <c r="W1727" s="17">
        <f>+Tabla3[[#This Row],[Cant. Programada]]*Tabla3[[#This Row],[Precio unit]]</f>
        <v>0</v>
      </c>
      <c r="X1727" s="8"/>
      <c r="Y1727" s="8"/>
      <c r="Z1727" s="8" t="str">
        <f>+Tabla3[[#This Row],[Referencia]]&amp;Tabla3[[#This Row],[Desc detalle ext 1]]</f>
        <v>CB 190 REPSOL                                     NARANJA B</v>
      </c>
      <c r="AA1727" s="128" t="e">
        <f>+VLOOKUP(Tabla3[[#This Row],[CODIGO2]],ESTANDAR!$B$3:$C$9,2,FALSE)</f>
        <v>#N/A</v>
      </c>
      <c r="AB1727" s="128" t="str">
        <f>+MID(Tabla3[[#This Row],['# Viaje]],10,1)</f>
        <v/>
      </c>
    </row>
    <row r="1728" spans="1:28" ht="15" hidden="1" customHeight="1">
      <c r="A1728" s="38" t="s">
        <v>1785</v>
      </c>
      <c r="B1728" s="39">
        <v>42951</v>
      </c>
      <c r="C1728" s="38" t="s">
        <v>1231</v>
      </c>
      <c r="D1728" s="38" t="s">
        <v>1478</v>
      </c>
      <c r="E1728" s="38" t="s">
        <v>1232</v>
      </c>
      <c r="F1728" s="38">
        <v>1</v>
      </c>
      <c r="G1728" s="38" t="s">
        <v>108</v>
      </c>
      <c r="H1728" s="38">
        <v>1</v>
      </c>
      <c r="I1728" s="38" t="s">
        <v>1786</v>
      </c>
      <c r="J1728" s="38" t="s">
        <v>354</v>
      </c>
      <c r="K1728" s="38" t="s">
        <v>474</v>
      </c>
      <c r="L1728" s="39"/>
      <c r="M1728" s="38" t="s">
        <v>1236</v>
      </c>
      <c r="N1728" s="38">
        <v>814006664</v>
      </c>
      <c r="O1728" s="40">
        <v>6133613</v>
      </c>
      <c r="P1728" s="7"/>
      <c r="Q1728" s="16">
        <f>+IF(IFERROR(VLOOKUP(Tabla3[[#This Row],[Cliente factura]],Tabla4[[NIT]:[TOTAL CREDITO]],3,FALSE),0)="",0,IFERROR(VLOOKUP(Tabla3[[#This Row],[Cliente factura]],Tabla4[[NIT]:[TOTAL CREDITO]],3,FALSE),0))</f>
        <v>211189076</v>
      </c>
      <c r="R1728" s="9">
        <f>+IFERROR(VLOOKUP(Tabla3[[#This Row],[Cliente factura]],Tabla4[[NIT]:[TOTAL CREDITO]],6,FALSE),0)</f>
        <v>0</v>
      </c>
      <c r="S1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8" s="10" t="str">
        <f>VLOOKUP(Tabla3[[#This Row],[Razón social cliente factura]]&amp;Tabla3[[#This Row],[Desc. ciudad]],'Estandar de Rutas'!$C$1:$E$553,2,FALSE)</f>
        <v>2.2</v>
      </c>
      <c r="U1728" s="130">
        <f>IFERROR(VLOOKUP(Tabla3[[#This Row],[Referencia]]&amp;Tabla3[[#This Row],[Desc detalle ext 1]],Tabla1[[Referencia-Color]:[Disponibilidad]],3,FALSE),0)</f>
        <v>3</v>
      </c>
      <c r="V1728" s="13"/>
      <c r="W1728" s="17">
        <f>+Tabla3[[#This Row],[Cant. Programada]]*Tabla3[[#This Row],[Precio unit]]</f>
        <v>0</v>
      </c>
      <c r="X1728" s="8"/>
      <c r="Y1728" s="8"/>
      <c r="Z1728" s="8" t="str">
        <f>+Tabla3[[#This Row],[Referencia]]&amp;Tabla3[[#This Row],[Desc detalle ext 1]]</f>
        <v>CB 160F DLX                                       NARANJA N</v>
      </c>
      <c r="AA1728" s="128" t="e">
        <f>+VLOOKUP(Tabla3[[#This Row],[CODIGO2]],ESTANDAR!$B$3:$C$9,2,FALSE)</f>
        <v>#N/A</v>
      </c>
      <c r="AB1728" s="128" t="str">
        <f>+MID(Tabla3[[#This Row],['# Viaje]],10,1)</f>
        <v/>
      </c>
    </row>
    <row r="1729" spans="1:28" ht="15" hidden="1" customHeight="1">
      <c r="A1729" s="38" t="s">
        <v>1785</v>
      </c>
      <c r="B1729" s="39">
        <v>42951</v>
      </c>
      <c r="C1729" s="38" t="s">
        <v>1231</v>
      </c>
      <c r="D1729" s="38" t="s">
        <v>1478</v>
      </c>
      <c r="E1729" s="38" t="s">
        <v>1232</v>
      </c>
      <c r="F1729" s="38">
        <v>1</v>
      </c>
      <c r="G1729" s="38" t="s">
        <v>108</v>
      </c>
      <c r="H1729" s="38">
        <v>1</v>
      </c>
      <c r="I1729" s="38" t="s">
        <v>1786</v>
      </c>
      <c r="J1729" s="38" t="s">
        <v>1428</v>
      </c>
      <c r="K1729" s="38" t="s">
        <v>32</v>
      </c>
      <c r="L1729" s="39"/>
      <c r="M1729" s="38" t="s">
        <v>1236</v>
      </c>
      <c r="N1729" s="38">
        <v>814006664</v>
      </c>
      <c r="O1729" s="40">
        <v>3067227</v>
      </c>
      <c r="P1729" s="7"/>
      <c r="Q1729" s="16">
        <f>+IF(IFERROR(VLOOKUP(Tabla3[[#This Row],[Cliente factura]],Tabla4[[NIT]:[TOTAL CREDITO]],3,FALSE),0)="",0,IFERROR(VLOOKUP(Tabla3[[#This Row],[Cliente factura]],Tabla4[[NIT]:[TOTAL CREDITO]],3,FALSE),0))</f>
        <v>211189076</v>
      </c>
      <c r="R1729" s="9">
        <f>+IFERROR(VLOOKUP(Tabla3[[#This Row],[Cliente factura]],Tabla4[[NIT]:[TOTAL CREDITO]],6,FALSE),0)</f>
        <v>0</v>
      </c>
      <c r="S1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9" s="10" t="str">
        <f>VLOOKUP(Tabla3[[#This Row],[Razón social cliente factura]]&amp;Tabla3[[#This Row],[Desc. ciudad]],'Estandar de Rutas'!$C$1:$E$553,2,FALSE)</f>
        <v>2.2</v>
      </c>
      <c r="U1729" s="130">
        <f>IFERROR(VLOOKUP(Tabla3[[#This Row],[Referencia]]&amp;Tabla3[[#This Row],[Desc detalle ext 1]],Tabla1[[Referencia-Color]:[Disponibilidad]],3,FALSE),0)</f>
        <v>0</v>
      </c>
      <c r="V1729" s="13"/>
      <c r="W1729" s="17">
        <f>+Tabla3[[#This Row],[Cant. Programada]]*Tabla3[[#This Row],[Precio unit]]</f>
        <v>0</v>
      </c>
      <c r="X1729" s="8"/>
      <c r="Y1729" s="8"/>
      <c r="Z1729" s="8" t="str">
        <f>+Tabla3[[#This Row],[Referencia]]&amp;Tabla3[[#This Row],[Desc detalle ext 1]]</f>
        <v>DREAM  NEO                                        NEGRO ROJ</v>
      </c>
      <c r="AA1729" s="128" t="e">
        <f>+VLOOKUP(Tabla3[[#This Row],[CODIGO2]],ESTANDAR!$B$3:$C$9,2,FALSE)</f>
        <v>#N/A</v>
      </c>
      <c r="AB1729" s="128" t="str">
        <f>+MID(Tabla3[[#This Row],['# Viaje]],10,1)</f>
        <v/>
      </c>
    </row>
    <row r="1730" spans="1:28" ht="15" hidden="1" customHeight="1">
      <c r="A1730" s="38" t="s">
        <v>1785</v>
      </c>
      <c r="B1730" s="39">
        <v>42951</v>
      </c>
      <c r="C1730" s="38" t="s">
        <v>1231</v>
      </c>
      <c r="D1730" s="38" t="s">
        <v>1478</v>
      </c>
      <c r="E1730" s="38" t="s">
        <v>1232</v>
      </c>
      <c r="F1730" s="38">
        <v>1</v>
      </c>
      <c r="G1730" s="38" t="s">
        <v>108</v>
      </c>
      <c r="H1730" s="38">
        <v>1</v>
      </c>
      <c r="I1730" s="38" t="s">
        <v>1786</v>
      </c>
      <c r="J1730" s="38" t="s">
        <v>1428</v>
      </c>
      <c r="K1730" s="38" t="s">
        <v>1429</v>
      </c>
      <c r="L1730" s="39"/>
      <c r="M1730" s="38" t="s">
        <v>1236</v>
      </c>
      <c r="N1730" s="38">
        <v>814006664</v>
      </c>
      <c r="O1730" s="40">
        <v>3067227</v>
      </c>
      <c r="P1730" s="7"/>
      <c r="Q1730" s="16">
        <f>+IF(IFERROR(VLOOKUP(Tabla3[[#This Row],[Cliente factura]],Tabla4[[NIT]:[TOTAL CREDITO]],3,FALSE),0)="",0,IFERROR(VLOOKUP(Tabla3[[#This Row],[Cliente factura]],Tabla4[[NIT]:[TOTAL CREDITO]],3,FALSE),0))</f>
        <v>211189076</v>
      </c>
      <c r="R1730" s="9">
        <f>+IFERROR(VLOOKUP(Tabla3[[#This Row],[Cliente factura]],Tabla4[[NIT]:[TOTAL CREDITO]],6,FALSE),0)</f>
        <v>0</v>
      </c>
      <c r="S1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0" s="10" t="str">
        <f>VLOOKUP(Tabla3[[#This Row],[Razón social cliente factura]]&amp;Tabla3[[#This Row],[Desc. ciudad]],'Estandar de Rutas'!$C$1:$E$553,2,FALSE)</f>
        <v>2.2</v>
      </c>
      <c r="U1730" s="130">
        <f>IFERROR(VLOOKUP(Tabla3[[#This Row],[Referencia]]&amp;Tabla3[[#This Row],[Desc detalle ext 1]],Tabla1[[Referencia-Color]:[Disponibilidad]],3,FALSE),0)</f>
        <v>0</v>
      </c>
      <c r="V1730" s="13"/>
      <c r="W1730" s="17">
        <f>+Tabla3[[#This Row],[Cant. Programada]]*Tabla3[[#This Row],[Precio unit]]</f>
        <v>0</v>
      </c>
      <c r="X1730" s="8"/>
      <c r="Y1730" s="8"/>
      <c r="Z1730" s="8" t="str">
        <f>+Tabla3[[#This Row],[Referencia]]&amp;Tabla3[[#This Row],[Desc detalle ext 1]]</f>
        <v>DREAM  NEO                                        NEGRO AZU</v>
      </c>
      <c r="AA1730" s="128" t="e">
        <f>+VLOOKUP(Tabla3[[#This Row],[CODIGO2]],ESTANDAR!$B$3:$C$9,2,FALSE)</f>
        <v>#N/A</v>
      </c>
      <c r="AB1730" s="128" t="str">
        <f>+MID(Tabla3[[#This Row],['# Viaje]],10,1)</f>
        <v/>
      </c>
    </row>
    <row r="1731" spans="1:28" ht="15" hidden="1" customHeight="1">
      <c r="A1731" s="38" t="s">
        <v>1785</v>
      </c>
      <c r="B1731" s="39">
        <v>42951</v>
      </c>
      <c r="C1731" s="38" t="s">
        <v>1231</v>
      </c>
      <c r="D1731" s="38" t="s">
        <v>1478</v>
      </c>
      <c r="E1731" s="38" t="s">
        <v>1232</v>
      </c>
      <c r="F1731" s="38">
        <v>1</v>
      </c>
      <c r="G1731" s="38" t="s">
        <v>108</v>
      </c>
      <c r="H1731" s="38">
        <v>1</v>
      </c>
      <c r="I1731" s="38" t="s">
        <v>1786</v>
      </c>
      <c r="J1731" s="38" t="s">
        <v>1234</v>
      </c>
      <c r="K1731" s="38" t="s">
        <v>355</v>
      </c>
      <c r="L1731" s="39"/>
      <c r="M1731" s="38" t="s">
        <v>1236</v>
      </c>
      <c r="N1731" s="38">
        <v>814006664</v>
      </c>
      <c r="O1731" s="40">
        <v>5453782</v>
      </c>
      <c r="P1731" s="7"/>
      <c r="Q1731" s="16">
        <f>+IF(IFERROR(VLOOKUP(Tabla3[[#This Row],[Cliente factura]],Tabla4[[NIT]:[TOTAL CREDITO]],3,FALSE),0)="",0,IFERROR(VLOOKUP(Tabla3[[#This Row],[Cliente factura]],Tabla4[[NIT]:[TOTAL CREDITO]],3,FALSE),0))</f>
        <v>211189076</v>
      </c>
      <c r="R1731" s="9">
        <f>+IFERROR(VLOOKUP(Tabla3[[#This Row],[Cliente factura]],Tabla4[[NIT]:[TOTAL CREDITO]],6,FALSE),0)</f>
        <v>0</v>
      </c>
      <c r="S1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1" s="10" t="str">
        <f>VLOOKUP(Tabla3[[#This Row],[Razón social cliente factura]]&amp;Tabla3[[#This Row],[Desc. ciudad]],'Estandar de Rutas'!$C$1:$E$553,2,FALSE)</f>
        <v>2.2</v>
      </c>
      <c r="U1731" s="130">
        <f>IFERROR(VLOOKUP(Tabla3[[#This Row],[Referencia]]&amp;Tabla3[[#This Row],[Desc detalle ext 1]],Tabla1[[Referencia-Color]:[Disponibilidad]],3,FALSE),0)</f>
        <v>0</v>
      </c>
      <c r="V1731" s="13"/>
      <c r="W1731" s="17">
        <f>+Tabla3[[#This Row],[Cant. Programada]]*Tabla3[[#This Row],[Precio unit]]</f>
        <v>0</v>
      </c>
      <c r="X1731" s="8"/>
      <c r="Y1731" s="8"/>
      <c r="Z1731" s="8" t="str">
        <f>+Tabla3[[#This Row],[Referencia]]&amp;Tabla3[[#This Row],[Desc detalle ext 1]]</f>
        <v>CB 160F STD                                       NEGRO PER</v>
      </c>
      <c r="AA1731" s="128" t="e">
        <f>+VLOOKUP(Tabla3[[#This Row],[CODIGO2]],ESTANDAR!$B$3:$C$9,2,FALSE)</f>
        <v>#N/A</v>
      </c>
      <c r="AB1731" s="128" t="str">
        <f>+MID(Tabla3[[#This Row],['# Viaje]],10,1)</f>
        <v/>
      </c>
    </row>
    <row r="1732" spans="1:28" ht="15" hidden="1" customHeight="1">
      <c r="A1732" s="38" t="s">
        <v>1785</v>
      </c>
      <c r="B1732" s="39">
        <v>42951</v>
      </c>
      <c r="C1732" s="38" t="s">
        <v>1231</v>
      </c>
      <c r="D1732" s="38" t="s">
        <v>1478</v>
      </c>
      <c r="E1732" s="38" t="s">
        <v>1232</v>
      </c>
      <c r="F1732" s="38">
        <v>3</v>
      </c>
      <c r="G1732" s="38" t="s">
        <v>108</v>
      </c>
      <c r="H1732" s="38">
        <v>3</v>
      </c>
      <c r="I1732" s="38" t="s">
        <v>1786</v>
      </c>
      <c r="J1732" s="38" t="s">
        <v>1451</v>
      </c>
      <c r="K1732" s="38" t="s">
        <v>1449</v>
      </c>
      <c r="L1732" s="39"/>
      <c r="M1732" s="38" t="s">
        <v>1236</v>
      </c>
      <c r="N1732" s="38">
        <v>814006664</v>
      </c>
      <c r="O1732" s="40">
        <v>3696639</v>
      </c>
      <c r="P1732" s="7"/>
      <c r="Q1732" s="16">
        <f>+IF(IFERROR(VLOOKUP(Tabla3[[#This Row],[Cliente factura]],Tabla4[[NIT]:[TOTAL CREDITO]],3,FALSE),0)="",0,IFERROR(VLOOKUP(Tabla3[[#This Row],[Cliente factura]],Tabla4[[NIT]:[TOTAL CREDITO]],3,FALSE),0))</f>
        <v>211189076</v>
      </c>
      <c r="R1732" s="9">
        <f>+IFERROR(VLOOKUP(Tabla3[[#This Row],[Cliente factura]],Tabla4[[NIT]:[TOTAL CREDITO]],6,FALSE),0)</f>
        <v>0</v>
      </c>
      <c r="S1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2" s="10" t="str">
        <f>VLOOKUP(Tabla3[[#This Row],[Razón social cliente factura]]&amp;Tabla3[[#This Row],[Desc. ciudad]],'Estandar de Rutas'!$C$1:$E$553,2,FALSE)</f>
        <v>2.2</v>
      </c>
      <c r="U1732" s="130">
        <f>IFERROR(VLOOKUP(Tabla3[[#This Row],[Referencia]]&amp;Tabla3[[#This Row],[Desc detalle ext 1]],Tabla1[[Referencia-Color]:[Disponibilidad]],3,FALSE),0)</f>
        <v>24</v>
      </c>
      <c r="V1732" s="13"/>
      <c r="W1732" s="17">
        <f>+Tabla3[[#This Row],[Cant. Programada]]*Tabla3[[#This Row],[Precio unit]]</f>
        <v>0</v>
      </c>
      <c r="X1732" s="8"/>
      <c r="Y1732" s="8"/>
      <c r="Z1732" s="8" t="str">
        <f>+Tabla3[[#This Row],[Referencia]]&amp;Tabla3[[#This Row],[Desc detalle ext 1]]</f>
        <v xml:space="preserve">CB 110 DLX                                        GRIS     </v>
      </c>
      <c r="AA1732" s="128" t="e">
        <f>+VLOOKUP(Tabla3[[#This Row],[CODIGO2]],ESTANDAR!$B$3:$C$9,2,FALSE)</f>
        <v>#N/A</v>
      </c>
      <c r="AB1732" s="128" t="str">
        <f>+MID(Tabla3[[#This Row],['# Viaje]],10,1)</f>
        <v/>
      </c>
    </row>
    <row r="1733" spans="1:28" ht="15" hidden="1" customHeight="1">
      <c r="A1733" s="38" t="s">
        <v>1785</v>
      </c>
      <c r="B1733" s="39">
        <v>42951</v>
      </c>
      <c r="C1733" s="38" t="s">
        <v>1231</v>
      </c>
      <c r="D1733" s="38" t="s">
        <v>1478</v>
      </c>
      <c r="E1733" s="38" t="s">
        <v>1232</v>
      </c>
      <c r="F1733" s="38">
        <v>1</v>
      </c>
      <c r="G1733" s="38" t="s">
        <v>108</v>
      </c>
      <c r="H1733" s="38">
        <v>1</v>
      </c>
      <c r="I1733" s="38" t="s">
        <v>1786</v>
      </c>
      <c r="J1733" s="38" t="s">
        <v>1451</v>
      </c>
      <c r="K1733" s="38" t="s">
        <v>1431</v>
      </c>
      <c r="L1733" s="39"/>
      <c r="M1733" s="38" t="s">
        <v>1236</v>
      </c>
      <c r="N1733" s="38">
        <v>814006664</v>
      </c>
      <c r="O1733" s="40">
        <v>3696639</v>
      </c>
      <c r="P1733" s="7"/>
      <c r="Q1733" s="16">
        <f>+IF(IFERROR(VLOOKUP(Tabla3[[#This Row],[Cliente factura]],Tabla4[[NIT]:[TOTAL CREDITO]],3,FALSE),0)="",0,IFERROR(VLOOKUP(Tabla3[[#This Row],[Cliente factura]],Tabla4[[NIT]:[TOTAL CREDITO]],3,FALSE),0))</f>
        <v>211189076</v>
      </c>
      <c r="R1733" s="9">
        <f>+IFERROR(VLOOKUP(Tabla3[[#This Row],[Cliente factura]],Tabla4[[NIT]:[TOTAL CREDITO]],6,FALSE),0)</f>
        <v>0</v>
      </c>
      <c r="S1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3" s="10" t="str">
        <f>VLOOKUP(Tabla3[[#This Row],[Razón social cliente factura]]&amp;Tabla3[[#This Row],[Desc. ciudad]],'Estandar de Rutas'!$C$1:$E$553,2,FALSE)</f>
        <v>2.2</v>
      </c>
      <c r="U1733" s="130">
        <f>IFERROR(VLOOKUP(Tabla3[[#This Row],[Referencia]]&amp;Tabla3[[#This Row],[Desc detalle ext 1]],Tabla1[[Referencia-Color]:[Disponibilidad]],3,FALSE),0)</f>
        <v>21</v>
      </c>
      <c r="V1733" s="13"/>
      <c r="W1733" s="17">
        <f>+Tabla3[[#This Row],[Cant. Programada]]*Tabla3[[#This Row],[Precio unit]]</f>
        <v>0</v>
      </c>
      <c r="X1733" s="8"/>
      <c r="Y1733" s="8"/>
      <c r="Z1733" s="8" t="str">
        <f>+Tabla3[[#This Row],[Referencia]]&amp;Tabla3[[#This Row],[Desc detalle ext 1]]</f>
        <v xml:space="preserve">CB 110 DLX                                        ROJO     </v>
      </c>
      <c r="AA1733" s="128" t="e">
        <f>+VLOOKUP(Tabla3[[#This Row],[CODIGO2]],ESTANDAR!$B$3:$C$9,2,FALSE)</f>
        <v>#N/A</v>
      </c>
      <c r="AB1733" s="128" t="str">
        <f>+MID(Tabla3[[#This Row],['# Viaje]],10,1)</f>
        <v/>
      </c>
    </row>
    <row r="1734" spans="1:28" ht="15" hidden="1" customHeight="1">
      <c r="A1734" s="38" t="s">
        <v>1785</v>
      </c>
      <c r="B1734" s="39">
        <v>42951</v>
      </c>
      <c r="C1734" s="38" t="s">
        <v>1231</v>
      </c>
      <c r="D1734" s="38" t="s">
        <v>1478</v>
      </c>
      <c r="E1734" s="38" t="s">
        <v>1232</v>
      </c>
      <c r="F1734" s="38">
        <v>3</v>
      </c>
      <c r="G1734" s="38" t="s">
        <v>108</v>
      </c>
      <c r="H1734" s="38">
        <v>3</v>
      </c>
      <c r="I1734" s="38" t="s">
        <v>1786</v>
      </c>
      <c r="J1734" s="38" t="s">
        <v>1451</v>
      </c>
      <c r="K1734" s="38" t="s">
        <v>1452</v>
      </c>
      <c r="L1734" s="39"/>
      <c r="M1734" s="38" t="s">
        <v>1236</v>
      </c>
      <c r="N1734" s="38">
        <v>814006664</v>
      </c>
      <c r="O1734" s="40">
        <v>3696639</v>
      </c>
      <c r="P1734" s="7"/>
      <c r="Q1734" s="16">
        <f>+IF(IFERROR(VLOOKUP(Tabla3[[#This Row],[Cliente factura]],Tabla4[[NIT]:[TOTAL CREDITO]],3,FALSE),0)="",0,IFERROR(VLOOKUP(Tabla3[[#This Row],[Cliente factura]],Tabla4[[NIT]:[TOTAL CREDITO]],3,FALSE),0))</f>
        <v>211189076</v>
      </c>
      <c r="R1734" s="9">
        <f>+IFERROR(VLOOKUP(Tabla3[[#This Row],[Cliente factura]],Tabla4[[NIT]:[TOTAL CREDITO]],6,FALSE),0)</f>
        <v>0</v>
      </c>
      <c r="S1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4" s="10" t="str">
        <f>VLOOKUP(Tabla3[[#This Row],[Razón social cliente factura]]&amp;Tabla3[[#This Row],[Desc. ciudad]],'Estandar de Rutas'!$C$1:$E$553,2,FALSE)</f>
        <v>2.2</v>
      </c>
      <c r="U1734" s="130">
        <f>IFERROR(VLOOKUP(Tabla3[[#This Row],[Referencia]]&amp;Tabla3[[#This Row],[Desc detalle ext 1]],Tabla1[[Referencia-Color]:[Disponibilidad]],3,FALSE),0)</f>
        <v>21</v>
      </c>
      <c r="V1734" s="13"/>
      <c r="W1734" s="17">
        <f>+Tabla3[[#This Row],[Cant. Programada]]*Tabla3[[#This Row],[Precio unit]]</f>
        <v>0</v>
      </c>
      <c r="X1734" s="8"/>
      <c r="Y1734" s="8"/>
      <c r="Z1734" s="8" t="str">
        <f>+Tabla3[[#This Row],[Referencia]]&amp;Tabla3[[#This Row],[Desc detalle ext 1]]</f>
        <v xml:space="preserve">CB 110 DLX                                        AZUL     </v>
      </c>
      <c r="AA1734" s="128" t="e">
        <f>+VLOOKUP(Tabla3[[#This Row],[CODIGO2]],ESTANDAR!$B$3:$C$9,2,FALSE)</f>
        <v>#N/A</v>
      </c>
      <c r="AB1734" s="128" t="str">
        <f>+MID(Tabla3[[#This Row],['# Viaje]],10,1)</f>
        <v/>
      </c>
    </row>
    <row r="1735" spans="1:28" ht="15" hidden="1" customHeight="1">
      <c r="A1735" s="38" t="s">
        <v>1785</v>
      </c>
      <c r="B1735" s="39">
        <v>42951</v>
      </c>
      <c r="C1735" s="38" t="s">
        <v>1231</v>
      </c>
      <c r="D1735" s="38" t="s">
        <v>1478</v>
      </c>
      <c r="E1735" s="38" t="s">
        <v>1232</v>
      </c>
      <c r="F1735" s="38">
        <v>5</v>
      </c>
      <c r="G1735" s="38" t="s">
        <v>108</v>
      </c>
      <c r="H1735" s="38">
        <v>5</v>
      </c>
      <c r="I1735" s="38" t="s">
        <v>1786</v>
      </c>
      <c r="J1735" s="38" t="s">
        <v>1451</v>
      </c>
      <c r="K1735" s="38" t="s">
        <v>16</v>
      </c>
      <c r="L1735" s="39"/>
      <c r="M1735" s="38" t="s">
        <v>1236</v>
      </c>
      <c r="N1735" s="38">
        <v>814006664</v>
      </c>
      <c r="O1735" s="40">
        <v>3696639</v>
      </c>
      <c r="P1735" s="7"/>
      <c r="Q1735" s="16">
        <f>+IF(IFERROR(VLOOKUP(Tabla3[[#This Row],[Cliente factura]],Tabla4[[NIT]:[TOTAL CREDITO]],3,FALSE),0)="",0,IFERROR(VLOOKUP(Tabla3[[#This Row],[Cliente factura]],Tabla4[[NIT]:[TOTAL CREDITO]],3,FALSE),0))</f>
        <v>211189076</v>
      </c>
      <c r="R1735" s="9">
        <f>+IFERROR(VLOOKUP(Tabla3[[#This Row],[Cliente factura]],Tabla4[[NIT]:[TOTAL CREDITO]],6,FALSE),0)</f>
        <v>0</v>
      </c>
      <c r="S1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5" s="10" t="str">
        <f>VLOOKUP(Tabla3[[#This Row],[Razón social cliente factura]]&amp;Tabla3[[#This Row],[Desc. ciudad]],'Estandar de Rutas'!$C$1:$E$553,2,FALSE)</f>
        <v>2.2</v>
      </c>
      <c r="U1735" s="130">
        <f>IFERROR(VLOOKUP(Tabla3[[#This Row],[Referencia]]&amp;Tabla3[[#This Row],[Desc detalle ext 1]],Tabla1[[Referencia-Color]:[Disponibilidad]],3,FALSE),0)</f>
        <v>3</v>
      </c>
      <c r="V1735" s="13"/>
      <c r="W1735" s="17">
        <f>+Tabla3[[#This Row],[Cant. Programada]]*Tabla3[[#This Row],[Precio unit]]</f>
        <v>0</v>
      </c>
      <c r="X1735" s="8"/>
      <c r="Y1735" s="8"/>
      <c r="Z1735" s="8" t="str">
        <f>+Tabla3[[#This Row],[Referencia]]&amp;Tabla3[[#This Row],[Desc detalle ext 1]]</f>
        <v xml:space="preserve">CB 110 DLX                                        NEGRO    </v>
      </c>
      <c r="AA1735" s="128" t="e">
        <f>+VLOOKUP(Tabla3[[#This Row],[CODIGO2]],ESTANDAR!$B$3:$C$9,2,FALSE)</f>
        <v>#N/A</v>
      </c>
      <c r="AB1735" s="128" t="str">
        <f>+MID(Tabla3[[#This Row],['# Viaje]],10,1)</f>
        <v/>
      </c>
    </row>
    <row r="1736" spans="1:28" ht="15" customHeight="1">
      <c r="A1736" s="38" t="s">
        <v>1787</v>
      </c>
      <c r="B1736" s="39">
        <v>42951</v>
      </c>
      <c r="C1736" s="38" t="s">
        <v>1231</v>
      </c>
      <c r="D1736" s="38" t="s">
        <v>1478</v>
      </c>
      <c r="E1736" s="38" t="s">
        <v>1232</v>
      </c>
      <c r="F1736" s="38">
        <v>1</v>
      </c>
      <c r="G1736" s="38" t="s">
        <v>108</v>
      </c>
      <c r="H1736" s="38">
        <v>1</v>
      </c>
      <c r="I1736" s="38" t="s">
        <v>1788</v>
      </c>
      <c r="J1736" s="38" t="s">
        <v>14</v>
      </c>
      <c r="K1736" s="38" t="s">
        <v>1417</v>
      </c>
      <c r="L1736" s="39"/>
      <c r="M1736" s="38" t="s">
        <v>56</v>
      </c>
      <c r="N1736" s="38">
        <v>814006664</v>
      </c>
      <c r="O1736" s="40">
        <v>3360504</v>
      </c>
      <c r="P1736" s="7"/>
      <c r="Q1736" s="16">
        <f>+IF(IFERROR(VLOOKUP(Tabla3[[#This Row],[Cliente factura]],Tabla4[[NIT]:[TOTAL CREDITO]],3,FALSE),0)="",0,IFERROR(VLOOKUP(Tabla3[[#This Row],[Cliente factura]],Tabla4[[NIT]:[TOTAL CREDITO]],3,FALSE),0))</f>
        <v>211189076</v>
      </c>
      <c r="R1736" s="9">
        <f>+IFERROR(VLOOKUP(Tabla3[[#This Row],[Cliente factura]],Tabla4[[NIT]:[TOTAL CREDITO]],6,FALSE),0)</f>
        <v>0</v>
      </c>
      <c r="S1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6" s="10" t="str">
        <f>VLOOKUP(Tabla3[[#This Row],[Razón social cliente factura]]&amp;Tabla3[[#This Row],[Desc. ciudad]],'Estandar de Rutas'!$C$1:$E$553,2,FALSE)</f>
        <v>2.2</v>
      </c>
      <c r="U1736" s="130">
        <f>IFERROR(VLOOKUP(Tabla3[[#This Row],[Referencia]]&amp;Tabla3[[#This Row],[Desc detalle ext 1]],Tabla1[[Referencia-Color]:[Disponibilidad]],3,FALSE),0)</f>
        <v>24</v>
      </c>
      <c r="V1736" s="13"/>
      <c r="W1736" s="17">
        <f>+Tabla3[[#This Row],[Cant. Programada]]*Tabla3[[#This Row],[Precio unit]]</f>
        <v>0</v>
      </c>
      <c r="X1736" s="8"/>
      <c r="Y1736" s="8"/>
      <c r="Z1736" s="8" t="str">
        <f>+Tabla3[[#This Row],[Referencia]]&amp;Tabla3[[#This Row],[Desc detalle ext 1]]</f>
        <v xml:space="preserve">*CB-110                                           GRIS MET </v>
      </c>
      <c r="AA1736" s="128" t="e">
        <f>+VLOOKUP(Tabla3[[#This Row],[CODIGO2]],ESTANDAR!$B$3:$C$9,2,FALSE)</f>
        <v>#N/A</v>
      </c>
      <c r="AB1736" s="128" t="str">
        <f>+MID(Tabla3[[#This Row],['# Viaje]],10,1)</f>
        <v/>
      </c>
    </row>
    <row r="1737" spans="1:28" ht="15" customHeight="1">
      <c r="A1737" s="38" t="s">
        <v>1787</v>
      </c>
      <c r="B1737" s="39">
        <v>42951</v>
      </c>
      <c r="C1737" s="38" t="s">
        <v>1231</v>
      </c>
      <c r="D1737" s="38" t="s">
        <v>1478</v>
      </c>
      <c r="E1737" s="38" t="s">
        <v>1232</v>
      </c>
      <c r="F1737" s="38">
        <v>3</v>
      </c>
      <c r="G1737" s="38" t="s">
        <v>108</v>
      </c>
      <c r="H1737" s="38">
        <v>3</v>
      </c>
      <c r="I1737" s="38" t="s">
        <v>1788</v>
      </c>
      <c r="J1737" s="38" t="s">
        <v>14</v>
      </c>
      <c r="K1737" s="38" t="s">
        <v>16</v>
      </c>
      <c r="L1737" s="39"/>
      <c r="M1737" s="38" t="s">
        <v>56</v>
      </c>
      <c r="N1737" s="38">
        <v>814006664</v>
      </c>
      <c r="O1737" s="40">
        <v>3360504</v>
      </c>
      <c r="P1737" s="7"/>
      <c r="Q1737" s="16">
        <f>+IF(IFERROR(VLOOKUP(Tabla3[[#This Row],[Cliente factura]],Tabla4[[NIT]:[TOTAL CREDITO]],3,FALSE),0)="",0,IFERROR(VLOOKUP(Tabla3[[#This Row],[Cliente factura]],Tabla4[[NIT]:[TOTAL CREDITO]],3,FALSE),0))</f>
        <v>211189076</v>
      </c>
      <c r="R1737" s="9">
        <f>+IFERROR(VLOOKUP(Tabla3[[#This Row],[Cliente factura]],Tabla4[[NIT]:[TOTAL CREDITO]],6,FALSE),0)</f>
        <v>0</v>
      </c>
      <c r="S1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7" s="10" t="str">
        <f>VLOOKUP(Tabla3[[#This Row],[Razón social cliente factura]]&amp;Tabla3[[#This Row],[Desc. ciudad]],'Estandar de Rutas'!$C$1:$E$553,2,FALSE)</f>
        <v>2.2</v>
      </c>
      <c r="U1737" s="130">
        <f>IFERROR(VLOOKUP(Tabla3[[#This Row],[Referencia]]&amp;Tabla3[[#This Row],[Desc detalle ext 1]],Tabla1[[Referencia-Color]:[Disponibilidad]],3,FALSE),0)</f>
        <v>83</v>
      </c>
      <c r="V1737" s="13"/>
      <c r="W1737" s="17">
        <f>+Tabla3[[#This Row],[Cant. Programada]]*Tabla3[[#This Row],[Precio unit]]</f>
        <v>0</v>
      </c>
      <c r="X1737" s="8"/>
      <c r="Y1737" s="8"/>
      <c r="Z1737" s="8" t="str">
        <f>+Tabla3[[#This Row],[Referencia]]&amp;Tabla3[[#This Row],[Desc detalle ext 1]]</f>
        <v xml:space="preserve">*CB-110                                           NEGRO    </v>
      </c>
      <c r="AA1737" s="128" t="e">
        <f>+VLOOKUP(Tabla3[[#This Row],[CODIGO2]],ESTANDAR!$B$3:$C$9,2,FALSE)</f>
        <v>#N/A</v>
      </c>
      <c r="AB1737" s="128" t="str">
        <f>+MID(Tabla3[[#This Row],['# Viaje]],10,1)</f>
        <v/>
      </c>
    </row>
    <row r="1738" spans="1:28" ht="15" customHeight="1">
      <c r="A1738" s="38" t="s">
        <v>1787</v>
      </c>
      <c r="B1738" s="39">
        <v>42951</v>
      </c>
      <c r="C1738" s="38" t="s">
        <v>1231</v>
      </c>
      <c r="D1738" s="38" t="s">
        <v>1478</v>
      </c>
      <c r="E1738" s="38" t="s">
        <v>1232</v>
      </c>
      <c r="F1738" s="38">
        <v>2</v>
      </c>
      <c r="G1738" s="38" t="s">
        <v>108</v>
      </c>
      <c r="H1738" s="38">
        <v>2</v>
      </c>
      <c r="I1738" s="38" t="s">
        <v>1788</v>
      </c>
      <c r="J1738" s="38" t="s">
        <v>14</v>
      </c>
      <c r="K1738" s="38" t="s">
        <v>15</v>
      </c>
      <c r="L1738" s="39"/>
      <c r="M1738" s="38" t="s">
        <v>56</v>
      </c>
      <c r="N1738" s="38">
        <v>814006664</v>
      </c>
      <c r="O1738" s="40">
        <v>3360504</v>
      </c>
      <c r="P1738" s="7"/>
      <c r="Q1738" s="16">
        <f>+IF(IFERROR(VLOOKUP(Tabla3[[#This Row],[Cliente factura]],Tabla4[[NIT]:[TOTAL CREDITO]],3,FALSE),0)="",0,IFERROR(VLOOKUP(Tabla3[[#This Row],[Cliente factura]],Tabla4[[NIT]:[TOTAL CREDITO]],3,FALSE),0))</f>
        <v>211189076</v>
      </c>
      <c r="R1738" s="9">
        <f>+IFERROR(VLOOKUP(Tabla3[[#This Row],[Cliente factura]],Tabla4[[NIT]:[TOTAL CREDITO]],6,FALSE),0)</f>
        <v>0</v>
      </c>
      <c r="S1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8" s="10" t="str">
        <f>VLOOKUP(Tabla3[[#This Row],[Razón social cliente factura]]&amp;Tabla3[[#This Row],[Desc. ciudad]],'Estandar de Rutas'!$C$1:$E$553,2,FALSE)</f>
        <v>2.2</v>
      </c>
      <c r="U1738" s="130">
        <f>IFERROR(VLOOKUP(Tabla3[[#This Row],[Referencia]]&amp;Tabla3[[#This Row],[Desc detalle ext 1]],Tabla1[[Referencia-Color]:[Disponibilidad]],3,FALSE),0)</f>
        <v>99</v>
      </c>
      <c r="V1738" s="13"/>
      <c r="W1738" s="17">
        <f>+Tabla3[[#This Row],[Cant. Programada]]*Tabla3[[#This Row],[Precio unit]]</f>
        <v>0</v>
      </c>
      <c r="X1738" s="8"/>
      <c r="Y1738" s="8"/>
      <c r="Z1738" s="8" t="str">
        <f>+Tabla3[[#This Row],[Referencia]]&amp;Tabla3[[#This Row],[Desc detalle ext 1]]</f>
        <v>*CB-110                                           AZUL FIJI</v>
      </c>
      <c r="AA1738" s="128" t="e">
        <f>+VLOOKUP(Tabla3[[#This Row],[CODIGO2]],ESTANDAR!$B$3:$C$9,2,FALSE)</f>
        <v>#N/A</v>
      </c>
      <c r="AB1738" s="128" t="str">
        <f>+MID(Tabla3[[#This Row],['# Viaje]],10,1)</f>
        <v/>
      </c>
    </row>
    <row r="1739" spans="1:28" ht="15" customHeight="1">
      <c r="A1739" s="38" t="s">
        <v>1787</v>
      </c>
      <c r="B1739" s="39">
        <v>42951</v>
      </c>
      <c r="C1739" s="38" t="s">
        <v>1231</v>
      </c>
      <c r="D1739" s="38" t="s">
        <v>1478</v>
      </c>
      <c r="E1739" s="38" t="s">
        <v>1232</v>
      </c>
      <c r="F1739" s="38">
        <v>3</v>
      </c>
      <c r="G1739" s="38" t="s">
        <v>108</v>
      </c>
      <c r="H1739" s="38">
        <v>3</v>
      </c>
      <c r="I1739" s="38" t="s">
        <v>1788</v>
      </c>
      <c r="J1739" s="38" t="s">
        <v>27</v>
      </c>
      <c r="K1739" s="38" t="s">
        <v>32</v>
      </c>
      <c r="L1739" s="39"/>
      <c r="M1739" s="38" t="s">
        <v>56</v>
      </c>
      <c r="N1739" s="38">
        <v>814006664</v>
      </c>
      <c r="O1739" s="40">
        <v>5789916</v>
      </c>
      <c r="P1739" s="7"/>
      <c r="Q1739" s="16">
        <f>+IF(IFERROR(VLOOKUP(Tabla3[[#This Row],[Cliente factura]],Tabla4[[NIT]:[TOTAL CREDITO]],3,FALSE),0)="",0,IFERROR(VLOOKUP(Tabla3[[#This Row],[Cliente factura]],Tabla4[[NIT]:[TOTAL CREDITO]],3,FALSE),0))</f>
        <v>211189076</v>
      </c>
      <c r="R1739" s="9">
        <f>+IFERROR(VLOOKUP(Tabla3[[#This Row],[Cliente factura]],Tabla4[[NIT]:[TOTAL CREDITO]],6,FALSE),0)</f>
        <v>0</v>
      </c>
      <c r="S1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9" s="10" t="str">
        <f>VLOOKUP(Tabla3[[#This Row],[Razón social cliente factura]]&amp;Tabla3[[#This Row],[Desc. ciudad]],'Estandar de Rutas'!$C$1:$E$553,2,FALSE)</f>
        <v>2.2</v>
      </c>
      <c r="U1739" s="130">
        <f>IFERROR(VLOOKUP(Tabla3[[#This Row],[Referencia]]&amp;Tabla3[[#This Row],[Desc detalle ext 1]],Tabla1[[Referencia-Color]:[Disponibilidad]],3,FALSE),0)</f>
        <v>7</v>
      </c>
      <c r="V1739" s="13"/>
      <c r="W1739" s="17">
        <f>+Tabla3[[#This Row],[Cant. Programada]]*Tabla3[[#This Row],[Precio unit]]</f>
        <v>0</v>
      </c>
      <c r="X1739" s="8"/>
      <c r="Y1739" s="8"/>
      <c r="Z1739" s="8" t="str">
        <f>+Tabla3[[#This Row],[Referencia]]&amp;Tabla3[[#This Row],[Desc detalle ext 1]]</f>
        <v>*XR 150L                                          NEGRO ROJ</v>
      </c>
      <c r="AA1739" s="128" t="e">
        <f>+VLOOKUP(Tabla3[[#This Row],[CODIGO2]],ESTANDAR!$B$3:$C$9,2,FALSE)</f>
        <v>#N/A</v>
      </c>
      <c r="AB1739" s="128" t="str">
        <f>+MID(Tabla3[[#This Row],['# Viaje]],10,1)</f>
        <v/>
      </c>
    </row>
    <row r="1740" spans="1:28" ht="15" customHeight="1">
      <c r="A1740" s="38" t="s">
        <v>1787</v>
      </c>
      <c r="B1740" s="39">
        <v>42951</v>
      </c>
      <c r="C1740" s="38" t="s">
        <v>1231</v>
      </c>
      <c r="D1740" s="38" t="s">
        <v>1478</v>
      </c>
      <c r="E1740" s="38" t="s">
        <v>1232</v>
      </c>
      <c r="F1740" s="38">
        <v>2</v>
      </c>
      <c r="G1740" s="38" t="s">
        <v>108</v>
      </c>
      <c r="H1740" s="38">
        <v>2</v>
      </c>
      <c r="I1740" s="38" t="s">
        <v>1788</v>
      </c>
      <c r="J1740" s="38" t="s">
        <v>27</v>
      </c>
      <c r="K1740" s="38" t="s">
        <v>26</v>
      </c>
      <c r="L1740" s="39"/>
      <c r="M1740" s="38" t="s">
        <v>56</v>
      </c>
      <c r="N1740" s="38">
        <v>814006664</v>
      </c>
      <c r="O1740" s="40">
        <v>5789916</v>
      </c>
      <c r="P1740" s="7"/>
      <c r="Q1740" s="16">
        <f>+IF(IFERROR(VLOOKUP(Tabla3[[#This Row],[Cliente factura]],Tabla4[[NIT]:[TOTAL CREDITO]],3,FALSE),0)="",0,IFERROR(VLOOKUP(Tabla3[[#This Row],[Cliente factura]],Tabla4[[NIT]:[TOTAL CREDITO]],3,FALSE),0))</f>
        <v>211189076</v>
      </c>
      <c r="R1740" s="9">
        <f>+IFERROR(VLOOKUP(Tabla3[[#This Row],[Cliente factura]],Tabla4[[NIT]:[TOTAL CREDITO]],6,FALSE),0)</f>
        <v>0</v>
      </c>
      <c r="S1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0" s="10" t="str">
        <f>VLOOKUP(Tabla3[[#This Row],[Razón social cliente factura]]&amp;Tabla3[[#This Row],[Desc. ciudad]],'Estandar de Rutas'!$C$1:$E$553,2,FALSE)</f>
        <v>2.2</v>
      </c>
      <c r="U1740" s="130">
        <f>IFERROR(VLOOKUP(Tabla3[[#This Row],[Referencia]]&amp;Tabla3[[#This Row],[Desc detalle ext 1]],Tabla1[[Referencia-Color]:[Disponibilidad]],3,FALSE),0)</f>
        <v>59</v>
      </c>
      <c r="V1740" s="13"/>
      <c r="W1740" s="17">
        <f>+Tabla3[[#This Row],[Cant. Programada]]*Tabla3[[#This Row],[Precio unit]]</f>
        <v>0</v>
      </c>
      <c r="X1740" s="8"/>
      <c r="Y1740" s="8"/>
      <c r="Z1740" s="8" t="str">
        <f>+Tabla3[[#This Row],[Referencia]]&amp;Tabla3[[#This Row],[Desc detalle ext 1]]</f>
        <v>*XR 150L                                          NEGRO BLA</v>
      </c>
      <c r="AA1740" s="128" t="e">
        <f>+VLOOKUP(Tabla3[[#This Row],[CODIGO2]],ESTANDAR!$B$3:$C$9,2,FALSE)</f>
        <v>#N/A</v>
      </c>
      <c r="AB1740" s="128" t="str">
        <f>+MID(Tabla3[[#This Row],['# Viaje]],10,1)</f>
        <v/>
      </c>
    </row>
    <row r="1741" spans="1:28" ht="15" customHeight="1">
      <c r="A1741" s="38" t="s">
        <v>1787</v>
      </c>
      <c r="B1741" s="39">
        <v>42951</v>
      </c>
      <c r="C1741" s="38" t="s">
        <v>1231</v>
      </c>
      <c r="D1741" s="38" t="s">
        <v>1478</v>
      </c>
      <c r="E1741" s="38" t="s">
        <v>1232</v>
      </c>
      <c r="F1741" s="38">
        <v>1</v>
      </c>
      <c r="G1741" s="38" t="s">
        <v>108</v>
      </c>
      <c r="H1741" s="38">
        <v>1</v>
      </c>
      <c r="I1741" s="38" t="s">
        <v>1788</v>
      </c>
      <c r="J1741" s="38" t="s">
        <v>27</v>
      </c>
      <c r="K1741" s="38" t="s">
        <v>16</v>
      </c>
      <c r="L1741" s="39"/>
      <c r="M1741" s="38" t="s">
        <v>56</v>
      </c>
      <c r="N1741" s="38">
        <v>814006664</v>
      </c>
      <c r="O1741" s="40">
        <v>5789916</v>
      </c>
      <c r="P1741" s="7"/>
      <c r="Q1741" s="16">
        <f>+IF(IFERROR(VLOOKUP(Tabla3[[#This Row],[Cliente factura]],Tabla4[[NIT]:[TOTAL CREDITO]],3,FALSE),0)="",0,IFERROR(VLOOKUP(Tabla3[[#This Row],[Cliente factura]],Tabla4[[NIT]:[TOTAL CREDITO]],3,FALSE),0))</f>
        <v>211189076</v>
      </c>
      <c r="R1741" s="9">
        <f>+IFERROR(VLOOKUP(Tabla3[[#This Row],[Cliente factura]],Tabla4[[NIT]:[TOTAL CREDITO]],6,FALSE),0)</f>
        <v>0</v>
      </c>
      <c r="S1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1" s="10" t="str">
        <f>VLOOKUP(Tabla3[[#This Row],[Razón social cliente factura]]&amp;Tabla3[[#This Row],[Desc. ciudad]],'Estandar de Rutas'!$C$1:$E$553,2,FALSE)</f>
        <v>2.2</v>
      </c>
      <c r="U1741" s="130">
        <f>IFERROR(VLOOKUP(Tabla3[[#This Row],[Referencia]]&amp;Tabla3[[#This Row],[Desc detalle ext 1]],Tabla1[[Referencia-Color]:[Disponibilidad]],3,FALSE),0)</f>
        <v>3</v>
      </c>
      <c r="V1741" s="13"/>
      <c r="W1741" s="17">
        <f>+Tabla3[[#This Row],[Cant. Programada]]*Tabla3[[#This Row],[Precio unit]]</f>
        <v>0</v>
      </c>
      <c r="X1741" s="8"/>
      <c r="Y1741" s="8"/>
      <c r="Z1741" s="8" t="str">
        <f>+Tabla3[[#This Row],[Referencia]]&amp;Tabla3[[#This Row],[Desc detalle ext 1]]</f>
        <v xml:space="preserve">*XR 150L                                          NEGRO    </v>
      </c>
      <c r="AA1741" s="128" t="e">
        <f>+VLOOKUP(Tabla3[[#This Row],[CODIGO2]],ESTANDAR!$B$3:$C$9,2,FALSE)</f>
        <v>#N/A</v>
      </c>
      <c r="AB1741" s="128" t="str">
        <f>+MID(Tabla3[[#This Row],['# Viaje]],10,1)</f>
        <v/>
      </c>
    </row>
    <row r="1742" spans="1:28" ht="15" customHeight="1">
      <c r="A1742" s="38" t="s">
        <v>1787</v>
      </c>
      <c r="B1742" s="39">
        <v>42951</v>
      </c>
      <c r="C1742" s="38" t="s">
        <v>1231</v>
      </c>
      <c r="D1742" s="38" t="s">
        <v>1478</v>
      </c>
      <c r="E1742" s="38" t="s">
        <v>1232</v>
      </c>
      <c r="F1742" s="38">
        <v>1</v>
      </c>
      <c r="G1742" s="38" t="s">
        <v>108</v>
      </c>
      <c r="H1742" s="38">
        <v>1</v>
      </c>
      <c r="I1742" s="38" t="s">
        <v>1788</v>
      </c>
      <c r="J1742" s="38" t="s">
        <v>1425</v>
      </c>
      <c r="K1742" s="38" t="s">
        <v>1426</v>
      </c>
      <c r="L1742" s="39"/>
      <c r="M1742" s="38" t="s">
        <v>56</v>
      </c>
      <c r="N1742" s="38">
        <v>814006664</v>
      </c>
      <c r="O1742" s="40">
        <v>7730252</v>
      </c>
      <c r="P1742" s="7"/>
      <c r="Q1742" s="16">
        <f>+IF(IFERROR(VLOOKUP(Tabla3[[#This Row],[Cliente factura]],Tabla4[[NIT]:[TOTAL CREDITO]],3,FALSE),0)="",0,IFERROR(VLOOKUP(Tabla3[[#This Row],[Cliente factura]],Tabla4[[NIT]:[TOTAL CREDITO]],3,FALSE),0))</f>
        <v>211189076</v>
      </c>
      <c r="R1742" s="9">
        <f>+IFERROR(VLOOKUP(Tabla3[[#This Row],[Cliente factura]],Tabla4[[NIT]:[TOTAL CREDITO]],6,FALSE),0)</f>
        <v>0</v>
      </c>
      <c r="S1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2" s="10" t="str">
        <f>VLOOKUP(Tabla3[[#This Row],[Razón social cliente factura]]&amp;Tabla3[[#This Row],[Desc. ciudad]],'Estandar de Rutas'!$C$1:$E$553,2,FALSE)</f>
        <v>2.2</v>
      </c>
      <c r="U1742" s="130">
        <f>IFERROR(VLOOKUP(Tabla3[[#This Row],[Referencia]]&amp;Tabla3[[#This Row],[Desc detalle ext 1]],Tabla1[[Referencia-Color]:[Disponibilidad]],3,FALSE),0)</f>
        <v>104</v>
      </c>
      <c r="V1742" s="13"/>
      <c r="W1742" s="17">
        <f>+Tabla3[[#This Row],[Cant. Programada]]*Tabla3[[#This Row],[Precio unit]]</f>
        <v>0</v>
      </c>
      <c r="X1742" s="8"/>
      <c r="Y1742" s="8"/>
      <c r="Z1742" s="8" t="str">
        <f>+Tabla3[[#This Row],[Referencia]]&amp;Tabla3[[#This Row],[Desc detalle ext 1]]</f>
        <v>CB 190 REPSOL                                     NARANJA B</v>
      </c>
      <c r="AA1742" s="128" t="e">
        <f>+VLOOKUP(Tabla3[[#This Row],[CODIGO2]],ESTANDAR!$B$3:$C$9,2,FALSE)</f>
        <v>#N/A</v>
      </c>
      <c r="AB1742" s="128" t="str">
        <f>+MID(Tabla3[[#This Row],['# Viaje]],10,1)</f>
        <v/>
      </c>
    </row>
    <row r="1743" spans="1:28" ht="15" customHeight="1">
      <c r="A1743" s="38" t="s">
        <v>1787</v>
      </c>
      <c r="B1743" s="39">
        <v>42951</v>
      </c>
      <c r="C1743" s="38" t="s">
        <v>1231</v>
      </c>
      <c r="D1743" s="38" t="s">
        <v>1478</v>
      </c>
      <c r="E1743" s="38" t="s">
        <v>1232</v>
      </c>
      <c r="F1743" s="38">
        <v>1</v>
      </c>
      <c r="G1743" s="38" t="s">
        <v>108</v>
      </c>
      <c r="H1743" s="38">
        <v>1</v>
      </c>
      <c r="I1743" s="38" t="s">
        <v>1788</v>
      </c>
      <c r="J1743" s="38" t="s">
        <v>354</v>
      </c>
      <c r="K1743" s="38" t="s">
        <v>17</v>
      </c>
      <c r="L1743" s="39"/>
      <c r="M1743" s="38" t="s">
        <v>56</v>
      </c>
      <c r="N1743" s="38">
        <v>814006664</v>
      </c>
      <c r="O1743" s="40">
        <v>6133613</v>
      </c>
      <c r="P1743" s="7"/>
      <c r="Q1743" s="16">
        <f>+IF(IFERROR(VLOOKUP(Tabla3[[#This Row],[Cliente factura]],Tabla4[[NIT]:[TOTAL CREDITO]],3,FALSE),0)="",0,IFERROR(VLOOKUP(Tabla3[[#This Row],[Cliente factura]],Tabla4[[NIT]:[TOTAL CREDITO]],3,FALSE),0))</f>
        <v>211189076</v>
      </c>
      <c r="R1743" s="9">
        <f>+IFERROR(VLOOKUP(Tabla3[[#This Row],[Cliente factura]],Tabla4[[NIT]:[TOTAL CREDITO]],6,FALSE),0)</f>
        <v>0</v>
      </c>
      <c r="S1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3" s="10" t="str">
        <f>VLOOKUP(Tabla3[[#This Row],[Razón social cliente factura]]&amp;Tabla3[[#This Row],[Desc. ciudad]],'Estandar de Rutas'!$C$1:$E$553,2,FALSE)</f>
        <v>2.2</v>
      </c>
      <c r="U1743" s="130">
        <f>IFERROR(VLOOKUP(Tabla3[[#This Row],[Referencia]]&amp;Tabla3[[#This Row],[Desc detalle ext 1]],Tabla1[[Referencia-Color]:[Disponibilidad]],3,FALSE),0)</f>
        <v>48</v>
      </c>
      <c r="V1743" s="13"/>
      <c r="W1743" s="17">
        <f>+Tabla3[[#This Row],[Cant. Programada]]*Tabla3[[#This Row],[Precio unit]]</f>
        <v>0</v>
      </c>
      <c r="X1743" s="8"/>
      <c r="Y1743" s="8"/>
      <c r="Z1743" s="8" t="str">
        <f>+Tabla3[[#This Row],[Referencia]]&amp;Tabla3[[#This Row],[Desc detalle ext 1]]</f>
        <v>CB 160F DLX                                       ROJO SPOR</v>
      </c>
      <c r="AA1743" s="128" t="e">
        <f>+VLOOKUP(Tabla3[[#This Row],[CODIGO2]],ESTANDAR!$B$3:$C$9,2,FALSE)</f>
        <v>#N/A</v>
      </c>
      <c r="AB1743" s="128" t="str">
        <f>+MID(Tabla3[[#This Row],['# Viaje]],10,1)</f>
        <v/>
      </c>
    </row>
    <row r="1744" spans="1:28" ht="15" customHeight="1">
      <c r="A1744" s="38" t="s">
        <v>1787</v>
      </c>
      <c r="B1744" s="39">
        <v>42951</v>
      </c>
      <c r="C1744" s="38" t="s">
        <v>1231</v>
      </c>
      <c r="D1744" s="38" t="s">
        <v>1478</v>
      </c>
      <c r="E1744" s="38" t="s">
        <v>1232</v>
      </c>
      <c r="F1744" s="38">
        <v>1</v>
      </c>
      <c r="G1744" s="38" t="s">
        <v>108</v>
      </c>
      <c r="H1744" s="38">
        <v>1</v>
      </c>
      <c r="I1744" s="38" t="s">
        <v>1788</v>
      </c>
      <c r="J1744" s="38" t="s">
        <v>354</v>
      </c>
      <c r="K1744" s="38" t="s">
        <v>355</v>
      </c>
      <c r="L1744" s="39"/>
      <c r="M1744" s="38" t="s">
        <v>56</v>
      </c>
      <c r="N1744" s="38">
        <v>814006664</v>
      </c>
      <c r="O1744" s="40">
        <v>6133613</v>
      </c>
      <c r="P1744" s="7"/>
      <c r="Q1744" s="16">
        <f>+IF(IFERROR(VLOOKUP(Tabla3[[#This Row],[Cliente factura]],Tabla4[[NIT]:[TOTAL CREDITO]],3,FALSE),0)="",0,IFERROR(VLOOKUP(Tabla3[[#This Row],[Cliente factura]],Tabla4[[NIT]:[TOTAL CREDITO]],3,FALSE),0))</f>
        <v>211189076</v>
      </c>
      <c r="R1744" s="9">
        <f>+IFERROR(VLOOKUP(Tabla3[[#This Row],[Cliente factura]],Tabla4[[NIT]:[TOTAL CREDITO]],6,FALSE),0)</f>
        <v>0</v>
      </c>
      <c r="S1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4" s="10" t="str">
        <f>VLOOKUP(Tabla3[[#This Row],[Razón social cliente factura]]&amp;Tabla3[[#This Row],[Desc. ciudad]],'Estandar de Rutas'!$C$1:$E$553,2,FALSE)</f>
        <v>2.2</v>
      </c>
      <c r="U1744" s="130">
        <f>IFERROR(VLOOKUP(Tabla3[[#This Row],[Referencia]]&amp;Tabla3[[#This Row],[Desc detalle ext 1]],Tabla1[[Referencia-Color]:[Disponibilidad]],3,FALSE),0)</f>
        <v>0</v>
      </c>
      <c r="V1744" s="13"/>
      <c r="W1744" s="17">
        <f>+Tabla3[[#This Row],[Cant. Programada]]*Tabla3[[#This Row],[Precio unit]]</f>
        <v>0</v>
      </c>
      <c r="X1744" s="8"/>
      <c r="Y1744" s="8"/>
      <c r="Z1744" s="8" t="str">
        <f>+Tabla3[[#This Row],[Referencia]]&amp;Tabla3[[#This Row],[Desc detalle ext 1]]</f>
        <v>CB 160F DLX                                       NEGRO PER</v>
      </c>
      <c r="AA1744" s="128" t="e">
        <f>+VLOOKUP(Tabla3[[#This Row],[CODIGO2]],ESTANDAR!$B$3:$C$9,2,FALSE)</f>
        <v>#N/A</v>
      </c>
      <c r="AB1744" s="128" t="str">
        <f>+MID(Tabla3[[#This Row],['# Viaje]],10,1)</f>
        <v/>
      </c>
    </row>
    <row r="1745" spans="1:28" ht="15" customHeight="1">
      <c r="A1745" s="38" t="s">
        <v>1787</v>
      </c>
      <c r="B1745" s="39">
        <v>42951</v>
      </c>
      <c r="C1745" s="38" t="s">
        <v>1231</v>
      </c>
      <c r="D1745" s="38" t="s">
        <v>1478</v>
      </c>
      <c r="E1745" s="38" t="s">
        <v>1232</v>
      </c>
      <c r="F1745" s="38">
        <v>1</v>
      </c>
      <c r="G1745" s="38" t="s">
        <v>108</v>
      </c>
      <c r="H1745" s="38">
        <v>1</v>
      </c>
      <c r="I1745" s="38" t="s">
        <v>1788</v>
      </c>
      <c r="J1745" s="38" t="s">
        <v>1433</v>
      </c>
      <c r="K1745" s="38" t="s">
        <v>1431</v>
      </c>
      <c r="L1745" s="39"/>
      <c r="M1745" s="38" t="s">
        <v>56</v>
      </c>
      <c r="N1745" s="38">
        <v>814006664</v>
      </c>
      <c r="O1745" s="40">
        <v>3521008</v>
      </c>
      <c r="P1745" s="7"/>
      <c r="Q1745" s="16">
        <f>+IF(IFERROR(VLOOKUP(Tabla3[[#This Row],[Cliente factura]],Tabla4[[NIT]:[TOTAL CREDITO]],3,FALSE),0)="",0,IFERROR(VLOOKUP(Tabla3[[#This Row],[Cliente factura]],Tabla4[[NIT]:[TOTAL CREDITO]],3,FALSE),0))</f>
        <v>211189076</v>
      </c>
      <c r="R1745" s="9">
        <f>+IFERROR(VLOOKUP(Tabla3[[#This Row],[Cliente factura]],Tabla4[[NIT]:[TOTAL CREDITO]],6,FALSE),0)</f>
        <v>0</v>
      </c>
      <c r="S1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5" s="10" t="str">
        <f>VLOOKUP(Tabla3[[#This Row],[Razón social cliente factura]]&amp;Tabla3[[#This Row],[Desc. ciudad]],'Estandar de Rutas'!$C$1:$E$553,2,FALSE)</f>
        <v>2.2</v>
      </c>
      <c r="U1745" s="130">
        <f>IFERROR(VLOOKUP(Tabla3[[#This Row],[Referencia]]&amp;Tabla3[[#This Row],[Desc detalle ext 1]],Tabla1[[Referencia-Color]:[Disponibilidad]],3,FALSE),0)</f>
        <v>0</v>
      </c>
      <c r="V1745" s="13"/>
      <c r="W1745" s="17">
        <f>+Tabla3[[#This Row],[Cant. Programada]]*Tabla3[[#This Row],[Precio unit]]</f>
        <v>0</v>
      </c>
      <c r="X1745" s="8"/>
      <c r="Y1745" s="8"/>
      <c r="Z1745" s="8" t="str">
        <f>+Tabla3[[#This Row],[Referencia]]&amp;Tabla3[[#This Row],[Desc detalle ext 1]]</f>
        <v xml:space="preserve">DIO  110                                          ROJO     </v>
      </c>
      <c r="AA1745" s="128" t="e">
        <f>+VLOOKUP(Tabla3[[#This Row],[CODIGO2]],ESTANDAR!$B$3:$C$9,2,FALSE)</f>
        <v>#N/A</v>
      </c>
      <c r="AB1745" s="128" t="str">
        <f>+MID(Tabla3[[#This Row],['# Viaje]],10,1)</f>
        <v/>
      </c>
    </row>
    <row r="1746" spans="1:28" ht="15" customHeight="1">
      <c r="A1746" s="38" t="s">
        <v>1787</v>
      </c>
      <c r="B1746" s="39">
        <v>42951</v>
      </c>
      <c r="C1746" s="38" t="s">
        <v>1231</v>
      </c>
      <c r="D1746" s="38" t="s">
        <v>1478</v>
      </c>
      <c r="E1746" s="38" t="s">
        <v>1232</v>
      </c>
      <c r="F1746" s="38">
        <v>1</v>
      </c>
      <c r="G1746" s="38" t="s">
        <v>108</v>
      </c>
      <c r="H1746" s="38">
        <v>1</v>
      </c>
      <c r="I1746" s="38" t="s">
        <v>1788</v>
      </c>
      <c r="J1746" s="38" t="s">
        <v>1433</v>
      </c>
      <c r="K1746" s="38" t="s">
        <v>1452</v>
      </c>
      <c r="L1746" s="39"/>
      <c r="M1746" s="38" t="s">
        <v>56</v>
      </c>
      <c r="N1746" s="38">
        <v>814006664</v>
      </c>
      <c r="O1746" s="40">
        <v>3521008</v>
      </c>
      <c r="P1746" s="7"/>
      <c r="Q1746" s="16">
        <f>+IF(IFERROR(VLOOKUP(Tabla3[[#This Row],[Cliente factura]],Tabla4[[NIT]:[TOTAL CREDITO]],3,FALSE),0)="",0,IFERROR(VLOOKUP(Tabla3[[#This Row],[Cliente factura]],Tabla4[[NIT]:[TOTAL CREDITO]],3,FALSE),0))</f>
        <v>211189076</v>
      </c>
      <c r="R1746" s="9">
        <f>+IFERROR(VLOOKUP(Tabla3[[#This Row],[Cliente factura]],Tabla4[[NIT]:[TOTAL CREDITO]],6,FALSE),0)</f>
        <v>0</v>
      </c>
      <c r="S1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6" s="10" t="str">
        <f>VLOOKUP(Tabla3[[#This Row],[Razón social cliente factura]]&amp;Tabla3[[#This Row],[Desc. ciudad]],'Estandar de Rutas'!$C$1:$E$553,2,FALSE)</f>
        <v>2.2</v>
      </c>
      <c r="U1746" s="130">
        <f>IFERROR(VLOOKUP(Tabla3[[#This Row],[Referencia]]&amp;Tabla3[[#This Row],[Desc detalle ext 1]],Tabla1[[Referencia-Color]:[Disponibilidad]],3,FALSE),0)</f>
        <v>0</v>
      </c>
      <c r="V1746" s="13"/>
      <c r="W1746" s="17">
        <f>+Tabla3[[#This Row],[Cant. Programada]]*Tabla3[[#This Row],[Precio unit]]</f>
        <v>0</v>
      </c>
      <c r="X1746" s="8"/>
      <c r="Y1746" s="8"/>
      <c r="Z1746" s="8" t="str">
        <f>+Tabla3[[#This Row],[Referencia]]&amp;Tabla3[[#This Row],[Desc detalle ext 1]]</f>
        <v xml:space="preserve">DIO  110                                          AZUL     </v>
      </c>
      <c r="AA1746" s="128" t="e">
        <f>+VLOOKUP(Tabla3[[#This Row],[CODIGO2]],ESTANDAR!$B$3:$C$9,2,FALSE)</f>
        <v>#N/A</v>
      </c>
      <c r="AB1746" s="128" t="str">
        <f>+MID(Tabla3[[#This Row],['# Viaje]],10,1)</f>
        <v/>
      </c>
    </row>
    <row r="1747" spans="1:28" ht="15" customHeight="1">
      <c r="A1747" s="38" t="s">
        <v>1787</v>
      </c>
      <c r="B1747" s="39">
        <v>42951</v>
      </c>
      <c r="C1747" s="38" t="s">
        <v>1231</v>
      </c>
      <c r="D1747" s="38" t="s">
        <v>1478</v>
      </c>
      <c r="E1747" s="38" t="s">
        <v>1232</v>
      </c>
      <c r="F1747" s="38">
        <v>2</v>
      </c>
      <c r="G1747" s="38" t="s">
        <v>108</v>
      </c>
      <c r="H1747" s="38">
        <v>2</v>
      </c>
      <c r="I1747" s="38" t="s">
        <v>1788</v>
      </c>
      <c r="J1747" s="38" t="s">
        <v>1428</v>
      </c>
      <c r="K1747" s="38" t="s">
        <v>1461</v>
      </c>
      <c r="L1747" s="39"/>
      <c r="M1747" s="38" t="s">
        <v>56</v>
      </c>
      <c r="N1747" s="38">
        <v>814006664</v>
      </c>
      <c r="O1747" s="40">
        <v>3067227</v>
      </c>
      <c r="P1747" s="7"/>
      <c r="Q1747" s="16">
        <f>+IF(IFERROR(VLOOKUP(Tabla3[[#This Row],[Cliente factura]],Tabla4[[NIT]:[TOTAL CREDITO]],3,FALSE),0)="",0,IFERROR(VLOOKUP(Tabla3[[#This Row],[Cliente factura]],Tabla4[[NIT]:[TOTAL CREDITO]],3,FALSE),0))</f>
        <v>211189076</v>
      </c>
      <c r="R1747" s="9">
        <f>+IFERROR(VLOOKUP(Tabla3[[#This Row],[Cliente factura]],Tabla4[[NIT]:[TOTAL CREDITO]],6,FALSE),0)</f>
        <v>0</v>
      </c>
      <c r="S1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7" s="10" t="str">
        <f>VLOOKUP(Tabla3[[#This Row],[Razón social cliente factura]]&amp;Tabla3[[#This Row],[Desc. ciudad]],'Estandar de Rutas'!$C$1:$E$553,2,FALSE)</f>
        <v>2.2</v>
      </c>
      <c r="U1747" s="130">
        <f>IFERROR(VLOOKUP(Tabla3[[#This Row],[Referencia]]&amp;Tabla3[[#This Row],[Desc detalle ext 1]],Tabla1[[Referencia-Color]:[Disponibilidad]],3,FALSE),0)</f>
        <v>0</v>
      </c>
      <c r="V1747" s="13"/>
      <c r="W1747" s="17">
        <f>+Tabla3[[#This Row],[Cant. Programada]]*Tabla3[[#This Row],[Precio unit]]</f>
        <v>0</v>
      </c>
      <c r="X1747" s="8"/>
      <c r="Y1747" s="8"/>
      <c r="Z1747" s="8" t="str">
        <f>+Tabla3[[#This Row],[Referencia]]&amp;Tabla3[[#This Row],[Desc detalle ext 1]]</f>
        <v>DREAM  NEO                                        ROJO ALFA</v>
      </c>
      <c r="AA1747" s="128" t="e">
        <f>+VLOOKUP(Tabla3[[#This Row],[CODIGO2]],ESTANDAR!$B$3:$C$9,2,FALSE)</f>
        <v>#N/A</v>
      </c>
      <c r="AB1747" s="128" t="str">
        <f>+MID(Tabla3[[#This Row],['# Viaje]],10,1)</f>
        <v/>
      </c>
    </row>
    <row r="1748" spans="1:28" ht="15" customHeight="1">
      <c r="A1748" s="38" t="s">
        <v>1787</v>
      </c>
      <c r="B1748" s="39">
        <v>42951</v>
      </c>
      <c r="C1748" s="38" t="s">
        <v>1231</v>
      </c>
      <c r="D1748" s="38" t="s">
        <v>1478</v>
      </c>
      <c r="E1748" s="38" t="s">
        <v>1232</v>
      </c>
      <c r="F1748" s="38">
        <v>3</v>
      </c>
      <c r="G1748" s="38" t="s">
        <v>108</v>
      </c>
      <c r="H1748" s="38">
        <v>3</v>
      </c>
      <c r="I1748" s="38" t="s">
        <v>1788</v>
      </c>
      <c r="J1748" s="38" t="s">
        <v>1428</v>
      </c>
      <c r="K1748" s="38" t="s">
        <v>1429</v>
      </c>
      <c r="L1748" s="39"/>
      <c r="M1748" s="38" t="s">
        <v>56</v>
      </c>
      <c r="N1748" s="38">
        <v>814006664</v>
      </c>
      <c r="O1748" s="40">
        <v>3067227</v>
      </c>
      <c r="P1748" s="7"/>
      <c r="Q1748" s="16">
        <f>+IF(IFERROR(VLOOKUP(Tabla3[[#This Row],[Cliente factura]],Tabla4[[NIT]:[TOTAL CREDITO]],3,FALSE),0)="",0,IFERROR(VLOOKUP(Tabla3[[#This Row],[Cliente factura]],Tabla4[[NIT]:[TOTAL CREDITO]],3,FALSE),0))</f>
        <v>211189076</v>
      </c>
      <c r="R1748" s="9">
        <f>+IFERROR(VLOOKUP(Tabla3[[#This Row],[Cliente factura]],Tabla4[[NIT]:[TOTAL CREDITO]],6,FALSE),0)</f>
        <v>0</v>
      </c>
      <c r="S1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8" s="10" t="str">
        <f>VLOOKUP(Tabla3[[#This Row],[Razón social cliente factura]]&amp;Tabla3[[#This Row],[Desc. ciudad]],'Estandar de Rutas'!$C$1:$E$553,2,FALSE)</f>
        <v>2.2</v>
      </c>
      <c r="U1748" s="130">
        <f>IFERROR(VLOOKUP(Tabla3[[#This Row],[Referencia]]&amp;Tabla3[[#This Row],[Desc detalle ext 1]],Tabla1[[Referencia-Color]:[Disponibilidad]],3,FALSE),0)</f>
        <v>0</v>
      </c>
      <c r="V1748" s="13"/>
      <c r="W1748" s="17">
        <f>+Tabla3[[#This Row],[Cant. Programada]]*Tabla3[[#This Row],[Precio unit]]</f>
        <v>0</v>
      </c>
      <c r="X1748" s="8"/>
      <c r="Y1748" s="8"/>
      <c r="Z1748" s="8" t="str">
        <f>+Tabla3[[#This Row],[Referencia]]&amp;Tabla3[[#This Row],[Desc detalle ext 1]]</f>
        <v>DREAM  NEO                                        NEGRO AZU</v>
      </c>
      <c r="AA1748" s="128" t="e">
        <f>+VLOOKUP(Tabla3[[#This Row],[CODIGO2]],ESTANDAR!$B$3:$C$9,2,FALSE)</f>
        <v>#N/A</v>
      </c>
      <c r="AB1748" s="128" t="str">
        <f>+MID(Tabla3[[#This Row],['# Viaje]],10,1)</f>
        <v/>
      </c>
    </row>
    <row r="1749" spans="1:28" ht="15" customHeight="1">
      <c r="A1749" s="38" t="s">
        <v>1787</v>
      </c>
      <c r="B1749" s="39">
        <v>42951</v>
      </c>
      <c r="C1749" s="38" t="s">
        <v>1231</v>
      </c>
      <c r="D1749" s="38" t="s">
        <v>1478</v>
      </c>
      <c r="E1749" s="38" t="s">
        <v>1232</v>
      </c>
      <c r="F1749" s="38">
        <v>2</v>
      </c>
      <c r="G1749" s="38" t="s">
        <v>108</v>
      </c>
      <c r="H1749" s="38">
        <v>2</v>
      </c>
      <c r="I1749" s="38" t="s">
        <v>1788</v>
      </c>
      <c r="J1749" s="38" t="s">
        <v>1428</v>
      </c>
      <c r="K1749" s="38" t="s">
        <v>32</v>
      </c>
      <c r="L1749" s="39"/>
      <c r="M1749" s="38" t="s">
        <v>56</v>
      </c>
      <c r="N1749" s="38">
        <v>814006664</v>
      </c>
      <c r="O1749" s="40">
        <v>3067227</v>
      </c>
      <c r="P1749" s="7"/>
      <c r="Q1749" s="16">
        <f>+IF(IFERROR(VLOOKUP(Tabla3[[#This Row],[Cliente factura]],Tabla4[[NIT]:[TOTAL CREDITO]],3,FALSE),0)="",0,IFERROR(VLOOKUP(Tabla3[[#This Row],[Cliente factura]],Tabla4[[NIT]:[TOTAL CREDITO]],3,FALSE),0))</f>
        <v>211189076</v>
      </c>
      <c r="R1749" s="9">
        <f>+IFERROR(VLOOKUP(Tabla3[[#This Row],[Cliente factura]],Tabla4[[NIT]:[TOTAL CREDITO]],6,FALSE),0)</f>
        <v>0</v>
      </c>
      <c r="S1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9" s="10" t="str">
        <f>VLOOKUP(Tabla3[[#This Row],[Razón social cliente factura]]&amp;Tabla3[[#This Row],[Desc. ciudad]],'Estandar de Rutas'!$C$1:$E$553,2,FALSE)</f>
        <v>2.2</v>
      </c>
      <c r="U1749" s="130">
        <f>IFERROR(VLOOKUP(Tabla3[[#This Row],[Referencia]]&amp;Tabla3[[#This Row],[Desc detalle ext 1]],Tabla1[[Referencia-Color]:[Disponibilidad]],3,FALSE),0)</f>
        <v>0</v>
      </c>
      <c r="V1749" s="13"/>
      <c r="W1749" s="17">
        <f>+Tabla3[[#This Row],[Cant. Programada]]*Tabla3[[#This Row],[Precio unit]]</f>
        <v>0</v>
      </c>
      <c r="X1749" s="8"/>
      <c r="Y1749" s="8"/>
      <c r="Z1749" s="8" t="str">
        <f>+Tabla3[[#This Row],[Referencia]]&amp;Tabla3[[#This Row],[Desc detalle ext 1]]</f>
        <v>DREAM  NEO                                        NEGRO ROJ</v>
      </c>
      <c r="AA1749" s="128" t="e">
        <f>+VLOOKUP(Tabla3[[#This Row],[CODIGO2]],ESTANDAR!$B$3:$C$9,2,FALSE)</f>
        <v>#N/A</v>
      </c>
      <c r="AB1749" s="128" t="str">
        <f>+MID(Tabla3[[#This Row],['# Viaje]],10,1)</f>
        <v/>
      </c>
    </row>
    <row r="1750" spans="1:28" ht="15" customHeight="1">
      <c r="A1750" s="38" t="s">
        <v>1787</v>
      </c>
      <c r="B1750" s="39">
        <v>42951</v>
      </c>
      <c r="C1750" s="38" t="s">
        <v>1231</v>
      </c>
      <c r="D1750" s="38" t="s">
        <v>1478</v>
      </c>
      <c r="E1750" s="38" t="s">
        <v>1232</v>
      </c>
      <c r="F1750" s="38">
        <v>1</v>
      </c>
      <c r="G1750" s="38" t="s">
        <v>108</v>
      </c>
      <c r="H1750" s="38">
        <v>1</v>
      </c>
      <c r="I1750" s="38" t="s">
        <v>1788</v>
      </c>
      <c r="J1750" s="38" t="s">
        <v>1430</v>
      </c>
      <c r="K1750" s="38" t="s">
        <v>1431</v>
      </c>
      <c r="L1750" s="39"/>
      <c r="M1750" s="38" t="s">
        <v>56</v>
      </c>
      <c r="N1750" s="38">
        <v>814006664</v>
      </c>
      <c r="O1750" s="40">
        <v>3941176</v>
      </c>
      <c r="P1750" s="7"/>
      <c r="Q1750" s="16">
        <f>+IF(IFERROR(VLOOKUP(Tabla3[[#This Row],[Cliente factura]],Tabla4[[NIT]:[TOTAL CREDITO]],3,FALSE),0)="",0,IFERROR(VLOOKUP(Tabla3[[#This Row],[Cliente factura]],Tabla4[[NIT]:[TOTAL CREDITO]],3,FALSE),0))</f>
        <v>211189076</v>
      </c>
      <c r="R1750" s="9">
        <f>+IFERROR(VLOOKUP(Tabla3[[#This Row],[Cliente factura]],Tabla4[[NIT]:[TOTAL CREDITO]],6,FALSE),0)</f>
        <v>0</v>
      </c>
      <c r="S1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0" s="10" t="str">
        <f>VLOOKUP(Tabla3[[#This Row],[Razón social cliente factura]]&amp;Tabla3[[#This Row],[Desc. ciudad]],'Estandar de Rutas'!$C$1:$E$553,2,FALSE)</f>
        <v>2.2</v>
      </c>
      <c r="U1750" s="130">
        <f>IFERROR(VLOOKUP(Tabla3[[#This Row],[Referencia]]&amp;Tabla3[[#This Row],[Desc detalle ext 1]],Tabla1[[Referencia-Color]:[Disponibilidad]],3,FALSE),0)</f>
        <v>0</v>
      </c>
      <c r="V1750" s="13"/>
      <c r="W1750" s="17">
        <f>+Tabla3[[#This Row],[Cant. Programada]]*Tabla3[[#This Row],[Precio unit]]</f>
        <v>0</v>
      </c>
      <c r="X1750" s="8"/>
      <c r="Y1750" s="8"/>
      <c r="Z1750" s="8" t="str">
        <f>+Tabla3[[#This Row],[Referencia]]&amp;Tabla3[[#This Row],[Desc detalle ext 1]]</f>
        <v xml:space="preserve">WAVE 110S                                         ROJO     </v>
      </c>
      <c r="AA1750" s="128" t="e">
        <f>+VLOOKUP(Tabla3[[#This Row],[CODIGO2]],ESTANDAR!$B$3:$C$9,2,FALSE)</f>
        <v>#N/A</v>
      </c>
      <c r="AB1750" s="128" t="str">
        <f>+MID(Tabla3[[#This Row],['# Viaje]],10,1)</f>
        <v/>
      </c>
    </row>
    <row r="1751" spans="1:28" ht="15" customHeight="1">
      <c r="A1751" s="38" t="s">
        <v>1787</v>
      </c>
      <c r="B1751" s="39">
        <v>42951</v>
      </c>
      <c r="C1751" s="38" t="s">
        <v>1231</v>
      </c>
      <c r="D1751" s="38" t="s">
        <v>1478</v>
      </c>
      <c r="E1751" s="38" t="s">
        <v>1232</v>
      </c>
      <c r="F1751" s="38">
        <v>1</v>
      </c>
      <c r="G1751" s="38" t="s">
        <v>108</v>
      </c>
      <c r="H1751" s="38">
        <v>1</v>
      </c>
      <c r="I1751" s="38" t="s">
        <v>1788</v>
      </c>
      <c r="J1751" s="38" t="s">
        <v>1430</v>
      </c>
      <c r="K1751" s="38" t="s">
        <v>16</v>
      </c>
      <c r="L1751" s="39"/>
      <c r="M1751" s="38" t="s">
        <v>56</v>
      </c>
      <c r="N1751" s="38">
        <v>814006664</v>
      </c>
      <c r="O1751" s="40">
        <v>3941176</v>
      </c>
      <c r="P1751" s="7"/>
      <c r="Q1751" s="16">
        <f>+IF(IFERROR(VLOOKUP(Tabla3[[#This Row],[Cliente factura]],Tabla4[[NIT]:[TOTAL CREDITO]],3,FALSE),0)="",0,IFERROR(VLOOKUP(Tabla3[[#This Row],[Cliente factura]],Tabla4[[NIT]:[TOTAL CREDITO]],3,FALSE),0))</f>
        <v>211189076</v>
      </c>
      <c r="R1751" s="9">
        <f>+IFERROR(VLOOKUP(Tabla3[[#This Row],[Cliente factura]],Tabla4[[NIT]:[TOTAL CREDITO]],6,FALSE),0)</f>
        <v>0</v>
      </c>
      <c r="S1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1" s="10" t="str">
        <f>VLOOKUP(Tabla3[[#This Row],[Razón social cliente factura]]&amp;Tabla3[[#This Row],[Desc. ciudad]],'Estandar de Rutas'!$C$1:$E$553,2,FALSE)</f>
        <v>2.2</v>
      </c>
      <c r="U1751" s="130">
        <f>IFERROR(VLOOKUP(Tabla3[[#This Row],[Referencia]]&amp;Tabla3[[#This Row],[Desc detalle ext 1]],Tabla1[[Referencia-Color]:[Disponibilidad]],3,FALSE),0)</f>
        <v>0</v>
      </c>
      <c r="V1751" s="13"/>
      <c r="W1751" s="17">
        <f>+Tabla3[[#This Row],[Cant. Programada]]*Tabla3[[#This Row],[Precio unit]]</f>
        <v>0</v>
      </c>
      <c r="X1751" s="8"/>
      <c r="Y1751" s="8"/>
      <c r="Z1751" s="8" t="str">
        <f>+Tabla3[[#This Row],[Referencia]]&amp;Tabla3[[#This Row],[Desc detalle ext 1]]</f>
        <v xml:space="preserve">WAVE 110S                                         NEGRO    </v>
      </c>
      <c r="AA1751" s="128" t="e">
        <f>+VLOOKUP(Tabla3[[#This Row],[CODIGO2]],ESTANDAR!$B$3:$C$9,2,FALSE)</f>
        <v>#N/A</v>
      </c>
      <c r="AB1751" s="128" t="str">
        <f>+MID(Tabla3[[#This Row],['# Viaje]],10,1)</f>
        <v/>
      </c>
    </row>
    <row r="1752" spans="1:28" ht="15" customHeight="1">
      <c r="A1752" s="38" t="s">
        <v>1787</v>
      </c>
      <c r="B1752" s="39">
        <v>42951</v>
      </c>
      <c r="C1752" s="38" t="s">
        <v>1231</v>
      </c>
      <c r="D1752" s="38" t="s">
        <v>1478</v>
      </c>
      <c r="E1752" s="38" t="s">
        <v>1232</v>
      </c>
      <c r="F1752" s="38">
        <v>1</v>
      </c>
      <c r="G1752" s="38" t="s">
        <v>108</v>
      </c>
      <c r="H1752" s="38">
        <v>1</v>
      </c>
      <c r="I1752" s="38" t="s">
        <v>1788</v>
      </c>
      <c r="J1752" s="38" t="s">
        <v>1430</v>
      </c>
      <c r="K1752" s="38" t="s">
        <v>1432</v>
      </c>
      <c r="L1752" s="39"/>
      <c r="M1752" s="38" t="s">
        <v>56</v>
      </c>
      <c r="N1752" s="38">
        <v>814006664</v>
      </c>
      <c r="O1752" s="40">
        <v>3941176</v>
      </c>
      <c r="P1752" s="7"/>
      <c r="Q1752" s="16">
        <f>+IF(IFERROR(VLOOKUP(Tabla3[[#This Row],[Cliente factura]],Tabla4[[NIT]:[TOTAL CREDITO]],3,FALSE),0)="",0,IFERROR(VLOOKUP(Tabla3[[#This Row],[Cliente factura]],Tabla4[[NIT]:[TOTAL CREDITO]],3,FALSE),0))</f>
        <v>211189076</v>
      </c>
      <c r="R1752" s="9">
        <f>+IFERROR(VLOOKUP(Tabla3[[#This Row],[Cliente factura]],Tabla4[[NIT]:[TOTAL CREDITO]],6,FALSE),0)</f>
        <v>0</v>
      </c>
      <c r="S1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2" s="10" t="str">
        <f>VLOOKUP(Tabla3[[#This Row],[Razón social cliente factura]]&amp;Tabla3[[#This Row],[Desc. ciudad]],'Estandar de Rutas'!$C$1:$E$553,2,FALSE)</f>
        <v>2.2</v>
      </c>
      <c r="U1752" s="130">
        <f>IFERROR(VLOOKUP(Tabla3[[#This Row],[Referencia]]&amp;Tabla3[[#This Row],[Desc detalle ext 1]],Tabla1[[Referencia-Color]:[Disponibilidad]],3,FALSE),0)</f>
        <v>23</v>
      </c>
      <c r="V1752" s="13"/>
      <c r="W1752" s="17">
        <f>+Tabla3[[#This Row],[Cant. Programada]]*Tabla3[[#This Row],[Precio unit]]</f>
        <v>0</v>
      </c>
      <c r="X1752" s="8"/>
      <c r="Y1752" s="8"/>
      <c r="Z1752" s="8" t="str">
        <f>+Tabla3[[#This Row],[Referencia]]&amp;Tabla3[[#This Row],[Desc detalle ext 1]]</f>
        <v xml:space="preserve">WAVE 110S                                         BLANCO   </v>
      </c>
      <c r="AA1752" s="128" t="e">
        <f>+VLOOKUP(Tabla3[[#This Row],[CODIGO2]],ESTANDAR!$B$3:$C$9,2,FALSE)</f>
        <v>#N/A</v>
      </c>
      <c r="AB1752" s="128" t="str">
        <f>+MID(Tabla3[[#This Row],['# Viaje]],10,1)</f>
        <v/>
      </c>
    </row>
    <row r="1753" spans="1:28" ht="15" customHeight="1">
      <c r="A1753" s="38" t="s">
        <v>1787</v>
      </c>
      <c r="B1753" s="39">
        <v>42951</v>
      </c>
      <c r="C1753" s="38" t="s">
        <v>1231</v>
      </c>
      <c r="D1753" s="38" t="s">
        <v>1478</v>
      </c>
      <c r="E1753" s="38" t="s">
        <v>1232</v>
      </c>
      <c r="F1753" s="38">
        <v>2</v>
      </c>
      <c r="G1753" s="38" t="s">
        <v>108</v>
      </c>
      <c r="H1753" s="38">
        <v>2</v>
      </c>
      <c r="I1753" s="38" t="s">
        <v>1788</v>
      </c>
      <c r="J1753" s="38" t="s">
        <v>1451</v>
      </c>
      <c r="K1753" s="38" t="s">
        <v>1449</v>
      </c>
      <c r="L1753" s="39"/>
      <c r="M1753" s="38" t="s">
        <v>56</v>
      </c>
      <c r="N1753" s="38">
        <v>814006664</v>
      </c>
      <c r="O1753" s="40">
        <v>3696639</v>
      </c>
      <c r="P1753" s="7"/>
      <c r="Q1753" s="16">
        <f>+IF(IFERROR(VLOOKUP(Tabla3[[#This Row],[Cliente factura]],Tabla4[[NIT]:[TOTAL CREDITO]],3,FALSE),0)="",0,IFERROR(VLOOKUP(Tabla3[[#This Row],[Cliente factura]],Tabla4[[NIT]:[TOTAL CREDITO]],3,FALSE),0))</f>
        <v>211189076</v>
      </c>
      <c r="R1753" s="9">
        <f>+IFERROR(VLOOKUP(Tabla3[[#This Row],[Cliente factura]],Tabla4[[NIT]:[TOTAL CREDITO]],6,FALSE),0)</f>
        <v>0</v>
      </c>
      <c r="S1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3" s="10" t="str">
        <f>VLOOKUP(Tabla3[[#This Row],[Razón social cliente factura]]&amp;Tabla3[[#This Row],[Desc. ciudad]],'Estandar de Rutas'!$C$1:$E$553,2,FALSE)</f>
        <v>2.2</v>
      </c>
      <c r="U1753" s="130">
        <f>IFERROR(VLOOKUP(Tabla3[[#This Row],[Referencia]]&amp;Tabla3[[#This Row],[Desc detalle ext 1]],Tabla1[[Referencia-Color]:[Disponibilidad]],3,FALSE),0)</f>
        <v>24</v>
      </c>
      <c r="V1753" s="13"/>
      <c r="W1753" s="17">
        <f>+Tabla3[[#This Row],[Cant. Programada]]*Tabla3[[#This Row],[Precio unit]]</f>
        <v>0</v>
      </c>
      <c r="X1753" s="8"/>
      <c r="Y1753" s="8"/>
      <c r="Z1753" s="8" t="str">
        <f>+Tabla3[[#This Row],[Referencia]]&amp;Tabla3[[#This Row],[Desc detalle ext 1]]</f>
        <v xml:space="preserve">CB 110 DLX                                        GRIS     </v>
      </c>
      <c r="AA1753" s="128" t="e">
        <f>+VLOOKUP(Tabla3[[#This Row],[CODIGO2]],ESTANDAR!$B$3:$C$9,2,FALSE)</f>
        <v>#N/A</v>
      </c>
      <c r="AB1753" s="128" t="str">
        <f>+MID(Tabla3[[#This Row],['# Viaje]],10,1)</f>
        <v/>
      </c>
    </row>
    <row r="1754" spans="1:28" ht="15" customHeight="1">
      <c r="A1754" s="38" t="s">
        <v>1787</v>
      </c>
      <c r="B1754" s="39">
        <v>42951</v>
      </c>
      <c r="C1754" s="38" t="s">
        <v>1231</v>
      </c>
      <c r="D1754" s="38" t="s">
        <v>1478</v>
      </c>
      <c r="E1754" s="38" t="s">
        <v>1232</v>
      </c>
      <c r="F1754" s="38">
        <v>2</v>
      </c>
      <c r="G1754" s="38" t="s">
        <v>108</v>
      </c>
      <c r="H1754" s="38">
        <v>2</v>
      </c>
      <c r="I1754" s="38" t="s">
        <v>1788</v>
      </c>
      <c r="J1754" s="38" t="s">
        <v>1451</v>
      </c>
      <c r="K1754" s="38" t="s">
        <v>1452</v>
      </c>
      <c r="L1754" s="39"/>
      <c r="M1754" s="38" t="s">
        <v>56</v>
      </c>
      <c r="N1754" s="38">
        <v>814006664</v>
      </c>
      <c r="O1754" s="40">
        <v>3696639</v>
      </c>
      <c r="P1754" s="7"/>
      <c r="Q1754" s="16">
        <f>+IF(IFERROR(VLOOKUP(Tabla3[[#This Row],[Cliente factura]],Tabla4[[NIT]:[TOTAL CREDITO]],3,FALSE),0)="",0,IFERROR(VLOOKUP(Tabla3[[#This Row],[Cliente factura]],Tabla4[[NIT]:[TOTAL CREDITO]],3,FALSE),0))</f>
        <v>211189076</v>
      </c>
      <c r="R1754" s="9">
        <f>+IFERROR(VLOOKUP(Tabla3[[#This Row],[Cliente factura]],Tabla4[[NIT]:[TOTAL CREDITO]],6,FALSE),0)</f>
        <v>0</v>
      </c>
      <c r="S1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4" s="10" t="str">
        <f>VLOOKUP(Tabla3[[#This Row],[Razón social cliente factura]]&amp;Tabla3[[#This Row],[Desc. ciudad]],'Estandar de Rutas'!$C$1:$E$553,2,FALSE)</f>
        <v>2.2</v>
      </c>
      <c r="U1754" s="130">
        <f>IFERROR(VLOOKUP(Tabla3[[#This Row],[Referencia]]&amp;Tabla3[[#This Row],[Desc detalle ext 1]],Tabla1[[Referencia-Color]:[Disponibilidad]],3,FALSE),0)</f>
        <v>21</v>
      </c>
      <c r="V1754" s="13"/>
      <c r="W1754" s="17">
        <f>+Tabla3[[#This Row],[Cant. Programada]]*Tabla3[[#This Row],[Precio unit]]</f>
        <v>0</v>
      </c>
      <c r="X1754" s="8"/>
      <c r="Y1754" s="8"/>
      <c r="Z1754" s="8" t="str">
        <f>+Tabla3[[#This Row],[Referencia]]&amp;Tabla3[[#This Row],[Desc detalle ext 1]]</f>
        <v xml:space="preserve">CB 110 DLX                                        AZUL     </v>
      </c>
      <c r="AA1754" s="128" t="e">
        <f>+VLOOKUP(Tabla3[[#This Row],[CODIGO2]],ESTANDAR!$B$3:$C$9,2,FALSE)</f>
        <v>#N/A</v>
      </c>
      <c r="AB1754" s="128" t="str">
        <f>+MID(Tabla3[[#This Row],['# Viaje]],10,1)</f>
        <v/>
      </c>
    </row>
    <row r="1755" spans="1:28" ht="15" customHeight="1">
      <c r="A1755" s="38" t="s">
        <v>1787</v>
      </c>
      <c r="B1755" s="39">
        <v>42951</v>
      </c>
      <c r="C1755" s="38" t="s">
        <v>1231</v>
      </c>
      <c r="D1755" s="38" t="s">
        <v>1478</v>
      </c>
      <c r="E1755" s="38" t="s">
        <v>1232</v>
      </c>
      <c r="F1755" s="38">
        <v>3</v>
      </c>
      <c r="G1755" s="38" t="s">
        <v>108</v>
      </c>
      <c r="H1755" s="38">
        <v>3</v>
      </c>
      <c r="I1755" s="38" t="s">
        <v>1788</v>
      </c>
      <c r="J1755" s="38" t="s">
        <v>1451</v>
      </c>
      <c r="K1755" s="38" t="s">
        <v>16</v>
      </c>
      <c r="L1755" s="39"/>
      <c r="M1755" s="38" t="s">
        <v>56</v>
      </c>
      <c r="N1755" s="38">
        <v>814006664</v>
      </c>
      <c r="O1755" s="40">
        <v>3696639</v>
      </c>
      <c r="P1755" s="7"/>
      <c r="Q1755" s="16">
        <f>+IF(IFERROR(VLOOKUP(Tabla3[[#This Row],[Cliente factura]],Tabla4[[NIT]:[TOTAL CREDITO]],3,FALSE),0)="",0,IFERROR(VLOOKUP(Tabla3[[#This Row],[Cliente factura]],Tabla4[[NIT]:[TOTAL CREDITO]],3,FALSE),0))</f>
        <v>211189076</v>
      </c>
      <c r="R1755" s="9">
        <f>+IFERROR(VLOOKUP(Tabla3[[#This Row],[Cliente factura]],Tabla4[[NIT]:[TOTAL CREDITO]],6,FALSE),0)</f>
        <v>0</v>
      </c>
      <c r="S1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5" s="10" t="str">
        <f>VLOOKUP(Tabla3[[#This Row],[Razón social cliente factura]]&amp;Tabla3[[#This Row],[Desc. ciudad]],'Estandar de Rutas'!$C$1:$E$553,2,FALSE)</f>
        <v>2.2</v>
      </c>
      <c r="U1755" s="130">
        <f>IFERROR(VLOOKUP(Tabla3[[#This Row],[Referencia]]&amp;Tabla3[[#This Row],[Desc detalle ext 1]],Tabla1[[Referencia-Color]:[Disponibilidad]],3,FALSE),0)</f>
        <v>3</v>
      </c>
      <c r="V1755" s="13"/>
      <c r="W1755" s="17">
        <f>+Tabla3[[#This Row],[Cant. Programada]]*Tabla3[[#This Row],[Precio unit]]</f>
        <v>0</v>
      </c>
      <c r="X1755" s="8"/>
      <c r="Y1755" s="8"/>
      <c r="Z1755" s="8" t="str">
        <f>+Tabla3[[#This Row],[Referencia]]&amp;Tabla3[[#This Row],[Desc detalle ext 1]]</f>
        <v xml:space="preserve">CB 110 DLX                                        NEGRO    </v>
      </c>
      <c r="AA1755" s="128" t="e">
        <f>+VLOOKUP(Tabla3[[#This Row],[CODIGO2]],ESTANDAR!$B$3:$C$9,2,FALSE)</f>
        <v>#N/A</v>
      </c>
      <c r="AB1755" s="128" t="str">
        <f>+MID(Tabla3[[#This Row],['# Viaje]],10,1)</f>
        <v/>
      </c>
    </row>
    <row r="1756" spans="1:28" ht="15" hidden="1" customHeight="1">
      <c r="A1756" s="38" t="s">
        <v>1789</v>
      </c>
      <c r="B1756" s="39">
        <v>42951</v>
      </c>
      <c r="C1756" s="38" t="s">
        <v>1231</v>
      </c>
      <c r="D1756" s="38" t="s">
        <v>1487</v>
      </c>
      <c r="E1756" s="38" t="s">
        <v>1479</v>
      </c>
      <c r="F1756" s="38">
        <v>1</v>
      </c>
      <c r="G1756" s="38" t="s">
        <v>231</v>
      </c>
      <c r="H1756" s="38">
        <v>1</v>
      </c>
      <c r="I1756" s="38" t="s">
        <v>231</v>
      </c>
      <c r="J1756" s="38" t="s">
        <v>1421</v>
      </c>
      <c r="K1756" s="38" t="s">
        <v>1422</v>
      </c>
      <c r="L1756" s="39"/>
      <c r="M1756" s="38" t="s">
        <v>232</v>
      </c>
      <c r="N1756" s="38">
        <v>900929001</v>
      </c>
      <c r="O1756" s="40">
        <v>11496063</v>
      </c>
      <c r="P1756" s="7"/>
      <c r="Q1756" s="16">
        <f>+IF(IFERROR(VLOOKUP(Tabla3[[#This Row],[Cliente factura]],Tabla4[[NIT]:[TOTAL CREDITO]],3,FALSE),0)="",0,IFERROR(VLOOKUP(Tabla3[[#This Row],[Cliente factura]],Tabla4[[NIT]:[TOTAL CREDITO]],3,FALSE),0))</f>
        <v>26693551</v>
      </c>
      <c r="R1756" s="9">
        <f>+IFERROR(VLOOKUP(Tabla3[[#This Row],[Cliente factura]],Tabla4[[NIT]:[TOTAL CREDITO]],6,FALSE),0)</f>
        <v>0</v>
      </c>
      <c r="S1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6" s="10" t="str">
        <f>VLOOKUP(Tabla3[[#This Row],[Razón social cliente factura]]&amp;Tabla3[[#This Row],[Desc. ciudad]],'Estandar de Rutas'!$C$1:$E$553,2,FALSE)</f>
        <v>6.4</v>
      </c>
      <c r="U1756" s="130">
        <f>IFERROR(VLOOKUP(Tabla3[[#This Row],[Referencia]]&amp;Tabla3[[#This Row],[Desc detalle ext 1]],Tabla1[[Referencia-Color]:[Disponibilidad]],3,FALSE),0)</f>
        <v>13</v>
      </c>
      <c r="V1756" s="13"/>
      <c r="W1756" s="17">
        <f>+Tabla3[[#This Row],[Cant. Programada]]*Tabla3[[#This Row],[Precio unit]]</f>
        <v>0</v>
      </c>
      <c r="X1756" s="8"/>
      <c r="Y1756" s="8"/>
      <c r="Z1756" s="8" t="str">
        <f>+Tabla3[[#This Row],[Referencia]]&amp;Tabla3[[#This Row],[Desc detalle ext 1]]</f>
        <v>*XR-250 TORNADO pt MD34                           ROJO BLAN</v>
      </c>
      <c r="AA1756" s="128" t="e">
        <f>+VLOOKUP(Tabla3[[#This Row],[CODIGO2]],ESTANDAR!$B$3:$C$9,2,FALSE)</f>
        <v>#N/A</v>
      </c>
      <c r="AB1756" s="128" t="str">
        <f>+MID(Tabla3[[#This Row],['# Viaje]],10,1)</f>
        <v/>
      </c>
    </row>
    <row r="1757" spans="1:28" ht="15" hidden="1" customHeight="1">
      <c r="A1757" s="38" t="s">
        <v>1790</v>
      </c>
      <c r="B1757" s="39">
        <v>42948</v>
      </c>
      <c r="C1757" s="38" t="s">
        <v>1231</v>
      </c>
      <c r="D1757" s="38" t="s">
        <v>1237</v>
      </c>
      <c r="E1757" s="38" t="s">
        <v>1232</v>
      </c>
      <c r="F1757" s="38">
        <v>1</v>
      </c>
      <c r="G1757" s="38" t="s">
        <v>189</v>
      </c>
      <c r="H1757" s="38">
        <v>1</v>
      </c>
      <c r="I1757" s="38" t="s">
        <v>1463</v>
      </c>
      <c r="J1757" s="38" t="s">
        <v>1439</v>
      </c>
      <c r="K1757" s="38" t="s">
        <v>1455</v>
      </c>
      <c r="L1757" s="39"/>
      <c r="M1757" s="38" t="s">
        <v>184</v>
      </c>
      <c r="N1757" s="38">
        <v>860062808</v>
      </c>
      <c r="O1757" s="40">
        <v>9210084</v>
      </c>
      <c r="P1757" s="7"/>
      <c r="Q17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7" s="9">
        <f>+IFERROR(VLOOKUP(Tabla3[[#This Row],[Cliente factura]],Tabla4[[NIT]:[TOTAL CREDITO]],6,FALSE),0)</f>
        <v>0</v>
      </c>
      <c r="S1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7" s="10" t="str">
        <f>VLOOKUP(Tabla3[[#This Row],[Razón social cliente factura]]&amp;Tabla3[[#This Row],[Desc. ciudad]],'Estandar de Rutas'!$C$1:$E$553,2,FALSE)</f>
        <v>7.2</v>
      </c>
      <c r="U1757" s="130">
        <f>IFERROR(VLOOKUP(Tabla3[[#This Row],[Referencia]]&amp;Tabla3[[#This Row],[Desc detalle ext 1]],Tabla1[[Referencia-Color]:[Disponibilidad]],3,FALSE),0)</f>
        <v>0</v>
      </c>
      <c r="V1757" s="13"/>
      <c r="W1757" s="17">
        <f>+Tabla3[[#This Row],[Cant. Programada]]*Tabla3[[#This Row],[Precio unit]]</f>
        <v>0</v>
      </c>
      <c r="X1757" s="8"/>
      <c r="Y1757" s="8"/>
      <c r="Z1757" s="8" t="str">
        <f>+Tabla3[[#This Row],[Referencia]]&amp;Tabla3[[#This Row],[Desc detalle ext 1]]</f>
        <v xml:space="preserve">XRE 190                                           VERDE    </v>
      </c>
      <c r="AA1757" s="128" t="e">
        <f>+VLOOKUP(Tabla3[[#This Row],[CODIGO2]],ESTANDAR!$B$3:$C$9,2,FALSE)</f>
        <v>#N/A</v>
      </c>
      <c r="AB1757" s="128" t="str">
        <f>+MID(Tabla3[[#This Row],['# Viaje]],10,1)</f>
        <v/>
      </c>
    </row>
    <row r="1758" spans="1:28" ht="15" hidden="1" customHeight="1">
      <c r="A1758" s="38" t="s">
        <v>1791</v>
      </c>
      <c r="B1758" s="39">
        <v>42948</v>
      </c>
      <c r="C1758" s="38" t="s">
        <v>1231</v>
      </c>
      <c r="D1758" s="38" t="s">
        <v>1237</v>
      </c>
      <c r="E1758" s="38" t="s">
        <v>1232</v>
      </c>
      <c r="F1758" s="38">
        <v>1</v>
      </c>
      <c r="G1758" s="38" t="s">
        <v>189</v>
      </c>
      <c r="H1758" s="38">
        <v>1</v>
      </c>
      <c r="I1758" s="38" t="s">
        <v>1465</v>
      </c>
      <c r="J1758" s="38" t="s">
        <v>1448</v>
      </c>
      <c r="K1758" s="38" t="s">
        <v>1450</v>
      </c>
      <c r="L1758" s="39"/>
      <c r="M1758" s="38" t="s">
        <v>184</v>
      </c>
      <c r="N1758" s="38">
        <v>860062808</v>
      </c>
      <c r="O1758" s="40">
        <v>7352941</v>
      </c>
      <c r="P1758" s="7"/>
      <c r="Q17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8" s="9">
        <f>+IFERROR(VLOOKUP(Tabla3[[#This Row],[Cliente factura]],Tabla4[[NIT]:[TOTAL CREDITO]],6,FALSE),0)</f>
        <v>0</v>
      </c>
      <c r="S1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8" s="10" t="str">
        <f>VLOOKUP(Tabla3[[#This Row],[Razón social cliente factura]]&amp;Tabla3[[#This Row],[Desc. ciudad]],'Estandar de Rutas'!$C$1:$E$553,2,FALSE)</f>
        <v>7.2</v>
      </c>
      <c r="U1758" s="130">
        <f>IFERROR(VLOOKUP(Tabla3[[#This Row],[Referencia]]&amp;Tabla3[[#This Row],[Desc detalle ext 1]],Tabla1[[Referencia-Color]:[Disponibilidad]],3,FALSE),0)</f>
        <v>61</v>
      </c>
      <c r="V1758" s="13"/>
      <c r="W1758" s="17">
        <f>+Tabla3[[#This Row],[Cant. Programada]]*Tabla3[[#This Row],[Precio unit]]</f>
        <v>0</v>
      </c>
      <c r="X1758" s="8"/>
      <c r="Y1758" s="8"/>
      <c r="Z1758" s="8" t="str">
        <f>+Tabla3[[#This Row],[Referencia]]&amp;Tabla3[[#This Row],[Desc detalle ext 1]]</f>
        <v xml:space="preserve">PCX 150                                           PLATEADO </v>
      </c>
      <c r="AA1758" s="128" t="e">
        <f>+VLOOKUP(Tabla3[[#This Row],[CODIGO2]],ESTANDAR!$B$3:$C$9,2,FALSE)</f>
        <v>#N/A</v>
      </c>
      <c r="AB1758" s="128" t="str">
        <f>+MID(Tabla3[[#This Row],['# Viaje]],10,1)</f>
        <v/>
      </c>
    </row>
    <row r="1759" spans="1:28" ht="15" hidden="1" customHeight="1">
      <c r="A1759" s="38" t="s">
        <v>1791</v>
      </c>
      <c r="B1759" s="39">
        <v>42948</v>
      </c>
      <c r="C1759" s="38" t="s">
        <v>1231</v>
      </c>
      <c r="D1759" s="38" t="s">
        <v>1237</v>
      </c>
      <c r="E1759" s="38" t="s">
        <v>1232</v>
      </c>
      <c r="F1759" s="38">
        <v>1</v>
      </c>
      <c r="G1759" s="38" t="s">
        <v>189</v>
      </c>
      <c r="H1759" s="38">
        <v>1</v>
      </c>
      <c r="I1759" s="38" t="s">
        <v>1465</v>
      </c>
      <c r="J1759" s="38" t="s">
        <v>1435</v>
      </c>
      <c r="K1759" s="38" t="s">
        <v>1431</v>
      </c>
      <c r="L1759" s="39"/>
      <c r="M1759" s="38" t="s">
        <v>184</v>
      </c>
      <c r="N1759" s="38">
        <v>860062808</v>
      </c>
      <c r="O1759" s="40">
        <v>10228346</v>
      </c>
      <c r="P1759" s="7"/>
      <c r="Q17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9" s="9">
        <f>+IFERROR(VLOOKUP(Tabla3[[#This Row],[Cliente factura]],Tabla4[[NIT]:[TOTAL CREDITO]],6,FALSE),0)</f>
        <v>0</v>
      </c>
      <c r="S1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9" s="10" t="str">
        <f>VLOOKUP(Tabla3[[#This Row],[Razón social cliente factura]]&amp;Tabla3[[#This Row],[Desc. ciudad]],'Estandar de Rutas'!$C$1:$E$553,2,FALSE)</f>
        <v>7.2</v>
      </c>
      <c r="U1759" s="130">
        <f>IFERROR(VLOOKUP(Tabla3[[#This Row],[Referencia]]&amp;Tabla3[[#This Row],[Desc detalle ext 1]],Tabla1[[Referencia-Color]:[Disponibilidad]],3,FALSE),0)</f>
        <v>109</v>
      </c>
      <c r="V1759" s="13"/>
      <c r="W1759" s="17">
        <f>+Tabla3[[#This Row],[Cant. Programada]]*Tabla3[[#This Row],[Precio unit]]</f>
        <v>0</v>
      </c>
      <c r="X1759" s="8"/>
      <c r="Y1759" s="8"/>
      <c r="Z1759" s="8" t="str">
        <f>+Tabla3[[#This Row],[Referencia]]&amp;Tabla3[[#This Row],[Desc detalle ext 1]]</f>
        <v xml:space="preserve">CBR 250RD                                         ROJO     </v>
      </c>
      <c r="AA1759" s="128" t="e">
        <f>+VLOOKUP(Tabla3[[#This Row],[CODIGO2]],ESTANDAR!$B$3:$C$9,2,FALSE)</f>
        <v>#N/A</v>
      </c>
      <c r="AB1759" s="128" t="str">
        <f>+MID(Tabla3[[#This Row],['# Viaje]],10,1)</f>
        <v/>
      </c>
    </row>
    <row r="1760" spans="1:28" ht="15" hidden="1" customHeight="1">
      <c r="A1760" s="38" t="s">
        <v>1791</v>
      </c>
      <c r="B1760" s="39">
        <v>42948</v>
      </c>
      <c r="C1760" s="38" t="s">
        <v>1231</v>
      </c>
      <c r="D1760" s="38" t="s">
        <v>1237</v>
      </c>
      <c r="E1760" s="38" t="s">
        <v>1232</v>
      </c>
      <c r="F1760" s="38">
        <v>1</v>
      </c>
      <c r="G1760" s="38" t="s">
        <v>189</v>
      </c>
      <c r="H1760" s="38">
        <v>1</v>
      </c>
      <c r="I1760" s="38" t="s">
        <v>1465</v>
      </c>
      <c r="J1760" s="38" t="s">
        <v>1439</v>
      </c>
      <c r="K1760" s="38" t="s">
        <v>16</v>
      </c>
      <c r="L1760" s="39"/>
      <c r="M1760" s="38" t="s">
        <v>184</v>
      </c>
      <c r="N1760" s="38">
        <v>860062808</v>
      </c>
      <c r="O1760" s="40">
        <v>9210084</v>
      </c>
      <c r="P1760" s="7"/>
      <c r="Q17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0" s="9">
        <f>+IFERROR(VLOOKUP(Tabla3[[#This Row],[Cliente factura]],Tabla4[[NIT]:[TOTAL CREDITO]],6,FALSE),0)</f>
        <v>0</v>
      </c>
      <c r="S1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0" s="10" t="str">
        <f>VLOOKUP(Tabla3[[#This Row],[Razón social cliente factura]]&amp;Tabla3[[#This Row],[Desc. ciudad]],'Estandar de Rutas'!$C$1:$E$553,2,FALSE)</f>
        <v>7.2</v>
      </c>
      <c r="U1760" s="130">
        <f>IFERROR(VLOOKUP(Tabla3[[#This Row],[Referencia]]&amp;Tabla3[[#This Row],[Desc detalle ext 1]],Tabla1[[Referencia-Color]:[Disponibilidad]],3,FALSE),0)</f>
        <v>67</v>
      </c>
      <c r="V1760" s="13"/>
      <c r="W1760" s="17">
        <f>+Tabla3[[#This Row],[Cant. Programada]]*Tabla3[[#This Row],[Precio unit]]</f>
        <v>0</v>
      </c>
      <c r="X1760" s="8"/>
      <c r="Y1760" s="8"/>
      <c r="Z1760" s="8" t="str">
        <f>+Tabla3[[#This Row],[Referencia]]&amp;Tabla3[[#This Row],[Desc detalle ext 1]]</f>
        <v xml:space="preserve">XRE 190                                           NEGRO    </v>
      </c>
      <c r="AA1760" s="128" t="e">
        <f>+VLOOKUP(Tabla3[[#This Row],[CODIGO2]],ESTANDAR!$B$3:$C$9,2,FALSE)</f>
        <v>#N/A</v>
      </c>
      <c r="AB1760" s="128" t="str">
        <f>+MID(Tabla3[[#This Row],['# Viaje]],10,1)</f>
        <v/>
      </c>
    </row>
    <row r="1761" spans="1:28" ht="15" hidden="1" customHeight="1">
      <c r="A1761" s="38" t="s">
        <v>1791</v>
      </c>
      <c r="B1761" s="39">
        <v>42948</v>
      </c>
      <c r="C1761" s="38" t="s">
        <v>1231</v>
      </c>
      <c r="D1761" s="38" t="s">
        <v>1237</v>
      </c>
      <c r="E1761" s="38" t="s">
        <v>1232</v>
      </c>
      <c r="F1761" s="38">
        <v>1</v>
      </c>
      <c r="G1761" s="38" t="s">
        <v>189</v>
      </c>
      <c r="H1761" s="38">
        <v>1</v>
      </c>
      <c r="I1761" s="38" t="s">
        <v>1465</v>
      </c>
      <c r="J1761" s="38" t="s">
        <v>1436</v>
      </c>
      <c r="K1761" s="38" t="s">
        <v>1431</v>
      </c>
      <c r="L1761" s="39"/>
      <c r="M1761" s="38" t="s">
        <v>184</v>
      </c>
      <c r="N1761" s="38">
        <v>860062808</v>
      </c>
      <c r="O1761" s="40">
        <v>9762992</v>
      </c>
      <c r="P1761" s="7"/>
      <c r="Q17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1" s="9">
        <f>+IFERROR(VLOOKUP(Tabla3[[#This Row],[Cliente factura]],Tabla4[[NIT]:[TOTAL CREDITO]],6,FALSE),0)</f>
        <v>0</v>
      </c>
      <c r="S1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1" s="10" t="str">
        <f>VLOOKUP(Tabla3[[#This Row],[Razón social cliente factura]]&amp;Tabla3[[#This Row],[Desc. ciudad]],'Estandar de Rutas'!$C$1:$E$553,2,FALSE)</f>
        <v>7.2</v>
      </c>
      <c r="U1761" s="130">
        <f>IFERROR(VLOOKUP(Tabla3[[#This Row],[Referencia]]&amp;Tabla3[[#This Row],[Desc detalle ext 1]],Tabla1[[Referencia-Color]:[Disponibilidad]],3,FALSE),0)</f>
        <v>22</v>
      </c>
      <c r="V1761" s="13"/>
      <c r="W1761" s="17">
        <f>+Tabla3[[#This Row],[Cant. Programada]]*Tabla3[[#This Row],[Precio unit]]</f>
        <v>0</v>
      </c>
      <c r="X1761" s="8"/>
      <c r="Y1761" s="8"/>
      <c r="Z1761" s="8" t="str">
        <f>+Tabla3[[#This Row],[Referencia]]&amp;Tabla3[[#This Row],[Desc detalle ext 1]]</f>
        <v xml:space="preserve">CB 250 TWISTER                                    ROJO     </v>
      </c>
      <c r="AA1761" s="128" t="e">
        <f>+VLOOKUP(Tabla3[[#This Row],[CODIGO2]],ESTANDAR!$B$3:$C$9,2,FALSE)</f>
        <v>#N/A</v>
      </c>
      <c r="AB1761" s="128" t="str">
        <f>+MID(Tabla3[[#This Row],['# Viaje]],10,1)</f>
        <v/>
      </c>
    </row>
    <row r="1762" spans="1:28" ht="15" hidden="1" customHeight="1">
      <c r="A1762" s="38" t="s">
        <v>1792</v>
      </c>
      <c r="B1762" s="39">
        <v>42948</v>
      </c>
      <c r="C1762" s="38" t="s">
        <v>1231</v>
      </c>
      <c r="D1762" s="38" t="s">
        <v>1237</v>
      </c>
      <c r="E1762" s="38" t="s">
        <v>1232</v>
      </c>
      <c r="F1762" s="38">
        <v>1</v>
      </c>
      <c r="G1762" s="38" t="s">
        <v>189</v>
      </c>
      <c r="H1762" s="38">
        <v>1</v>
      </c>
      <c r="I1762" s="38" t="s">
        <v>1469</v>
      </c>
      <c r="J1762" s="38" t="s">
        <v>1448</v>
      </c>
      <c r="K1762" s="38" t="s">
        <v>1450</v>
      </c>
      <c r="L1762" s="39"/>
      <c r="M1762" s="38" t="s">
        <v>184</v>
      </c>
      <c r="N1762" s="38">
        <v>860062808</v>
      </c>
      <c r="O1762" s="40">
        <v>7352941</v>
      </c>
      <c r="P1762" s="7"/>
      <c r="Q17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2" s="9">
        <f>+IFERROR(VLOOKUP(Tabla3[[#This Row],[Cliente factura]],Tabla4[[NIT]:[TOTAL CREDITO]],6,FALSE),0)</f>
        <v>0</v>
      </c>
      <c r="S1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2" s="10" t="str">
        <f>VLOOKUP(Tabla3[[#This Row],[Razón social cliente factura]]&amp;Tabla3[[#This Row],[Desc. ciudad]],'Estandar de Rutas'!$C$1:$E$553,2,FALSE)</f>
        <v>7.2</v>
      </c>
      <c r="U1762" s="130">
        <f>IFERROR(VLOOKUP(Tabla3[[#This Row],[Referencia]]&amp;Tabla3[[#This Row],[Desc detalle ext 1]],Tabla1[[Referencia-Color]:[Disponibilidad]],3,FALSE),0)</f>
        <v>61</v>
      </c>
      <c r="V1762" s="13"/>
      <c r="W1762" s="17">
        <f>+Tabla3[[#This Row],[Cant. Programada]]*Tabla3[[#This Row],[Precio unit]]</f>
        <v>0</v>
      </c>
      <c r="X1762" s="8"/>
      <c r="Y1762" s="8"/>
      <c r="Z1762" s="8" t="str">
        <f>+Tabla3[[#This Row],[Referencia]]&amp;Tabla3[[#This Row],[Desc detalle ext 1]]</f>
        <v xml:space="preserve">PCX 150                                           PLATEADO </v>
      </c>
      <c r="AA1762" s="128" t="e">
        <f>+VLOOKUP(Tabla3[[#This Row],[CODIGO2]],ESTANDAR!$B$3:$C$9,2,FALSE)</f>
        <v>#N/A</v>
      </c>
      <c r="AB1762" s="128" t="str">
        <f>+MID(Tabla3[[#This Row],['# Viaje]],10,1)</f>
        <v/>
      </c>
    </row>
    <row r="1763" spans="1:28" ht="15" hidden="1" customHeight="1">
      <c r="A1763" s="38" t="s">
        <v>1792</v>
      </c>
      <c r="B1763" s="39">
        <v>42948</v>
      </c>
      <c r="C1763" s="38" t="s">
        <v>1231</v>
      </c>
      <c r="D1763" s="38" t="s">
        <v>1237</v>
      </c>
      <c r="E1763" s="38" t="s">
        <v>1232</v>
      </c>
      <c r="F1763" s="38">
        <v>1</v>
      </c>
      <c r="G1763" s="38" t="s">
        <v>189</v>
      </c>
      <c r="H1763" s="38">
        <v>1</v>
      </c>
      <c r="I1763" s="38" t="s">
        <v>1469</v>
      </c>
      <c r="J1763" s="38" t="s">
        <v>1435</v>
      </c>
      <c r="K1763" s="38" t="s">
        <v>16</v>
      </c>
      <c r="L1763" s="39"/>
      <c r="M1763" s="38" t="s">
        <v>184</v>
      </c>
      <c r="N1763" s="38">
        <v>860062808</v>
      </c>
      <c r="O1763" s="40">
        <v>10228346</v>
      </c>
      <c r="P1763" s="7"/>
      <c r="Q17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3" s="9">
        <f>+IFERROR(VLOOKUP(Tabla3[[#This Row],[Cliente factura]],Tabla4[[NIT]:[TOTAL CREDITO]],6,FALSE),0)</f>
        <v>0</v>
      </c>
      <c r="S1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3" s="10" t="str">
        <f>VLOOKUP(Tabla3[[#This Row],[Razón social cliente factura]]&amp;Tabla3[[#This Row],[Desc. ciudad]],'Estandar de Rutas'!$C$1:$E$553,2,FALSE)</f>
        <v>7.2</v>
      </c>
      <c r="U1763" s="130">
        <f>IFERROR(VLOOKUP(Tabla3[[#This Row],[Referencia]]&amp;Tabla3[[#This Row],[Desc detalle ext 1]],Tabla1[[Referencia-Color]:[Disponibilidad]],3,FALSE),0)</f>
        <v>27</v>
      </c>
      <c r="V1763" s="13"/>
      <c r="W1763" s="17">
        <f>+Tabla3[[#This Row],[Cant. Programada]]*Tabla3[[#This Row],[Precio unit]]</f>
        <v>0</v>
      </c>
      <c r="X1763" s="8"/>
      <c r="Y1763" s="8"/>
      <c r="Z1763" s="8" t="str">
        <f>+Tabla3[[#This Row],[Referencia]]&amp;Tabla3[[#This Row],[Desc detalle ext 1]]</f>
        <v xml:space="preserve">CBR 250RD                                         NEGRO    </v>
      </c>
      <c r="AA1763" s="128" t="e">
        <f>+VLOOKUP(Tabla3[[#This Row],[CODIGO2]],ESTANDAR!$B$3:$C$9,2,FALSE)</f>
        <v>#N/A</v>
      </c>
      <c r="AB1763" s="128" t="str">
        <f>+MID(Tabla3[[#This Row],['# Viaje]],10,1)</f>
        <v/>
      </c>
    </row>
    <row r="1764" spans="1:28" ht="15" hidden="1" customHeight="1">
      <c r="A1764" s="38" t="s">
        <v>1793</v>
      </c>
      <c r="B1764" s="39">
        <v>42948</v>
      </c>
      <c r="C1764" s="38" t="s">
        <v>1231</v>
      </c>
      <c r="D1764" s="38" t="s">
        <v>1237</v>
      </c>
      <c r="E1764" s="38" t="s">
        <v>1232</v>
      </c>
      <c r="F1764" s="38">
        <v>1</v>
      </c>
      <c r="G1764" s="38" t="s">
        <v>189</v>
      </c>
      <c r="H1764" s="38">
        <v>1</v>
      </c>
      <c r="I1764" s="38" t="s">
        <v>1471</v>
      </c>
      <c r="J1764" s="38" t="s">
        <v>1448</v>
      </c>
      <c r="K1764" s="38" t="s">
        <v>1449</v>
      </c>
      <c r="L1764" s="39"/>
      <c r="M1764" s="38" t="s">
        <v>254</v>
      </c>
      <c r="N1764" s="38">
        <v>860062808</v>
      </c>
      <c r="O1764" s="40">
        <v>7352941</v>
      </c>
      <c r="P1764" s="7"/>
      <c r="Q17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4" s="9">
        <f>+IFERROR(VLOOKUP(Tabla3[[#This Row],[Cliente factura]],Tabla4[[NIT]:[TOTAL CREDITO]],6,FALSE),0)</f>
        <v>0</v>
      </c>
      <c r="S1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4" s="10" t="str">
        <f>VLOOKUP(Tabla3[[#This Row],[Razón social cliente factura]]&amp;Tabla3[[#This Row],[Desc. ciudad]],'Estandar de Rutas'!$C$1:$E$553,2,FALSE)</f>
        <v>7.1.A</v>
      </c>
      <c r="U1764" s="130">
        <f>IFERROR(VLOOKUP(Tabla3[[#This Row],[Referencia]]&amp;Tabla3[[#This Row],[Desc detalle ext 1]],Tabla1[[Referencia-Color]:[Disponibilidad]],3,FALSE),0)</f>
        <v>57</v>
      </c>
      <c r="V1764" s="13"/>
      <c r="W1764" s="17">
        <f>+Tabla3[[#This Row],[Cant. Programada]]*Tabla3[[#This Row],[Precio unit]]</f>
        <v>0</v>
      </c>
      <c r="X1764" s="8"/>
      <c r="Y1764" s="8"/>
      <c r="Z1764" s="8" t="str">
        <f>+Tabla3[[#This Row],[Referencia]]&amp;Tabla3[[#This Row],[Desc detalle ext 1]]</f>
        <v xml:space="preserve">PCX 150                                           GRIS     </v>
      </c>
      <c r="AA1764" s="128" t="e">
        <f>+VLOOKUP(Tabla3[[#This Row],[CODIGO2]],ESTANDAR!$B$3:$C$9,2,FALSE)</f>
        <v>#N/A</v>
      </c>
      <c r="AB1764" s="128" t="str">
        <f>+MID(Tabla3[[#This Row],['# Viaje]],10,1)</f>
        <v/>
      </c>
    </row>
    <row r="1765" spans="1:28" ht="15" hidden="1" customHeight="1">
      <c r="A1765" s="38" t="s">
        <v>1793</v>
      </c>
      <c r="B1765" s="39">
        <v>42948</v>
      </c>
      <c r="C1765" s="38" t="s">
        <v>1231</v>
      </c>
      <c r="D1765" s="38" t="s">
        <v>1237</v>
      </c>
      <c r="E1765" s="38" t="s">
        <v>1232</v>
      </c>
      <c r="F1765" s="38">
        <v>1</v>
      </c>
      <c r="G1765" s="38" t="s">
        <v>189</v>
      </c>
      <c r="H1765" s="38">
        <v>1</v>
      </c>
      <c r="I1765" s="38" t="s">
        <v>1471</v>
      </c>
      <c r="J1765" s="38" t="s">
        <v>1436</v>
      </c>
      <c r="K1765" s="38" t="s">
        <v>1431</v>
      </c>
      <c r="L1765" s="39"/>
      <c r="M1765" s="38" t="s">
        <v>254</v>
      </c>
      <c r="N1765" s="38">
        <v>860062808</v>
      </c>
      <c r="O1765" s="40">
        <v>9762992</v>
      </c>
      <c r="P1765" s="7"/>
      <c r="Q17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5" s="9">
        <f>+IFERROR(VLOOKUP(Tabla3[[#This Row],[Cliente factura]],Tabla4[[NIT]:[TOTAL CREDITO]],6,FALSE),0)</f>
        <v>0</v>
      </c>
      <c r="S1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5" s="10" t="str">
        <f>VLOOKUP(Tabla3[[#This Row],[Razón social cliente factura]]&amp;Tabla3[[#This Row],[Desc. ciudad]],'Estandar de Rutas'!$C$1:$E$553,2,FALSE)</f>
        <v>7.1.A</v>
      </c>
      <c r="U1765" s="130">
        <f>IFERROR(VLOOKUP(Tabla3[[#This Row],[Referencia]]&amp;Tabla3[[#This Row],[Desc detalle ext 1]],Tabla1[[Referencia-Color]:[Disponibilidad]],3,FALSE),0)</f>
        <v>22</v>
      </c>
      <c r="V1765" s="13"/>
      <c r="W1765" s="17">
        <f>+Tabla3[[#This Row],[Cant. Programada]]*Tabla3[[#This Row],[Precio unit]]</f>
        <v>0</v>
      </c>
      <c r="X1765" s="8"/>
      <c r="Y1765" s="8"/>
      <c r="Z1765" s="8" t="str">
        <f>+Tabla3[[#This Row],[Referencia]]&amp;Tabla3[[#This Row],[Desc detalle ext 1]]</f>
        <v xml:space="preserve">CB 250 TWISTER                                    ROJO     </v>
      </c>
      <c r="AA1765" s="128" t="e">
        <f>+VLOOKUP(Tabla3[[#This Row],[CODIGO2]],ESTANDAR!$B$3:$C$9,2,FALSE)</f>
        <v>#N/A</v>
      </c>
      <c r="AB1765" s="128" t="str">
        <f>+MID(Tabla3[[#This Row],['# Viaje]],10,1)</f>
        <v/>
      </c>
    </row>
    <row r="1766" spans="1:28" ht="15" hidden="1" customHeight="1">
      <c r="A1766" s="41" t="s">
        <v>1794</v>
      </c>
      <c r="B1766" s="42">
        <v>42948</v>
      </c>
      <c r="C1766" s="41" t="s">
        <v>1231</v>
      </c>
      <c r="D1766" s="41" t="s">
        <v>1478</v>
      </c>
      <c r="E1766" s="41" t="s">
        <v>1232</v>
      </c>
      <c r="F1766" s="41">
        <v>1</v>
      </c>
      <c r="G1766" s="41" t="s">
        <v>43</v>
      </c>
      <c r="H1766" s="41">
        <v>1</v>
      </c>
      <c r="I1766" s="41" t="s">
        <v>1219</v>
      </c>
      <c r="J1766" s="41" t="s">
        <v>1454</v>
      </c>
      <c r="K1766" s="41" t="s">
        <v>16</v>
      </c>
      <c r="L1766" s="42"/>
      <c r="M1766" s="41" t="s">
        <v>42</v>
      </c>
      <c r="N1766" s="41">
        <v>890330584</v>
      </c>
      <c r="O1766" s="43">
        <v>12039370</v>
      </c>
      <c r="P1766" s="7"/>
      <c r="Q1766" s="16">
        <f>+IF(IFERROR(VLOOKUP(Tabla3[[#This Row],[Cliente factura]],Tabla4[[NIT]:[TOTAL CREDITO]],3,FALSE),0)="",0,IFERROR(VLOOKUP(Tabla3[[#This Row],[Cliente factura]],Tabla4[[NIT]:[TOTAL CREDITO]],3,FALSE),0))</f>
        <v>802084041</v>
      </c>
      <c r="R1766" s="9">
        <f>+IFERROR(VLOOKUP(Tabla3[[#This Row],[Cliente factura]],Tabla4[[NIT]:[TOTAL CREDITO]],6,FALSE),0)</f>
        <v>0</v>
      </c>
      <c r="S1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6" s="10" t="str">
        <f>VLOOKUP(Tabla3[[#This Row],[Razón social cliente factura]]&amp;Tabla3[[#This Row],[Desc. ciudad]],'Estandar de Rutas'!$C$1:$E$553,2,FALSE)</f>
        <v>1.3</v>
      </c>
      <c r="U1766" s="130">
        <f>IFERROR(VLOOKUP(Tabla3[[#This Row],[Referencia]]&amp;Tabla3[[#This Row],[Desc detalle ext 1]],Tabla1[[Referencia-Color]:[Disponibilidad]],3,FALSE),0)</f>
        <v>0</v>
      </c>
      <c r="V1766" s="13"/>
      <c r="W1766" s="17">
        <f>+Tabla3[[#This Row],[Cant. Programada]]*Tabla3[[#This Row],[Precio unit]]</f>
        <v>0</v>
      </c>
      <c r="X1766" s="8"/>
      <c r="Y1766" s="8"/>
      <c r="Z1766" s="8" t="str">
        <f>+Tabla3[[#This Row],[Referencia]]&amp;Tabla3[[#This Row],[Desc detalle ext 1]]</f>
        <v xml:space="preserve">XRE  300                                          NEGRO    </v>
      </c>
      <c r="AA1766" s="128" t="e">
        <f>+VLOOKUP(Tabla3[[#This Row],[CODIGO2]],ESTANDAR!$B$3:$C$9,2,FALSE)</f>
        <v>#N/A</v>
      </c>
      <c r="AB1766" s="128" t="str">
        <f>+MID(Tabla3[[#This Row],['# Viaje]],10,1)</f>
        <v/>
      </c>
    </row>
    <row r="1767" spans="1:28" ht="15" hidden="1" customHeight="1">
      <c r="A1767" s="25" t="s">
        <v>1794</v>
      </c>
      <c r="B1767" s="26">
        <v>42948</v>
      </c>
      <c r="C1767" s="25" t="s">
        <v>1231</v>
      </c>
      <c r="D1767" s="25" t="s">
        <v>1478</v>
      </c>
      <c r="E1767" s="25" t="s">
        <v>1232</v>
      </c>
      <c r="F1767" s="25">
        <v>2</v>
      </c>
      <c r="G1767" s="25" t="s">
        <v>43</v>
      </c>
      <c r="H1767" s="25">
        <v>2</v>
      </c>
      <c r="I1767" s="25" t="s">
        <v>1219</v>
      </c>
      <c r="J1767" s="25" t="s">
        <v>1436</v>
      </c>
      <c r="K1767" s="25" t="s">
        <v>16</v>
      </c>
      <c r="L1767" s="26"/>
      <c r="M1767" s="25" t="s">
        <v>42</v>
      </c>
      <c r="N1767" s="25">
        <v>890330584</v>
      </c>
      <c r="O1767" s="27">
        <v>9762992</v>
      </c>
      <c r="P1767" s="7"/>
      <c r="Q1767" s="16">
        <f>+IF(IFERROR(VLOOKUP(Tabla3[[#This Row],[Cliente factura]],Tabla4[[NIT]:[TOTAL CREDITO]],3,FALSE),0)="",0,IFERROR(VLOOKUP(Tabla3[[#This Row],[Cliente factura]],Tabla4[[NIT]:[TOTAL CREDITO]],3,FALSE),0))</f>
        <v>802084041</v>
      </c>
      <c r="R1767" s="9">
        <f>+IFERROR(VLOOKUP(Tabla3[[#This Row],[Cliente factura]],Tabla4[[NIT]:[TOTAL CREDITO]],6,FALSE),0)</f>
        <v>0</v>
      </c>
      <c r="S1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7" s="10" t="str">
        <f>VLOOKUP(Tabla3[[#This Row],[Razón social cliente factura]]&amp;Tabla3[[#This Row],[Desc. ciudad]],'Estandar de Rutas'!$C$1:$E$553,2,FALSE)</f>
        <v>1.3</v>
      </c>
      <c r="U1767" s="130">
        <f>IFERROR(VLOOKUP(Tabla3[[#This Row],[Referencia]]&amp;Tabla3[[#This Row],[Desc detalle ext 1]],Tabla1[[Referencia-Color]:[Disponibilidad]],3,FALSE),0)</f>
        <v>25</v>
      </c>
      <c r="V1767" s="13"/>
      <c r="W1767" s="17">
        <f>+Tabla3[[#This Row],[Cant. Programada]]*Tabla3[[#This Row],[Precio unit]]</f>
        <v>0</v>
      </c>
      <c r="X1767" s="8"/>
      <c r="Y1767" s="8"/>
      <c r="Z1767" s="8" t="str">
        <f>+Tabla3[[#This Row],[Referencia]]&amp;Tabla3[[#This Row],[Desc detalle ext 1]]</f>
        <v xml:space="preserve">CB 250 TWISTER                                    NEGRO    </v>
      </c>
      <c r="AA1767" s="128" t="e">
        <f>+VLOOKUP(Tabla3[[#This Row],[CODIGO2]],ESTANDAR!$B$3:$C$9,2,FALSE)</f>
        <v>#N/A</v>
      </c>
      <c r="AB1767" s="128" t="str">
        <f>+MID(Tabla3[[#This Row],['# Viaje]],10,1)</f>
        <v/>
      </c>
    </row>
    <row r="1768" spans="1:28" ht="15" hidden="1" customHeight="1">
      <c r="A1768" s="25" t="s">
        <v>1795</v>
      </c>
      <c r="B1768" s="26">
        <v>42948</v>
      </c>
      <c r="C1768" s="25" t="s">
        <v>1231</v>
      </c>
      <c r="D1768" s="25" t="s">
        <v>1478</v>
      </c>
      <c r="E1768" s="25" t="s">
        <v>1232</v>
      </c>
      <c r="F1768" s="25">
        <v>1</v>
      </c>
      <c r="G1768" s="25" t="s">
        <v>43</v>
      </c>
      <c r="H1768" s="25">
        <v>1</v>
      </c>
      <c r="I1768" s="25" t="s">
        <v>1221</v>
      </c>
      <c r="J1768" s="25" t="s">
        <v>1454</v>
      </c>
      <c r="K1768" s="25" t="s">
        <v>16</v>
      </c>
      <c r="L1768" s="26"/>
      <c r="M1768" s="25" t="s">
        <v>42</v>
      </c>
      <c r="N1768" s="25">
        <v>890330584</v>
      </c>
      <c r="O1768" s="27">
        <v>12039370</v>
      </c>
      <c r="P1768" s="7"/>
      <c r="Q1768" s="16">
        <f>+IF(IFERROR(VLOOKUP(Tabla3[[#This Row],[Cliente factura]],Tabla4[[NIT]:[TOTAL CREDITO]],3,FALSE),0)="",0,IFERROR(VLOOKUP(Tabla3[[#This Row],[Cliente factura]],Tabla4[[NIT]:[TOTAL CREDITO]],3,FALSE),0))</f>
        <v>802084041</v>
      </c>
      <c r="R1768" s="9">
        <f>+IFERROR(VLOOKUP(Tabla3[[#This Row],[Cliente factura]],Tabla4[[NIT]:[TOTAL CREDITO]],6,FALSE),0)</f>
        <v>0</v>
      </c>
      <c r="S1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8" s="10" t="str">
        <f>VLOOKUP(Tabla3[[#This Row],[Razón social cliente factura]]&amp;Tabla3[[#This Row],[Desc. ciudad]],'Estandar de Rutas'!$C$1:$E$553,2,FALSE)</f>
        <v>1.3</v>
      </c>
      <c r="U1768" s="130">
        <f>IFERROR(VLOOKUP(Tabla3[[#This Row],[Referencia]]&amp;Tabla3[[#This Row],[Desc detalle ext 1]],Tabla1[[Referencia-Color]:[Disponibilidad]],3,FALSE),0)</f>
        <v>0</v>
      </c>
      <c r="V1768" s="13"/>
      <c r="W1768" s="17">
        <f>+Tabla3[[#This Row],[Cant. Programada]]*Tabla3[[#This Row],[Precio unit]]</f>
        <v>0</v>
      </c>
      <c r="X1768" s="8"/>
      <c r="Y1768" s="8"/>
      <c r="Z1768" s="8" t="str">
        <f>+Tabla3[[#This Row],[Referencia]]&amp;Tabla3[[#This Row],[Desc detalle ext 1]]</f>
        <v xml:space="preserve">XRE  300                                          NEGRO    </v>
      </c>
      <c r="AA1768" s="128" t="e">
        <f>+VLOOKUP(Tabla3[[#This Row],[CODIGO2]],ESTANDAR!$B$3:$C$9,2,FALSE)</f>
        <v>#N/A</v>
      </c>
      <c r="AB1768" s="128" t="str">
        <f>+MID(Tabla3[[#This Row],['# Viaje]],10,1)</f>
        <v/>
      </c>
    </row>
    <row r="1769" spans="1:28" ht="15" hidden="1" customHeight="1">
      <c r="A1769" s="25" t="s">
        <v>1796</v>
      </c>
      <c r="B1769" s="26">
        <v>42948</v>
      </c>
      <c r="C1769" s="25" t="s">
        <v>1477</v>
      </c>
      <c r="D1769" s="25" t="s">
        <v>1478</v>
      </c>
      <c r="E1769" s="25" t="s">
        <v>1479</v>
      </c>
      <c r="F1769" s="25">
        <v>1</v>
      </c>
      <c r="G1769" s="25" t="s">
        <v>208</v>
      </c>
      <c r="H1769" s="25">
        <v>1</v>
      </c>
      <c r="I1769" s="25" t="s">
        <v>1519</v>
      </c>
      <c r="J1769" s="25" t="s">
        <v>1439</v>
      </c>
      <c r="K1769" s="25" t="s">
        <v>1431</v>
      </c>
      <c r="L1769" s="26"/>
      <c r="M1769" s="25" t="s">
        <v>209</v>
      </c>
      <c r="N1769" s="25">
        <v>890802350</v>
      </c>
      <c r="O1769" s="27">
        <v>9210084</v>
      </c>
      <c r="P1769" s="7"/>
      <c r="Q1769" s="16">
        <f>+IF(IFERROR(VLOOKUP(Tabla3[[#This Row],[Cliente factura]],Tabla4[[NIT]:[TOTAL CREDITO]],3,FALSE),0)="",0,IFERROR(VLOOKUP(Tabla3[[#This Row],[Cliente factura]],Tabla4[[NIT]:[TOTAL CREDITO]],3,FALSE),0))</f>
        <v>0</v>
      </c>
      <c r="R1769" s="9">
        <f>+IFERROR(VLOOKUP(Tabla3[[#This Row],[Cliente factura]],Tabla4[[NIT]:[TOTAL CREDITO]],6,FALSE),0)</f>
        <v>158000000</v>
      </c>
      <c r="S1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9" s="10" t="str">
        <f>VLOOKUP(Tabla3[[#This Row],[Razón social cliente factura]]&amp;Tabla3[[#This Row],[Desc. ciudad]],'Estandar de Rutas'!$C$1:$E$553,2,FALSE)</f>
        <v>8.1</v>
      </c>
      <c r="U1769" s="130">
        <f>IFERROR(VLOOKUP(Tabla3[[#This Row],[Referencia]]&amp;Tabla3[[#This Row],[Desc detalle ext 1]],Tabla1[[Referencia-Color]:[Disponibilidad]],3,FALSE),0)</f>
        <v>30</v>
      </c>
      <c r="V1769" s="13"/>
      <c r="W1769" s="17">
        <f>+Tabla3[[#This Row],[Cant. Programada]]*Tabla3[[#This Row],[Precio unit]]</f>
        <v>0</v>
      </c>
      <c r="X1769" s="8"/>
      <c r="Y1769" s="8"/>
      <c r="Z1769" s="8" t="str">
        <f>+Tabla3[[#This Row],[Referencia]]&amp;Tabla3[[#This Row],[Desc detalle ext 1]]</f>
        <v xml:space="preserve">XRE 190                                           ROJO     </v>
      </c>
      <c r="AA1769" s="128" t="e">
        <f>+VLOOKUP(Tabla3[[#This Row],[CODIGO2]],ESTANDAR!$B$3:$C$9,2,FALSE)</f>
        <v>#N/A</v>
      </c>
      <c r="AB1769" s="128" t="str">
        <f>+MID(Tabla3[[#This Row],['# Viaje]],10,1)</f>
        <v/>
      </c>
    </row>
    <row r="1770" spans="1:28" ht="15" hidden="1" customHeight="1">
      <c r="A1770" s="25" t="s">
        <v>1797</v>
      </c>
      <c r="B1770" s="26">
        <v>42948</v>
      </c>
      <c r="C1770" s="25" t="s">
        <v>1477</v>
      </c>
      <c r="D1770" s="25" t="s">
        <v>1478</v>
      </c>
      <c r="E1770" s="25" t="s">
        <v>1479</v>
      </c>
      <c r="F1770" s="25">
        <v>1</v>
      </c>
      <c r="G1770" s="25" t="s">
        <v>75</v>
      </c>
      <c r="H1770" s="25">
        <v>1</v>
      </c>
      <c r="I1770" s="25" t="s">
        <v>75</v>
      </c>
      <c r="J1770" s="25" t="s">
        <v>1439</v>
      </c>
      <c r="K1770" s="25" t="s">
        <v>1455</v>
      </c>
      <c r="L1770" s="26"/>
      <c r="M1770" s="25" t="s">
        <v>76</v>
      </c>
      <c r="N1770" s="25">
        <v>838000154</v>
      </c>
      <c r="O1770" s="27">
        <v>9210084</v>
      </c>
      <c r="P1770" s="7"/>
      <c r="Q177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70" s="9">
        <f>+IFERROR(VLOOKUP(Tabla3[[#This Row],[Cliente factura]],Tabla4[[NIT]:[TOTAL CREDITO]],6,FALSE),0)</f>
        <v>0</v>
      </c>
      <c r="S1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0" s="10" t="str">
        <f>VLOOKUP(Tabla3[[#This Row],[Razón social cliente factura]]&amp;Tabla3[[#This Row],[Desc. ciudad]],'Estandar de Rutas'!$C$1:$E$553,2,FALSE)</f>
        <v>7.2</v>
      </c>
      <c r="U1770" s="130">
        <f>IFERROR(VLOOKUP(Tabla3[[#This Row],[Referencia]]&amp;Tabla3[[#This Row],[Desc detalle ext 1]],Tabla1[[Referencia-Color]:[Disponibilidad]],3,FALSE),0)</f>
        <v>0</v>
      </c>
      <c r="V1770" s="13"/>
      <c r="W1770" s="17">
        <f>+Tabla3[[#This Row],[Cant. Programada]]*Tabla3[[#This Row],[Precio unit]]</f>
        <v>0</v>
      </c>
      <c r="X1770" s="8"/>
      <c r="Y1770" s="8"/>
      <c r="Z1770" s="8" t="str">
        <f>+Tabla3[[#This Row],[Referencia]]&amp;Tabla3[[#This Row],[Desc detalle ext 1]]</f>
        <v xml:space="preserve">XRE 190                                           VERDE    </v>
      </c>
      <c r="AA1770" s="128" t="e">
        <f>+VLOOKUP(Tabla3[[#This Row],[CODIGO2]],ESTANDAR!$B$3:$C$9,2,FALSE)</f>
        <v>#N/A</v>
      </c>
      <c r="AB1770" s="128" t="str">
        <f>+MID(Tabla3[[#This Row],['# Viaje]],10,1)</f>
        <v/>
      </c>
    </row>
    <row r="1771" spans="1:28" ht="15" hidden="1" customHeight="1">
      <c r="A1771" s="25" t="s">
        <v>1798</v>
      </c>
      <c r="B1771" s="26">
        <v>42948</v>
      </c>
      <c r="C1771" s="25" t="s">
        <v>1231</v>
      </c>
      <c r="D1771" s="25" t="s">
        <v>1478</v>
      </c>
      <c r="E1771" s="25" t="s">
        <v>1479</v>
      </c>
      <c r="F1771" s="25">
        <v>1</v>
      </c>
      <c r="G1771" s="25" t="s">
        <v>59</v>
      </c>
      <c r="H1771" s="25">
        <v>1</v>
      </c>
      <c r="I1771" s="25" t="s">
        <v>1553</v>
      </c>
      <c r="J1771" s="25" t="s">
        <v>1454</v>
      </c>
      <c r="K1771" s="25" t="s">
        <v>16</v>
      </c>
      <c r="L1771" s="26"/>
      <c r="M1771" s="25" t="s">
        <v>60</v>
      </c>
      <c r="N1771" s="25">
        <v>891903377</v>
      </c>
      <c r="O1771" s="27">
        <v>12039370</v>
      </c>
      <c r="P1771" s="7"/>
      <c r="Q1771" s="16">
        <f>+IF(IFERROR(VLOOKUP(Tabla3[[#This Row],[Cliente factura]],Tabla4[[NIT]:[TOTAL CREDITO]],3,FALSE),0)="",0,IFERROR(VLOOKUP(Tabla3[[#This Row],[Cliente factura]],Tabla4[[NIT]:[TOTAL CREDITO]],3,FALSE),0))</f>
        <v>116885711</v>
      </c>
      <c r="R1771" s="9">
        <f>+IFERROR(VLOOKUP(Tabla3[[#This Row],[Cliente factura]],Tabla4[[NIT]:[TOTAL CREDITO]],6,FALSE),0)</f>
        <v>0</v>
      </c>
      <c r="S1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1" s="10" t="str">
        <f>VLOOKUP(Tabla3[[#This Row],[Razón social cliente factura]]&amp;Tabla3[[#This Row],[Desc. ciudad]],'Estandar de Rutas'!$C$1:$E$553,2,FALSE)</f>
        <v>1.1</v>
      </c>
      <c r="U1771" s="130">
        <f>IFERROR(VLOOKUP(Tabla3[[#This Row],[Referencia]]&amp;Tabla3[[#This Row],[Desc detalle ext 1]],Tabla1[[Referencia-Color]:[Disponibilidad]],3,FALSE),0)</f>
        <v>0</v>
      </c>
      <c r="V1771" s="13"/>
      <c r="W1771" s="17">
        <f>+Tabla3[[#This Row],[Cant. Programada]]*Tabla3[[#This Row],[Precio unit]]</f>
        <v>0</v>
      </c>
      <c r="X1771" s="8"/>
      <c r="Y1771" s="8"/>
      <c r="Z1771" s="8" t="str">
        <f>+Tabla3[[#This Row],[Referencia]]&amp;Tabla3[[#This Row],[Desc detalle ext 1]]</f>
        <v xml:space="preserve">XRE  300                                          NEGRO    </v>
      </c>
      <c r="AA1771" s="128" t="e">
        <f>+VLOOKUP(Tabla3[[#This Row],[CODIGO2]],ESTANDAR!$B$3:$C$9,2,FALSE)</f>
        <v>#N/A</v>
      </c>
      <c r="AB1771" s="128" t="str">
        <f>+MID(Tabla3[[#This Row],['# Viaje]],10,1)</f>
        <v/>
      </c>
    </row>
    <row r="1772" spans="1:28" ht="15" hidden="1" customHeight="1">
      <c r="A1772" s="25" t="s">
        <v>1798</v>
      </c>
      <c r="B1772" s="26">
        <v>42948</v>
      </c>
      <c r="C1772" s="25" t="s">
        <v>1231</v>
      </c>
      <c r="D1772" s="25" t="s">
        <v>1478</v>
      </c>
      <c r="E1772" s="25" t="s">
        <v>1479</v>
      </c>
      <c r="F1772" s="25">
        <v>1</v>
      </c>
      <c r="G1772" s="25" t="s">
        <v>59</v>
      </c>
      <c r="H1772" s="25">
        <v>1</v>
      </c>
      <c r="I1772" s="25" t="s">
        <v>1553</v>
      </c>
      <c r="J1772" s="25" t="s">
        <v>1439</v>
      </c>
      <c r="K1772" s="25" t="s">
        <v>1431</v>
      </c>
      <c r="L1772" s="26"/>
      <c r="M1772" s="25" t="s">
        <v>60</v>
      </c>
      <c r="N1772" s="25">
        <v>891903377</v>
      </c>
      <c r="O1772" s="27">
        <v>9210084</v>
      </c>
      <c r="P1772" s="7"/>
      <c r="Q1772" s="16">
        <f>+IF(IFERROR(VLOOKUP(Tabla3[[#This Row],[Cliente factura]],Tabla4[[NIT]:[TOTAL CREDITO]],3,FALSE),0)="",0,IFERROR(VLOOKUP(Tabla3[[#This Row],[Cliente factura]],Tabla4[[NIT]:[TOTAL CREDITO]],3,FALSE),0))</f>
        <v>116885711</v>
      </c>
      <c r="R1772" s="9">
        <f>+IFERROR(VLOOKUP(Tabla3[[#This Row],[Cliente factura]],Tabla4[[NIT]:[TOTAL CREDITO]],6,FALSE),0)</f>
        <v>0</v>
      </c>
      <c r="S1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2" s="10" t="str">
        <f>VLOOKUP(Tabla3[[#This Row],[Razón social cliente factura]]&amp;Tabla3[[#This Row],[Desc. ciudad]],'Estandar de Rutas'!$C$1:$E$553,2,FALSE)</f>
        <v>1.1</v>
      </c>
      <c r="U1772" s="130">
        <f>IFERROR(VLOOKUP(Tabla3[[#This Row],[Referencia]]&amp;Tabla3[[#This Row],[Desc detalle ext 1]],Tabla1[[Referencia-Color]:[Disponibilidad]],3,FALSE),0)</f>
        <v>30</v>
      </c>
      <c r="V1772" s="13"/>
      <c r="W1772" s="17">
        <f>+Tabla3[[#This Row],[Cant. Programada]]*Tabla3[[#This Row],[Precio unit]]</f>
        <v>0</v>
      </c>
      <c r="X1772" s="8"/>
      <c r="Y1772" s="8"/>
      <c r="Z1772" s="8" t="str">
        <f>+Tabla3[[#This Row],[Referencia]]&amp;Tabla3[[#This Row],[Desc detalle ext 1]]</f>
        <v xml:space="preserve">XRE 190                                           ROJO     </v>
      </c>
      <c r="AA1772" s="128" t="e">
        <f>+VLOOKUP(Tabla3[[#This Row],[CODIGO2]],ESTANDAR!$B$3:$C$9,2,FALSE)</f>
        <v>#N/A</v>
      </c>
      <c r="AB1772" s="128" t="str">
        <f>+MID(Tabla3[[#This Row],['# Viaje]],10,1)</f>
        <v/>
      </c>
    </row>
    <row r="1773" spans="1:28" ht="15" hidden="1" customHeight="1">
      <c r="A1773" s="25" t="s">
        <v>1798</v>
      </c>
      <c r="B1773" s="26">
        <v>42948</v>
      </c>
      <c r="C1773" s="25" t="s">
        <v>1231</v>
      </c>
      <c r="D1773" s="25" t="s">
        <v>1478</v>
      </c>
      <c r="E1773" s="25" t="s">
        <v>1479</v>
      </c>
      <c r="F1773" s="25">
        <v>1</v>
      </c>
      <c r="G1773" s="25" t="s">
        <v>59</v>
      </c>
      <c r="H1773" s="25">
        <v>1</v>
      </c>
      <c r="I1773" s="25" t="s">
        <v>1553</v>
      </c>
      <c r="J1773" s="25" t="s">
        <v>1439</v>
      </c>
      <c r="K1773" s="25" t="s">
        <v>16</v>
      </c>
      <c r="L1773" s="26"/>
      <c r="M1773" s="25" t="s">
        <v>60</v>
      </c>
      <c r="N1773" s="25">
        <v>891903377</v>
      </c>
      <c r="O1773" s="27">
        <v>9210084</v>
      </c>
      <c r="P1773" s="7"/>
      <c r="Q1773" s="16">
        <f>+IF(IFERROR(VLOOKUP(Tabla3[[#This Row],[Cliente factura]],Tabla4[[NIT]:[TOTAL CREDITO]],3,FALSE),0)="",0,IFERROR(VLOOKUP(Tabla3[[#This Row],[Cliente factura]],Tabla4[[NIT]:[TOTAL CREDITO]],3,FALSE),0))</f>
        <v>116885711</v>
      </c>
      <c r="R1773" s="9">
        <f>+IFERROR(VLOOKUP(Tabla3[[#This Row],[Cliente factura]],Tabla4[[NIT]:[TOTAL CREDITO]],6,FALSE),0)</f>
        <v>0</v>
      </c>
      <c r="S1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3" s="10" t="str">
        <f>VLOOKUP(Tabla3[[#This Row],[Razón social cliente factura]]&amp;Tabla3[[#This Row],[Desc. ciudad]],'Estandar de Rutas'!$C$1:$E$553,2,FALSE)</f>
        <v>1.1</v>
      </c>
      <c r="U1773" s="130">
        <f>IFERROR(VLOOKUP(Tabla3[[#This Row],[Referencia]]&amp;Tabla3[[#This Row],[Desc detalle ext 1]],Tabla1[[Referencia-Color]:[Disponibilidad]],3,FALSE),0)</f>
        <v>67</v>
      </c>
      <c r="V1773" s="13"/>
      <c r="W1773" s="17">
        <f>+Tabla3[[#This Row],[Cant. Programada]]*Tabla3[[#This Row],[Precio unit]]</f>
        <v>0</v>
      </c>
      <c r="X1773" s="8"/>
      <c r="Y1773" s="8"/>
      <c r="Z1773" s="8" t="str">
        <f>+Tabla3[[#This Row],[Referencia]]&amp;Tabla3[[#This Row],[Desc detalle ext 1]]</f>
        <v xml:space="preserve">XRE 190                                           NEGRO    </v>
      </c>
      <c r="AA1773" s="128" t="e">
        <f>+VLOOKUP(Tabla3[[#This Row],[CODIGO2]],ESTANDAR!$B$3:$C$9,2,FALSE)</f>
        <v>#N/A</v>
      </c>
      <c r="AB1773" s="128" t="str">
        <f>+MID(Tabla3[[#This Row],['# Viaje]],10,1)</f>
        <v/>
      </c>
    </row>
    <row r="1774" spans="1:28" ht="15" hidden="1" customHeight="1">
      <c r="A1774" s="25" t="s">
        <v>1798</v>
      </c>
      <c r="B1774" s="26">
        <v>42948</v>
      </c>
      <c r="C1774" s="25" t="s">
        <v>1231</v>
      </c>
      <c r="D1774" s="25" t="s">
        <v>1478</v>
      </c>
      <c r="E1774" s="25" t="s">
        <v>1479</v>
      </c>
      <c r="F1774" s="25">
        <v>1</v>
      </c>
      <c r="G1774" s="25" t="s">
        <v>59</v>
      </c>
      <c r="H1774" s="25">
        <v>1</v>
      </c>
      <c r="I1774" s="25" t="s">
        <v>1553</v>
      </c>
      <c r="J1774" s="25" t="s">
        <v>1436</v>
      </c>
      <c r="K1774" s="25" t="s">
        <v>16</v>
      </c>
      <c r="L1774" s="26"/>
      <c r="M1774" s="25" t="s">
        <v>60</v>
      </c>
      <c r="N1774" s="25">
        <v>891903377</v>
      </c>
      <c r="O1774" s="27">
        <v>9762992</v>
      </c>
      <c r="P1774" s="7"/>
      <c r="Q1774" s="16">
        <f>+IF(IFERROR(VLOOKUP(Tabla3[[#This Row],[Cliente factura]],Tabla4[[NIT]:[TOTAL CREDITO]],3,FALSE),0)="",0,IFERROR(VLOOKUP(Tabla3[[#This Row],[Cliente factura]],Tabla4[[NIT]:[TOTAL CREDITO]],3,FALSE),0))</f>
        <v>116885711</v>
      </c>
      <c r="R1774" s="9">
        <f>+IFERROR(VLOOKUP(Tabla3[[#This Row],[Cliente factura]],Tabla4[[NIT]:[TOTAL CREDITO]],6,FALSE),0)</f>
        <v>0</v>
      </c>
      <c r="S1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4" s="10" t="str">
        <f>VLOOKUP(Tabla3[[#This Row],[Razón social cliente factura]]&amp;Tabla3[[#This Row],[Desc. ciudad]],'Estandar de Rutas'!$C$1:$E$553,2,FALSE)</f>
        <v>1.1</v>
      </c>
      <c r="U1774" s="130">
        <f>IFERROR(VLOOKUP(Tabla3[[#This Row],[Referencia]]&amp;Tabla3[[#This Row],[Desc detalle ext 1]],Tabla1[[Referencia-Color]:[Disponibilidad]],3,FALSE),0)</f>
        <v>25</v>
      </c>
      <c r="V1774" s="13"/>
      <c r="W1774" s="17">
        <f>+Tabla3[[#This Row],[Cant. Programada]]*Tabla3[[#This Row],[Precio unit]]</f>
        <v>0</v>
      </c>
      <c r="X1774" s="8"/>
      <c r="Y1774" s="8"/>
      <c r="Z1774" s="8" t="str">
        <f>+Tabla3[[#This Row],[Referencia]]&amp;Tabla3[[#This Row],[Desc detalle ext 1]]</f>
        <v xml:space="preserve">CB 250 TWISTER                                    NEGRO    </v>
      </c>
      <c r="AA1774" s="128" t="e">
        <f>+VLOOKUP(Tabla3[[#This Row],[CODIGO2]],ESTANDAR!$B$3:$C$9,2,FALSE)</f>
        <v>#N/A</v>
      </c>
      <c r="AB1774" s="128" t="str">
        <f>+MID(Tabla3[[#This Row],['# Viaje]],10,1)</f>
        <v/>
      </c>
    </row>
    <row r="1775" spans="1:28" ht="15" hidden="1" customHeight="1">
      <c r="A1775" s="25" t="s">
        <v>1799</v>
      </c>
      <c r="B1775" s="26">
        <v>42948</v>
      </c>
      <c r="C1775" s="25" t="s">
        <v>1477</v>
      </c>
      <c r="D1775" s="25" t="s">
        <v>1487</v>
      </c>
      <c r="E1775" s="25" t="s">
        <v>1479</v>
      </c>
      <c r="F1775" s="25">
        <v>1</v>
      </c>
      <c r="G1775" s="25" t="s">
        <v>182</v>
      </c>
      <c r="H1775" s="25">
        <v>1</v>
      </c>
      <c r="I1775" s="25" t="s">
        <v>1565</v>
      </c>
      <c r="J1775" s="25" t="s">
        <v>1439</v>
      </c>
      <c r="K1775" s="25" t="s">
        <v>1431</v>
      </c>
      <c r="L1775" s="26"/>
      <c r="M1775" s="25" t="s">
        <v>183</v>
      </c>
      <c r="N1775" s="25">
        <v>802016654</v>
      </c>
      <c r="O1775" s="27">
        <v>9210084</v>
      </c>
      <c r="P1775" s="7"/>
      <c r="Q1775" s="16">
        <f>+IF(IFERROR(VLOOKUP(Tabla3[[#This Row],[Cliente factura]],Tabla4[[NIT]:[TOTAL CREDITO]],3,FALSE),0)="",0,IFERROR(VLOOKUP(Tabla3[[#This Row],[Cliente factura]],Tabla4[[NIT]:[TOTAL CREDITO]],3,FALSE),0))</f>
        <v>1252965</v>
      </c>
      <c r="R1775" s="9">
        <f>+IFERROR(VLOOKUP(Tabla3[[#This Row],[Cliente factura]],Tabla4[[NIT]:[TOTAL CREDITO]],6,FALSE),0)</f>
        <v>0</v>
      </c>
      <c r="S1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5" s="10" t="str">
        <f>VLOOKUP(Tabla3[[#This Row],[Razón social cliente factura]]&amp;Tabla3[[#This Row],[Desc. ciudad]],'Estandar de Rutas'!$C$1:$E$553,2,FALSE)</f>
        <v>11.2</v>
      </c>
      <c r="U1775" s="130">
        <f>IFERROR(VLOOKUP(Tabla3[[#This Row],[Referencia]]&amp;Tabla3[[#This Row],[Desc detalle ext 1]],Tabla1[[Referencia-Color]:[Disponibilidad]],3,FALSE),0)</f>
        <v>30</v>
      </c>
      <c r="V1775" s="13"/>
      <c r="W1775" s="17">
        <f>+Tabla3[[#This Row],[Cant. Programada]]*Tabla3[[#This Row],[Precio unit]]</f>
        <v>0</v>
      </c>
      <c r="X1775" s="8"/>
      <c r="Y1775" s="8"/>
      <c r="Z1775" s="8" t="str">
        <f>+Tabla3[[#This Row],[Referencia]]&amp;Tabla3[[#This Row],[Desc detalle ext 1]]</f>
        <v xml:space="preserve">XRE 190                                           ROJO     </v>
      </c>
      <c r="AA1775" s="128" t="e">
        <f>+VLOOKUP(Tabla3[[#This Row],[CODIGO2]],ESTANDAR!$B$3:$C$9,2,FALSE)</f>
        <v>#N/A</v>
      </c>
      <c r="AB1775" s="128" t="str">
        <f>+MID(Tabla3[[#This Row],['# Viaje]],10,1)</f>
        <v/>
      </c>
    </row>
    <row r="1776" spans="1:28" ht="15" hidden="1" customHeight="1">
      <c r="A1776" s="25" t="s">
        <v>1800</v>
      </c>
      <c r="B1776" s="26">
        <v>42948</v>
      </c>
      <c r="C1776" s="25" t="s">
        <v>1231</v>
      </c>
      <c r="D1776" s="25" t="s">
        <v>1237</v>
      </c>
      <c r="E1776" s="25" t="s">
        <v>1479</v>
      </c>
      <c r="F1776" s="25">
        <v>1</v>
      </c>
      <c r="G1776" s="25" t="s">
        <v>69</v>
      </c>
      <c r="H1776" s="25">
        <v>1</v>
      </c>
      <c r="I1776" s="25" t="s">
        <v>1563</v>
      </c>
      <c r="J1776" s="25" t="s">
        <v>1439</v>
      </c>
      <c r="K1776" s="25" t="s">
        <v>1431</v>
      </c>
      <c r="L1776" s="26"/>
      <c r="M1776" s="25" t="s">
        <v>210</v>
      </c>
      <c r="N1776" s="25">
        <v>18125225</v>
      </c>
      <c r="O1776" s="27">
        <v>9210084</v>
      </c>
      <c r="P1776" s="7"/>
      <c r="Q1776" s="16">
        <f>+IF(IFERROR(VLOOKUP(Tabla3[[#This Row],[Cliente factura]],Tabla4[[NIT]:[TOTAL CREDITO]],3,FALSE),0)="",0,IFERROR(VLOOKUP(Tabla3[[#This Row],[Cliente factura]],Tabla4[[NIT]:[TOTAL CREDITO]],3,FALSE),0))</f>
        <v>264217093</v>
      </c>
      <c r="R1776" s="9">
        <f>+IFERROR(VLOOKUP(Tabla3[[#This Row],[Cliente factura]],Tabla4[[NIT]:[TOTAL CREDITO]],6,FALSE),0)</f>
        <v>852000000</v>
      </c>
      <c r="S1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6" s="10" t="str">
        <f>VLOOKUP(Tabla3[[#This Row],[Razón social cliente factura]]&amp;Tabla3[[#This Row],[Desc. ciudad]],'Estandar de Rutas'!$C$1:$E$553,2,FALSE)</f>
        <v>5.2.B</v>
      </c>
      <c r="U1776" s="130">
        <f>IFERROR(VLOOKUP(Tabla3[[#This Row],[Referencia]]&amp;Tabla3[[#This Row],[Desc detalle ext 1]],Tabla1[[Referencia-Color]:[Disponibilidad]],3,FALSE),0)</f>
        <v>30</v>
      </c>
      <c r="V1776" s="13"/>
      <c r="W1776" s="17">
        <f>+Tabla3[[#This Row],[Cant. Programada]]*Tabla3[[#This Row],[Precio unit]]</f>
        <v>0</v>
      </c>
      <c r="X1776" s="8"/>
      <c r="Y1776" s="8"/>
      <c r="Z1776" s="8" t="str">
        <f>+Tabla3[[#This Row],[Referencia]]&amp;Tabla3[[#This Row],[Desc detalle ext 1]]</f>
        <v xml:space="preserve">XRE 190                                           ROJO     </v>
      </c>
      <c r="AA1776" s="128" t="e">
        <f>+VLOOKUP(Tabla3[[#This Row],[CODIGO2]],ESTANDAR!$B$3:$C$9,2,FALSE)</f>
        <v>#N/A</v>
      </c>
      <c r="AB1776" s="128" t="str">
        <f>+MID(Tabla3[[#This Row],['# Viaje]],10,1)</f>
        <v/>
      </c>
    </row>
    <row r="1777" spans="1:28" ht="15" hidden="1" customHeight="1">
      <c r="A1777" s="25" t="s">
        <v>1801</v>
      </c>
      <c r="B1777" s="26">
        <v>42948</v>
      </c>
      <c r="C1777" s="25" t="s">
        <v>1231</v>
      </c>
      <c r="D1777" s="25" t="s">
        <v>1237</v>
      </c>
      <c r="E1777" s="25" t="s">
        <v>1479</v>
      </c>
      <c r="F1777" s="25">
        <v>1</v>
      </c>
      <c r="G1777" s="25" t="s">
        <v>35</v>
      </c>
      <c r="H1777" s="25">
        <v>1</v>
      </c>
      <c r="I1777" s="25" t="s">
        <v>1594</v>
      </c>
      <c r="J1777" s="25" t="s">
        <v>1439</v>
      </c>
      <c r="K1777" s="25" t="s">
        <v>1455</v>
      </c>
      <c r="L1777" s="26"/>
      <c r="M1777" s="25" t="s">
        <v>207</v>
      </c>
      <c r="N1777" s="25">
        <v>14011711</v>
      </c>
      <c r="O1777" s="27">
        <v>9210084</v>
      </c>
      <c r="P1777" s="7"/>
      <c r="Q1777" s="16">
        <f>+IF(IFERROR(VLOOKUP(Tabla3[[#This Row],[Cliente factura]],Tabla4[[NIT]:[TOTAL CREDITO]],3,FALSE),0)="",0,IFERROR(VLOOKUP(Tabla3[[#This Row],[Cliente factura]],Tabla4[[NIT]:[TOTAL CREDITO]],3,FALSE),0))</f>
        <v>20739828</v>
      </c>
      <c r="R1777" s="9">
        <f>+IFERROR(VLOOKUP(Tabla3[[#This Row],[Cliente factura]],Tabla4[[NIT]:[TOTAL CREDITO]],6,FALSE),0)</f>
        <v>200000000</v>
      </c>
      <c r="S1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7" s="10" t="str">
        <f>VLOOKUP(Tabla3[[#This Row],[Razón social cliente factura]]&amp;Tabla3[[#This Row],[Desc. ciudad]],'Estandar de Rutas'!$C$1:$E$553,2,FALSE)</f>
        <v>6.1</v>
      </c>
      <c r="U1777" s="130">
        <f>IFERROR(VLOOKUP(Tabla3[[#This Row],[Referencia]]&amp;Tabla3[[#This Row],[Desc detalle ext 1]],Tabla1[[Referencia-Color]:[Disponibilidad]],3,FALSE),0)</f>
        <v>0</v>
      </c>
      <c r="V1777" s="13"/>
      <c r="W1777" s="17">
        <f>+Tabla3[[#This Row],[Cant. Programada]]*Tabla3[[#This Row],[Precio unit]]</f>
        <v>0</v>
      </c>
      <c r="X1777" s="8"/>
      <c r="Y1777" s="8"/>
      <c r="Z1777" s="8" t="str">
        <f>+Tabla3[[#This Row],[Referencia]]&amp;Tabla3[[#This Row],[Desc detalle ext 1]]</f>
        <v xml:space="preserve">XRE 190                                           VERDE    </v>
      </c>
      <c r="AA1777" s="128" t="e">
        <f>+VLOOKUP(Tabla3[[#This Row],[CODIGO2]],ESTANDAR!$B$3:$C$9,2,FALSE)</f>
        <v>#N/A</v>
      </c>
      <c r="AB1777" s="128" t="str">
        <f>+MID(Tabla3[[#This Row],['# Viaje]],10,1)</f>
        <v/>
      </c>
    </row>
    <row r="1778" spans="1:28" ht="15" hidden="1" customHeight="1">
      <c r="A1778" s="25" t="s">
        <v>1802</v>
      </c>
      <c r="B1778" s="26">
        <v>42948</v>
      </c>
      <c r="C1778" s="25" t="s">
        <v>1477</v>
      </c>
      <c r="D1778" s="25" t="s">
        <v>1487</v>
      </c>
      <c r="E1778" s="25" t="s">
        <v>1479</v>
      </c>
      <c r="F1778" s="25">
        <v>1</v>
      </c>
      <c r="G1778" s="25" t="s">
        <v>172</v>
      </c>
      <c r="H1778" s="25">
        <v>1</v>
      </c>
      <c r="I1778" s="25" t="s">
        <v>172</v>
      </c>
      <c r="J1778" s="25" t="s">
        <v>1436</v>
      </c>
      <c r="K1778" s="25" t="s">
        <v>1432</v>
      </c>
      <c r="L1778" s="26"/>
      <c r="M1778" s="25" t="s">
        <v>177</v>
      </c>
      <c r="N1778" s="25">
        <v>1042768777</v>
      </c>
      <c r="O1778" s="27">
        <v>9762992</v>
      </c>
      <c r="P1778" s="7"/>
      <c r="Q1778" s="16">
        <f>+IF(IFERROR(VLOOKUP(Tabla3[[#This Row],[Cliente factura]],Tabla4[[NIT]:[TOTAL CREDITO]],3,FALSE),0)="",0,IFERROR(VLOOKUP(Tabla3[[#This Row],[Cliente factura]],Tabla4[[NIT]:[TOTAL CREDITO]],3,FALSE),0))</f>
        <v>16000000</v>
      </c>
      <c r="R1778" s="9">
        <f>+IFERROR(VLOOKUP(Tabla3[[#This Row],[Cliente factura]],Tabla4[[NIT]:[TOTAL CREDITO]],6,FALSE),0)</f>
        <v>12000000</v>
      </c>
      <c r="S1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8" s="10" t="str">
        <f>VLOOKUP(Tabla3[[#This Row],[Razón social cliente factura]]&amp;Tabla3[[#This Row],[Desc. ciudad]],'Estandar de Rutas'!$C$1:$E$553,2,FALSE)</f>
        <v>8.3</v>
      </c>
      <c r="U1778" s="130">
        <f>IFERROR(VLOOKUP(Tabla3[[#This Row],[Referencia]]&amp;Tabla3[[#This Row],[Desc detalle ext 1]],Tabla1[[Referencia-Color]:[Disponibilidad]],3,FALSE),0)</f>
        <v>11</v>
      </c>
      <c r="V1778" s="13"/>
      <c r="W1778" s="17">
        <f>+Tabla3[[#This Row],[Cant. Programada]]*Tabla3[[#This Row],[Precio unit]]</f>
        <v>0</v>
      </c>
      <c r="X1778" s="8"/>
      <c r="Y1778" s="8"/>
      <c r="Z1778" s="8" t="str">
        <f>+Tabla3[[#This Row],[Referencia]]&amp;Tabla3[[#This Row],[Desc detalle ext 1]]</f>
        <v xml:space="preserve">CB 250 TWISTER                                    BLANCO   </v>
      </c>
      <c r="AA1778" s="128" t="e">
        <f>+VLOOKUP(Tabla3[[#This Row],[CODIGO2]],ESTANDAR!$B$3:$C$9,2,FALSE)</f>
        <v>#N/A</v>
      </c>
      <c r="AB1778" s="128" t="str">
        <f>+MID(Tabla3[[#This Row],['# Viaje]],10,1)</f>
        <v/>
      </c>
    </row>
    <row r="1779" spans="1:28" ht="15" hidden="1" customHeight="1">
      <c r="A1779" s="25" t="s">
        <v>1803</v>
      </c>
      <c r="B1779" s="26">
        <v>42949</v>
      </c>
      <c r="C1779" s="25" t="s">
        <v>1231</v>
      </c>
      <c r="D1779" s="25" t="s">
        <v>1478</v>
      </c>
      <c r="E1779" s="25" t="s">
        <v>1479</v>
      </c>
      <c r="F1779" s="25">
        <v>1</v>
      </c>
      <c r="G1779" s="25" t="s">
        <v>1260</v>
      </c>
      <c r="H1779" s="25">
        <v>1</v>
      </c>
      <c r="I1779" s="25" t="s">
        <v>1260</v>
      </c>
      <c r="J1779" s="25" t="s">
        <v>1439</v>
      </c>
      <c r="K1779" s="25" t="s">
        <v>1455</v>
      </c>
      <c r="L1779" s="26"/>
      <c r="M1779" s="25" t="s">
        <v>126</v>
      </c>
      <c r="N1779" s="25">
        <v>1098623565</v>
      </c>
      <c r="O1779" s="27">
        <v>9210084</v>
      </c>
      <c r="P1779" s="7"/>
      <c r="Q1779" s="16">
        <f>+IF(IFERROR(VLOOKUP(Tabla3[[#This Row],[Cliente factura]],Tabla4[[NIT]:[TOTAL CREDITO]],3,FALSE),0)="",0,IFERROR(VLOOKUP(Tabla3[[#This Row],[Cliente factura]],Tabla4[[NIT]:[TOTAL CREDITO]],3,FALSE),0))</f>
        <v>0</v>
      </c>
      <c r="R1779" s="9">
        <f>+IFERROR(VLOOKUP(Tabla3[[#This Row],[Cliente factura]],Tabla4[[NIT]:[TOTAL CREDITO]],6,FALSE),0)</f>
        <v>232000000</v>
      </c>
      <c r="S1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9" s="10" t="str">
        <f>VLOOKUP(Tabla3[[#This Row],[Razón social cliente factura]]&amp;Tabla3[[#This Row],[Desc. ciudad]],'Estandar de Rutas'!$C$1:$E$553,2,FALSE)</f>
        <v>6.2.B</v>
      </c>
      <c r="U1779" s="130">
        <f>IFERROR(VLOOKUP(Tabla3[[#This Row],[Referencia]]&amp;Tabla3[[#This Row],[Desc detalle ext 1]],Tabla1[[Referencia-Color]:[Disponibilidad]],3,FALSE),0)</f>
        <v>0</v>
      </c>
      <c r="V1779" s="13"/>
      <c r="W1779" s="17">
        <f>+Tabla3[[#This Row],[Cant. Programada]]*Tabla3[[#This Row],[Precio unit]]</f>
        <v>0</v>
      </c>
      <c r="X1779" s="8"/>
      <c r="Y1779" s="8"/>
      <c r="Z1779" s="8" t="str">
        <f>+Tabla3[[#This Row],[Referencia]]&amp;Tabla3[[#This Row],[Desc detalle ext 1]]</f>
        <v xml:space="preserve">XRE 190                                           VERDE    </v>
      </c>
      <c r="AA1779" s="128" t="e">
        <f>+VLOOKUP(Tabla3[[#This Row],[CODIGO2]],ESTANDAR!$B$3:$C$9,2,FALSE)</f>
        <v>#N/A</v>
      </c>
      <c r="AB1779" s="128" t="str">
        <f>+MID(Tabla3[[#This Row],['# Viaje]],10,1)</f>
        <v/>
      </c>
    </row>
    <row r="1780" spans="1:28" ht="15" hidden="1" customHeight="1">
      <c r="A1780" s="25" t="s">
        <v>1804</v>
      </c>
      <c r="B1780" s="26">
        <v>42949</v>
      </c>
      <c r="C1780" s="25" t="s">
        <v>1477</v>
      </c>
      <c r="D1780" s="25" t="s">
        <v>1487</v>
      </c>
      <c r="E1780" s="25" t="s">
        <v>1232</v>
      </c>
      <c r="F1780" s="25">
        <v>4</v>
      </c>
      <c r="G1780" s="25" t="s">
        <v>149</v>
      </c>
      <c r="H1780" s="25">
        <v>4</v>
      </c>
      <c r="I1780" s="25" t="s">
        <v>1673</v>
      </c>
      <c r="J1780" s="25" t="s">
        <v>1454</v>
      </c>
      <c r="K1780" s="25" t="s">
        <v>16</v>
      </c>
      <c r="L1780" s="26"/>
      <c r="M1780" s="25" t="s">
        <v>150</v>
      </c>
      <c r="N1780" s="25">
        <v>890924996</v>
      </c>
      <c r="O1780" s="27">
        <v>12039370</v>
      </c>
      <c r="P1780" s="7"/>
      <c r="Q17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0" s="9">
        <f>+IFERROR(VLOOKUP(Tabla3[[#This Row],[Cliente factura]],Tabla4[[NIT]:[TOTAL CREDITO]],6,FALSE),0)</f>
        <v>0</v>
      </c>
      <c r="S1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0" s="10" t="str">
        <f>VLOOKUP(Tabla3[[#This Row],[Razón social cliente factura]]&amp;Tabla3[[#This Row],[Desc. ciudad]],'Estandar de Rutas'!$C$1:$E$553,2,FALSE)</f>
        <v>8.1</v>
      </c>
      <c r="U1780" s="130">
        <f>IFERROR(VLOOKUP(Tabla3[[#This Row],[Referencia]]&amp;Tabla3[[#This Row],[Desc detalle ext 1]],Tabla1[[Referencia-Color]:[Disponibilidad]],3,FALSE),0)</f>
        <v>0</v>
      </c>
      <c r="V1780" s="13"/>
      <c r="W1780" s="17">
        <f>+Tabla3[[#This Row],[Cant. Programada]]*Tabla3[[#This Row],[Precio unit]]</f>
        <v>0</v>
      </c>
      <c r="X1780" s="8"/>
      <c r="Y1780" s="8"/>
      <c r="Z1780" s="8" t="str">
        <f>+Tabla3[[#This Row],[Referencia]]&amp;Tabla3[[#This Row],[Desc detalle ext 1]]</f>
        <v xml:space="preserve">XRE  300                                          NEGRO    </v>
      </c>
      <c r="AA1780" s="128" t="e">
        <f>+VLOOKUP(Tabla3[[#This Row],[CODIGO2]],ESTANDAR!$B$3:$C$9,2,FALSE)</f>
        <v>#N/A</v>
      </c>
      <c r="AB1780" s="128" t="str">
        <f>+MID(Tabla3[[#This Row],['# Viaje]],10,1)</f>
        <v/>
      </c>
    </row>
    <row r="1781" spans="1:28" ht="15" hidden="1" customHeight="1">
      <c r="A1781" s="25" t="s">
        <v>1804</v>
      </c>
      <c r="B1781" s="26">
        <v>42949</v>
      </c>
      <c r="C1781" s="25" t="s">
        <v>1477</v>
      </c>
      <c r="D1781" s="25" t="s">
        <v>1487</v>
      </c>
      <c r="E1781" s="25" t="s">
        <v>1232</v>
      </c>
      <c r="F1781" s="25">
        <v>1</v>
      </c>
      <c r="G1781" s="25" t="s">
        <v>149</v>
      </c>
      <c r="H1781" s="25">
        <v>1</v>
      </c>
      <c r="I1781" s="25" t="s">
        <v>1673</v>
      </c>
      <c r="J1781" s="25" t="s">
        <v>1448</v>
      </c>
      <c r="K1781" s="25" t="s">
        <v>1449</v>
      </c>
      <c r="L1781" s="26"/>
      <c r="M1781" s="25" t="s">
        <v>150</v>
      </c>
      <c r="N1781" s="25">
        <v>890924996</v>
      </c>
      <c r="O1781" s="27">
        <v>7352941</v>
      </c>
      <c r="P1781" s="7"/>
      <c r="Q17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1" s="9">
        <f>+IFERROR(VLOOKUP(Tabla3[[#This Row],[Cliente factura]],Tabla4[[NIT]:[TOTAL CREDITO]],6,FALSE),0)</f>
        <v>0</v>
      </c>
      <c r="S1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1" s="10" t="str">
        <f>VLOOKUP(Tabla3[[#This Row],[Razón social cliente factura]]&amp;Tabla3[[#This Row],[Desc. ciudad]],'Estandar de Rutas'!$C$1:$E$553,2,FALSE)</f>
        <v>8.1</v>
      </c>
      <c r="U1781" s="130">
        <f>IFERROR(VLOOKUP(Tabla3[[#This Row],[Referencia]]&amp;Tabla3[[#This Row],[Desc detalle ext 1]],Tabla1[[Referencia-Color]:[Disponibilidad]],3,FALSE),0)</f>
        <v>57</v>
      </c>
      <c r="V1781" s="13"/>
      <c r="W1781" s="17">
        <f>+Tabla3[[#This Row],[Cant. Programada]]*Tabla3[[#This Row],[Precio unit]]</f>
        <v>0</v>
      </c>
      <c r="X1781" s="8"/>
      <c r="Y1781" s="8"/>
      <c r="Z1781" s="8" t="str">
        <f>+Tabla3[[#This Row],[Referencia]]&amp;Tabla3[[#This Row],[Desc detalle ext 1]]</f>
        <v xml:space="preserve">PCX 150                                           GRIS     </v>
      </c>
      <c r="AA1781" s="128" t="e">
        <f>+VLOOKUP(Tabla3[[#This Row],[CODIGO2]],ESTANDAR!$B$3:$C$9,2,FALSE)</f>
        <v>#N/A</v>
      </c>
      <c r="AB1781" s="128" t="str">
        <f>+MID(Tabla3[[#This Row],['# Viaje]],10,1)</f>
        <v/>
      </c>
    </row>
    <row r="1782" spans="1:28" ht="15" hidden="1" customHeight="1">
      <c r="A1782" s="25" t="s">
        <v>1804</v>
      </c>
      <c r="B1782" s="26">
        <v>42949</v>
      </c>
      <c r="C1782" s="25" t="s">
        <v>1477</v>
      </c>
      <c r="D1782" s="25" t="s">
        <v>1487</v>
      </c>
      <c r="E1782" s="25" t="s">
        <v>1232</v>
      </c>
      <c r="F1782" s="25">
        <v>3</v>
      </c>
      <c r="G1782" s="25" t="s">
        <v>149</v>
      </c>
      <c r="H1782" s="25">
        <v>3</v>
      </c>
      <c r="I1782" s="25" t="s">
        <v>1673</v>
      </c>
      <c r="J1782" s="25" t="s">
        <v>1439</v>
      </c>
      <c r="K1782" s="25" t="s">
        <v>16</v>
      </c>
      <c r="L1782" s="26"/>
      <c r="M1782" s="25" t="s">
        <v>150</v>
      </c>
      <c r="N1782" s="25">
        <v>890924996</v>
      </c>
      <c r="O1782" s="27">
        <v>9210084</v>
      </c>
      <c r="P1782" s="7"/>
      <c r="Q17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2" s="9">
        <f>+IFERROR(VLOOKUP(Tabla3[[#This Row],[Cliente factura]],Tabla4[[NIT]:[TOTAL CREDITO]],6,FALSE),0)</f>
        <v>0</v>
      </c>
      <c r="S1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2" s="10" t="str">
        <f>VLOOKUP(Tabla3[[#This Row],[Razón social cliente factura]]&amp;Tabla3[[#This Row],[Desc. ciudad]],'Estandar de Rutas'!$C$1:$E$553,2,FALSE)</f>
        <v>8.1</v>
      </c>
      <c r="U1782" s="130">
        <f>IFERROR(VLOOKUP(Tabla3[[#This Row],[Referencia]]&amp;Tabla3[[#This Row],[Desc detalle ext 1]],Tabla1[[Referencia-Color]:[Disponibilidad]],3,FALSE),0)</f>
        <v>67</v>
      </c>
      <c r="V1782" s="13"/>
      <c r="W1782" s="17">
        <f>+Tabla3[[#This Row],[Cant. Programada]]*Tabla3[[#This Row],[Precio unit]]</f>
        <v>0</v>
      </c>
      <c r="X1782" s="8"/>
      <c r="Y1782" s="8"/>
      <c r="Z1782" s="8" t="str">
        <f>+Tabla3[[#This Row],[Referencia]]&amp;Tabla3[[#This Row],[Desc detalle ext 1]]</f>
        <v xml:space="preserve">XRE 190                                           NEGRO    </v>
      </c>
      <c r="AA1782" s="128" t="e">
        <f>+VLOOKUP(Tabla3[[#This Row],[CODIGO2]],ESTANDAR!$B$3:$C$9,2,FALSE)</f>
        <v>#N/A</v>
      </c>
      <c r="AB1782" s="128" t="str">
        <f>+MID(Tabla3[[#This Row],['# Viaje]],10,1)</f>
        <v/>
      </c>
    </row>
    <row r="1783" spans="1:28" ht="15" hidden="1" customHeight="1">
      <c r="A1783" s="25" t="s">
        <v>1804</v>
      </c>
      <c r="B1783" s="26">
        <v>42949</v>
      </c>
      <c r="C1783" s="25" t="s">
        <v>1477</v>
      </c>
      <c r="D1783" s="25" t="s">
        <v>1487</v>
      </c>
      <c r="E1783" s="25" t="s">
        <v>1232</v>
      </c>
      <c r="F1783" s="25">
        <v>1</v>
      </c>
      <c r="G1783" s="25" t="s">
        <v>149</v>
      </c>
      <c r="H1783" s="25">
        <v>1</v>
      </c>
      <c r="I1783" s="25" t="s">
        <v>1673</v>
      </c>
      <c r="J1783" s="25" t="s">
        <v>1436</v>
      </c>
      <c r="K1783" s="25" t="s">
        <v>16</v>
      </c>
      <c r="L1783" s="26"/>
      <c r="M1783" s="25" t="s">
        <v>150</v>
      </c>
      <c r="N1783" s="25">
        <v>890924996</v>
      </c>
      <c r="O1783" s="27">
        <v>9762992</v>
      </c>
      <c r="P1783" s="7"/>
      <c r="Q17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3" s="9">
        <f>+IFERROR(VLOOKUP(Tabla3[[#This Row],[Cliente factura]],Tabla4[[NIT]:[TOTAL CREDITO]],6,FALSE),0)</f>
        <v>0</v>
      </c>
      <c r="S1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3" s="10" t="str">
        <f>VLOOKUP(Tabla3[[#This Row],[Razón social cliente factura]]&amp;Tabla3[[#This Row],[Desc. ciudad]],'Estandar de Rutas'!$C$1:$E$553,2,FALSE)</f>
        <v>8.1</v>
      </c>
      <c r="U1783" s="130">
        <f>IFERROR(VLOOKUP(Tabla3[[#This Row],[Referencia]]&amp;Tabla3[[#This Row],[Desc detalle ext 1]],Tabla1[[Referencia-Color]:[Disponibilidad]],3,FALSE),0)</f>
        <v>25</v>
      </c>
      <c r="V1783" s="13"/>
      <c r="W1783" s="17">
        <f>+Tabla3[[#This Row],[Cant. Programada]]*Tabla3[[#This Row],[Precio unit]]</f>
        <v>0</v>
      </c>
      <c r="X1783" s="8"/>
      <c r="Y1783" s="8"/>
      <c r="Z1783" s="8" t="str">
        <f>+Tabla3[[#This Row],[Referencia]]&amp;Tabla3[[#This Row],[Desc detalle ext 1]]</f>
        <v xml:space="preserve">CB 250 TWISTER                                    NEGRO    </v>
      </c>
      <c r="AA1783" s="128" t="e">
        <f>+VLOOKUP(Tabla3[[#This Row],[CODIGO2]],ESTANDAR!$B$3:$C$9,2,FALSE)</f>
        <v>#N/A</v>
      </c>
      <c r="AB1783" s="128" t="str">
        <f>+MID(Tabla3[[#This Row],['# Viaje]],10,1)</f>
        <v/>
      </c>
    </row>
    <row r="1784" spans="1:28" ht="15" hidden="1" customHeight="1">
      <c r="A1784" s="25" t="s">
        <v>1804</v>
      </c>
      <c r="B1784" s="26">
        <v>42949</v>
      </c>
      <c r="C1784" s="25" t="s">
        <v>1477</v>
      </c>
      <c r="D1784" s="25" t="s">
        <v>1487</v>
      </c>
      <c r="E1784" s="25" t="s">
        <v>1232</v>
      </c>
      <c r="F1784" s="25">
        <v>2</v>
      </c>
      <c r="G1784" s="25" t="s">
        <v>149</v>
      </c>
      <c r="H1784" s="25">
        <v>2</v>
      </c>
      <c r="I1784" s="25" t="s">
        <v>1673</v>
      </c>
      <c r="J1784" s="25" t="s">
        <v>1436</v>
      </c>
      <c r="K1784" s="25" t="s">
        <v>1431</v>
      </c>
      <c r="L1784" s="26"/>
      <c r="M1784" s="25" t="s">
        <v>150</v>
      </c>
      <c r="N1784" s="25">
        <v>890924996</v>
      </c>
      <c r="O1784" s="27">
        <v>9762992</v>
      </c>
      <c r="P1784" s="7"/>
      <c r="Q17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4" s="9">
        <f>+IFERROR(VLOOKUP(Tabla3[[#This Row],[Cliente factura]],Tabla4[[NIT]:[TOTAL CREDITO]],6,FALSE),0)</f>
        <v>0</v>
      </c>
      <c r="S1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4" s="10" t="str">
        <f>VLOOKUP(Tabla3[[#This Row],[Razón social cliente factura]]&amp;Tabla3[[#This Row],[Desc. ciudad]],'Estandar de Rutas'!$C$1:$E$553,2,FALSE)</f>
        <v>8.1</v>
      </c>
      <c r="U1784" s="130">
        <f>IFERROR(VLOOKUP(Tabla3[[#This Row],[Referencia]]&amp;Tabla3[[#This Row],[Desc detalle ext 1]],Tabla1[[Referencia-Color]:[Disponibilidad]],3,FALSE),0)</f>
        <v>22</v>
      </c>
      <c r="V1784" s="13"/>
      <c r="W1784" s="17">
        <f>+Tabla3[[#This Row],[Cant. Programada]]*Tabla3[[#This Row],[Precio unit]]</f>
        <v>0</v>
      </c>
      <c r="X1784" s="8"/>
      <c r="Y1784" s="8"/>
      <c r="Z1784" s="8" t="str">
        <f>+Tabla3[[#This Row],[Referencia]]&amp;Tabla3[[#This Row],[Desc detalle ext 1]]</f>
        <v xml:space="preserve">CB 250 TWISTER                                    ROJO     </v>
      </c>
      <c r="AA1784" s="128" t="e">
        <f>+VLOOKUP(Tabla3[[#This Row],[CODIGO2]],ESTANDAR!$B$3:$C$9,2,FALSE)</f>
        <v>#N/A</v>
      </c>
      <c r="AB1784" s="128" t="str">
        <f>+MID(Tabla3[[#This Row],['# Viaje]],10,1)</f>
        <v/>
      </c>
    </row>
    <row r="1785" spans="1:28" ht="15" hidden="1" customHeight="1">
      <c r="A1785" s="25" t="s">
        <v>1805</v>
      </c>
      <c r="B1785" s="26">
        <v>42949</v>
      </c>
      <c r="C1785" s="25" t="s">
        <v>1231</v>
      </c>
      <c r="D1785" s="25" t="s">
        <v>1237</v>
      </c>
      <c r="E1785" s="25" t="s">
        <v>1232</v>
      </c>
      <c r="F1785" s="25">
        <v>1</v>
      </c>
      <c r="G1785" s="25" t="s">
        <v>9</v>
      </c>
      <c r="H1785" s="25">
        <v>1</v>
      </c>
      <c r="I1785" s="25" t="s">
        <v>1241</v>
      </c>
      <c r="J1785" s="25" t="s">
        <v>1439</v>
      </c>
      <c r="K1785" s="25" t="s">
        <v>1455</v>
      </c>
      <c r="L1785" s="26"/>
      <c r="M1785" s="25" t="s">
        <v>256</v>
      </c>
      <c r="N1785" s="25">
        <v>900129262</v>
      </c>
      <c r="O1785" s="27">
        <v>9210084</v>
      </c>
      <c r="P1785" s="7"/>
      <c r="Q17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5" s="9">
        <f>+IFERROR(VLOOKUP(Tabla3[[#This Row],[Cliente factura]],Tabla4[[NIT]:[TOTAL CREDITO]],6,FALSE),0)</f>
        <v>0</v>
      </c>
      <c r="S1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5" s="10" t="str">
        <f>VLOOKUP(Tabla3[[#This Row],[Razón social cliente factura]]&amp;Tabla3[[#This Row],[Desc. ciudad]],'Estandar de Rutas'!$C$1:$E$553,2,FALSE)</f>
        <v>5.1.A</v>
      </c>
      <c r="U1785" s="130">
        <f>IFERROR(VLOOKUP(Tabla3[[#This Row],[Referencia]]&amp;Tabla3[[#This Row],[Desc detalle ext 1]],Tabla1[[Referencia-Color]:[Disponibilidad]],3,FALSE),0)</f>
        <v>0</v>
      </c>
      <c r="V1785" s="13"/>
      <c r="W1785" s="17">
        <f>+Tabla3[[#This Row],[Cant. Programada]]*Tabla3[[#This Row],[Precio unit]]</f>
        <v>0</v>
      </c>
      <c r="X1785" s="8"/>
      <c r="Y1785" s="8"/>
      <c r="Z1785" s="8" t="str">
        <f>+Tabla3[[#This Row],[Referencia]]&amp;Tabla3[[#This Row],[Desc detalle ext 1]]</f>
        <v xml:space="preserve">XRE 190                                           VERDE    </v>
      </c>
      <c r="AA1785" s="128" t="e">
        <f>+VLOOKUP(Tabla3[[#This Row],[CODIGO2]],ESTANDAR!$B$3:$C$9,2,FALSE)</f>
        <v>#N/A</v>
      </c>
      <c r="AB1785" s="128" t="str">
        <f>+MID(Tabla3[[#This Row],['# Viaje]],10,1)</f>
        <v/>
      </c>
    </row>
    <row r="1786" spans="1:28" ht="15" hidden="1" customHeight="1">
      <c r="A1786" s="25" t="s">
        <v>1806</v>
      </c>
      <c r="B1786" s="26">
        <v>42949</v>
      </c>
      <c r="C1786" s="25" t="s">
        <v>1231</v>
      </c>
      <c r="D1786" s="25" t="s">
        <v>1237</v>
      </c>
      <c r="E1786" s="25" t="s">
        <v>1232</v>
      </c>
      <c r="F1786" s="25">
        <v>1</v>
      </c>
      <c r="G1786" s="25" t="s">
        <v>37</v>
      </c>
      <c r="H1786" s="25">
        <v>1</v>
      </c>
      <c r="I1786" s="25" t="s">
        <v>1239</v>
      </c>
      <c r="J1786" s="25" t="s">
        <v>1439</v>
      </c>
      <c r="K1786" s="25" t="s">
        <v>1455</v>
      </c>
      <c r="L1786" s="26"/>
      <c r="M1786" s="25" t="s">
        <v>148</v>
      </c>
      <c r="N1786" s="25">
        <v>890705341</v>
      </c>
      <c r="O1786" s="27">
        <v>9210084</v>
      </c>
      <c r="P1786" s="7"/>
      <c r="Q1786" s="16">
        <f>+IF(IFERROR(VLOOKUP(Tabla3[[#This Row],[Cliente factura]],Tabla4[[NIT]:[TOTAL CREDITO]],3,FALSE),0)="",0,IFERROR(VLOOKUP(Tabla3[[#This Row],[Cliente factura]],Tabla4[[NIT]:[TOTAL CREDITO]],3,FALSE),0))</f>
        <v>68342860</v>
      </c>
      <c r="R1786" s="9">
        <f>+IFERROR(VLOOKUP(Tabla3[[#This Row],[Cliente factura]],Tabla4[[NIT]:[TOTAL CREDITO]],6,FALSE),0)</f>
        <v>0</v>
      </c>
      <c r="S1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6" s="10" t="str">
        <f>VLOOKUP(Tabla3[[#This Row],[Razón social cliente factura]]&amp;Tabla3[[#This Row],[Desc. ciudad]],'Estandar de Rutas'!$C$1:$E$553,2,FALSE)</f>
        <v>5.0</v>
      </c>
      <c r="U1786" s="130">
        <f>IFERROR(VLOOKUP(Tabla3[[#This Row],[Referencia]]&amp;Tabla3[[#This Row],[Desc detalle ext 1]],Tabla1[[Referencia-Color]:[Disponibilidad]],3,FALSE),0)</f>
        <v>0</v>
      </c>
      <c r="V1786" s="13"/>
      <c r="W1786" s="17">
        <f>+Tabla3[[#This Row],[Cant. Programada]]*Tabla3[[#This Row],[Precio unit]]</f>
        <v>0</v>
      </c>
      <c r="X1786" s="8"/>
      <c r="Y1786" s="8"/>
      <c r="Z1786" s="8" t="str">
        <f>+Tabla3[[#This Row],[Referencia]]&amp;Tabla3[[#This Row],[Desc detalle ext 1]]</f>
        <v xml:space="preserve">XRE 190                                           VERDE    </v>
      </c>
      <c r="AA1786" s="128" t="e">
        <f>+VLOOKUP(Tabla3[[#This Row],[CODIGO2]],ESTANDAR!$B$3:$C$9,2,FALSE)</f>
        <v>#N/A</v>
      </c>
      <c r="AB1786" s="128" t="str">
        <f>+MID(Tabla3[[#This Row],['# Viaje]],10,1)</f>
        <v/>
      </c>
    </row>
    <row r="1787" spans="1:28" ht="15" hidden="1" customHeight="1">
      <c r="A1787" s="25" t="s">
        <v>1806</v>
      </c>
      <c r="B1787" s="26">
        <v>42949</v>
      </c>
      <c r="C1787" s="25" t="s">
        <v>1231</v>
      </c>
      <c r="D1787" s="25" t="s">
        <v>1237</v>
      </c>
      <c r="E1787" s="25" t="s">
        <v>1232</v>
      </c>
      <c r="F1787" s="25">
        <v>1</v>
      </c>
      <c r="G1787" s="25" t="s">
        <v>37</v>
      </c>
      <c r="H1787" s="25">
        <v>1</v>
      </c>
      <c r="I1787" s="25" t="s">
        <v>1239</v>
      </c>
      <c r="J1787" s="25" t="s">
        <v>1439</v>
      </c>
      <c r="K1787" s="25" t="s">
        <v>16</v>
      </c>
      <c r="L1787" s="26"/>
      <c r="M1787" s="25" t="s">
        <v>148</v>
      </c>
      <c r="N1787" s="25">
        <v>890705341</v>
      </c>
      <c r="O1787" s="27">
        <v>9210084</v>
      </c>
      <c r="P1787" s="7"/>
      <c r="Q1787" s="16">
        <f>+IF(IFERROR(VLOOKUP(Tabla3[[#This Row],[Cliente factura]],Tabla4[[NIT]:[TOTAL CREDITO]],3,FALSE),0)="",0,IFERROR(VLOOKUP(Tabla3[[#This Row],[Cliente factura]],Tabla4[[NIT]:[TOTAL CREDITO]],3,FALSE),0))</f>
        <v>68342860</v>
      </c>
      <c r="R1787" s="9">
        <f>+IFERROR(VLOOKUP(Tabla3[[#This Row],[Cliente factura]],Tabla4[[NIT]:[TOTAL CREDITO]],6,FALSE),0)</f>
        <v>0</v>
      </c>
      <c r="S1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7" s="10" t="str">
        <f>VLOOKUP(Tabla3[[#This Row],[Razón social cliente factura]]&amp;Tabla3[[#This Row],[Desc. ciudad]],'Estandar de Rutas'!$C$1:$E$553,2,FALSE)</f>
        <v>5.0</v>
      </c>
      <c r="U1787" s="130">
        <f>IFERROR(VLOOKUP(Tabla3[[#This Row],[Referencia]]&amp;Tabla3[[#This Row],[Desc detalle ext 1]],Tabla1[[Referencia-Color]:[Disponibilidad]],3,FALSE),0)</f>
        <v>67</v>
      </c>
      <c r="V1787" s="13"/>
      <c r="W1787" s="17">
        <f>+Tabla3[[#This Row],[Cant. Programada]]*Tabla3[[#This Row],[Precio unit]]</f>
        <v>0</v>
      </c>
      <c r="X1787" s="8"/>
      <c r="Y1787" s="8"/>
      <c r="Z1787" s="8" t="str">
        <f>+Tabla3[[#This Row],[Referencia]]&amp;Tabla3[[#This Row],[Desc detalle ext 1]]</f>
        <v xml:space="preserve">XRE 190                                           NEGRO    </v>
      </c>
      <c r="AA1787" s="128" t="e">
        <f>+VLOOKUP(Tabla3[[#This Row],[CODIGO2]],ESTANDAR!$B$3:$C$9,2,FALSE)</f>
        <v>#N/A</v>
      </c>
      <c r="AB1787" s="128" t="str">
        <f>+MID(Tabla3[[#This Row],['# Viaje]],10,1)</f>
        <v/>
      </c>
    </row>
    <row r="1788" spans="1:28" ht="15" hidden="1" customHeight="1">
      <c r="A1788" s="25" t="s">
        <v>1806</v>
      </c>
      <c r="B1788" s="26">
        <v>42949</v>
      </c>
      <c r="C1788" s="25" t="s">
        <v>1231</v>
      </c>
      <c r="D1788" s="25" t="s">
        <v>1237</v>
      </c>
      <c r="E1788" s="25" t="s">
        <v>1232</v>
      </c>
      <c r="F1788" s="25">
        <v>1</v>
      </c>
      <c r="G1788" s="25" t="s">
        <v>37</v>
      </c>
      <c r="H1788" s="25">
        <v>1</v>
      </c>
      <c r="I1788" s="25" t="s">
        <v>1239</v>
      </c>
      <c r="J1788" s="25" t="s">
        <v>1436</v>
      </c>
      <c r="K1788" s="25" t="s">
        <v>16</v>
      </c>
      <c r="L1788" s="26"/>
      <c r="M1788" s="25" t="s">
        <v>148</v>
      </c>
      <c r="N1788" s="25">
        <v>890705341</v>
      </c>
      <c r="O1788" s="27">
        <v>9762992</v>
      </c>
      <c r="P1788" s="7"/>
      <c r="Q1788" s="16">
        <f>+IF(IFERROR(VLOOKUP(Tabla3[[#This Row],[Cliente factura]],Tabla4[[NIT]:[TOTAL CREDITO]],3,FALSE),0)="",0,IFERROR(VLOOKUP(Tabla3[[#This Row],[Cliente factura]],Tabla4[[NIT]:[TOTAL CREDITO]],3,FALSE),0))</f>
        <v>68342860</v>
      </c>
      <c r="R1788" s="9">
        <f>+IFERROR(VLOOKUP(Tabla3[[#This Row],[Cliente factura]],Tabla4[[NIT]:[TOTAL CREDITO]],6,FALSE),0)</f>
        <v>0</v>
      </c>
      <c r="S1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8" s="10" t="str">
        <f>VLOOKUP(Tabla3[[#This Row],[Razón social cliente factura]]&amp;Tabla3[[#This Row],[Desc. ciudad]],'Estandar de Rutas'!$C$1:$E$553,2,FALSE)</f>
        <v>5.0</v>
      </c>
      <c r="U1788" s="130">
        <f>IFERROR(VLOOKUP(Tabla3[[#This Row],[Referencia]]&amp;Tabla3[[#This Row],[Desc detalle ext 1]],Tabla1[[Referencia-Color]:[Disponibilidad]],3,FALSE),0)</f>
        <v>25</v>
      </c>
      <c r="V1788" s="13"/>
      <c r="W1788" s="17">
        <f>+Tabla3[[#This Row],[Cant. Programada]]*Tabla3[[#This Row],[Precio unit]]</f>
        <v>0</v>
      </c>
      <c r="X1788" s="8"/>
      <c r="Y1788" s="8"/>
      <c r="Z1788" s="8" t="str">
        <f>+Tabla3[[#This Row],[Referencia]]&amp;Tabla3[[#This Row],[Desc detalle ext 1]]</f>
        <v xml:space="preserve">CB 250 TWISTER                                    NEGRO    </v>
      </c>
      <c r="AA1788" s="128" t="e">
        <f>+VLOOKUP(Tabla3[[#This Row],[CODIGO2]],ESTANDAR!$B$3:$C$9,2,FALSE)</f>
        <v>#N/A</v>
      </c>
      <c r="AB1788" s="128" t="str">
        <f>+MID(Tabla3[[#This Row],['# Viaje]],10,1)</f>
        <v/>
      </c>
    </row>
    <row r="1789" spans="1:28" ht="15" hidden="1" customHeight="1">
      <c r="A1789" s="25" t="s">
        <v>1807</v>
      </c>
      <c r="B1789" s="26">
        <v>42949</v>
      </c>
      <c r="C1789" s="25" t="s">
        <v>1231</v>
      </c>
      <c r="D1789" s="25" t="s">
        <v>1237</v>
      </c>
      <c r="E1789" s="25" t="s">
        <v>1232</v>
      </c>
      <c r="F1789" s="25">
        <v>1</v>
      </c>
      <c r="G1789" s="25" t="s">
        <v>37</v>
      </c>
      <c r="H1789" s="25">
        <v>1</v>
      </c>
      <c r="I1789" s="25" t="s">
        <v>1681</v>
      </c>
      <c r="J1789" s="25" t="s">
        <v>1439</v>
      </c>
      <c r="K1789" s="25" t="s">
        <v>1455</v>
      </c>
      <c r="L1789" s="26"/>
      <c r="M1789" s="25" t="s">
        <v>148</v>
      </c>
      <c r="N1789" s="25">
        <v>890705341</v>
      </c>
      <c r="O1789" s="27">
        <v>9210084</v>
      </c>
      <c r="P1789" s="7"/>
      <c r="Q1789" s="16">
        <f>+IF(IFERROR(VLOOKUP(Tabla3[[#This Row],[Cliente factura]],Tabla4[[NIT]:[TOTAL CREDITO]],3,FALSE),0)="",0,IFERROR(VLOOKUP(Tabla3[[#This Row],[Cliente factura]],Tabla4[[NIT]:[TOTAL CREDITO]],3,FALSE),0))</f>
        <v>68342860</v>
      </c>
      <c r="R1789" s="9">
        <f>+IFERROR(VLOOKUP(Tabla3[[#This Row],[Cliente factura]],Tabla4[[NIT]:[TOTAL CREDITO]],6,FALSE),0)</f>
        <v>0</v>
      </c>
      <c r="S1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9" s="10" t="str">
        <f>VLOOKUP(Tabla3[[#This Row],[Razón social cliente factura]]&amp;Tabla3[[#This Row],[Desc. ciudad]],'Estandar de Rutas'!$C$1:$E$553,2,FALSE)</f>
        <v>5.0</v>
      </c>
      <c r="U1789" s="130">
        <f>IFERROR(VLOOKUP(Tabla3[[#This Row],[Referencia]]&amp;Tabla3[[#This Row],[Desc detalle ext 1]],Tabla1[[Referencia-Color]:[Disponibilidad]],3,FALSE),0)</f>
        <v>0</v>
      </c>
      <c r="V1789" s="13"/>
      <c r="W1789" s="17">
        <f>+Tabla3[[#This Row],[Cant. Programada]]*Tabla3[[#This Row],[Precio unit]]</f>
        <v>0</v>
      </c>
      <c r="X1789" s="8"/>
      <c r="Y1789" s="8"/>
      <c r="Z1789" s="8" t="str">
        <f>+Tabla3[[#This Row],[Referencia]]&amp;Tabla3[[#This Row],[Desc detalle ext 1]]</f>
        <v xml:space="preserve">XRE 190                                           VERDE    </v>
      </c>
      <c r="AA1789" s="128" t="e">
        <f>+VLOOKUP(Tabla3[[#This Row],[CODIGO2]],ESTANDAR!$B$3:$C$9,2,FALSE)</f>
        <v>#N/A</v>
      </c>
      <c r="AB1789" s="128" t="str">
        <f>+MID(Tabla3[[#This Row],['# Viaje]],10,1)</f>
        <v/>
      </c>
    </row>
    <row r="1790" spans="1:28" ht="15" hidden="1" customHeight="1">
      <c r="A1790" s="25" t="s">
        <v>1808</v>
      </c>
      <c r="B1790" s="26">
        <v>42949</v>
      </c>
      <c r="C1790" s="25" t="s">
        <v>1231</v>
      </c>
      <c r="D1790" s="25" t="s">
        <v>1237</v>
      </c>
      <c r="E1790" s="25" t="s">
        <v>1232</v>
      </c>
      <c r="F1790" s="25">
        <v>1</v>
      </c>
      <c r="G1790" s="25" t="s">
        <v>37</v>
      </c>
      <c r="H1790" s="25">
        <v>1</v>
      </c>
      <c r="I1790" s="25" t="s">
        <v>1683</v>
      </c>
      <c r="J1790" s="25" t="s">
        <v>1439</v>
      </c>
      <c r="K1790" s="25" t="s">
        <v>16</v>
      </c>
      <c r="L1790" s="26"/>
      <c r="M1790" s="25" t="s">
        <v>39</v>
      </c>
      <c r="N1790" s="25">
        <v>890705341</v>
      </c>
      <c r="O1790" s="27">
        <v>9210084</v>
      </c>
      <c r="P1790" s="7"/>
      <c r="Q1790" s="16">
        <f>+IF(IFERROR(VLOOKUP(Tabla3[[#This Row],[Cliente factura]],Tabla4[[NIT]:[TOTAL CREDITO]],3,FALSE),0)="",0,IFERROR(VLOOKUP(Tabla3[[#This Row],[Cliente factura]],Tabla4[[NIT]:[TOTAL CREDITO]],3,FALSE),0))</f>
        <v>68342860</v>
      </c>
      <c r="R1790" s="9">
        <f>+IFERROR(VLOOKUP(Tabla3[[#This Row],[Cliente factura]],Tabla4[[NIT]:[TOTAL CREDITO]],6,FALSE),0)</f>
        <v>0</v>
      </c>
      <c r="S1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0" s="10" t="str">
        <f>VLOOKUP(Tabla3[[#This Row],[Razón social cliente factura]]&amp;Tabla3[[#This Row],[Desc. ciudad]],'Estandar de Rutas'!$C$1:$E$553,2,FALSE)</f>
        <v>6.1</v>
      </c>
      <c r="U1790" s="130">
        <f>IFERROR(VLOOKUP(Tabla3[[#This Row],[Referencia]]&amp;Tabla3[[#This Row],[Desc detalle ext 1]],Tabla1[[Referencia-Color]:[Disponibilidad]],3,FALSE),0)</f>
        <v>67</v>
      </c>
      <c r="V1790" s="13"/>
      <c r="W1790" s="17">
        <f>+Tabla3[[#This Row],[Cant. Programada]]*Tabla3[[#This Row],[Precio unit]]</f>
        <v>0</v>
      </c>
      <c r="X1790" s="8"/>
      <c r="Y1790" s="8"/>
      <c r="Z1790" s="8" t="str">
        <f>+Tabla3[[#This Row],[Referencia]]&amp;Tabla3[[#This Row],[Desc detalle ext 1]]</f>
        <v xml:space="preserve">XRE 190                                           NEGRO    </v>
      </c>
      <c r="AA1790" s="128" t="e">
        <f>+VLOOKUP(Tabla3[[#This Row],[CODIGO2]],ESTANDAR!$B$3:$C$9,2,FALSE)</f>
        <v>#N/A</v>
      </c>
      <c r="AB1790" s="128" t="str">
        <f>+MID(Tabla3[[#This Row],['# Viaje]],10,1)</f>
        <v/>
      </c>
    </row>
    <row r="1791" spans="1:28" ht="15" hidden="1" customHeight="1">
      <c r="A1791" s="25" t="s">
        <v>1809</v>
      </c>
      <c r="B1791" s="26">
        <v>42949</v>
      </c>
      <c r="C1791" s="25" t="s">
        <v>1477</v>
      </c>
      <c r="D1791" s="25" t="s">
        <v>1487</v>
      </c>
      <c r="E1791" s="25" t="s">
        <v>1479</v>
      </c>
      <c r="F1791" s="25">
        <v>1</v>
      </c>
      <c r="G1791" s="25" t="s">
        <v>165</v>
      </c>
      <c r="H1791" s="25">
        <v>1</v>
      </c>
      <c r="I1791" s="25" t="s">
        <v>1645</v>
      </c>
      <c r="J1791" s="25" t="s">
        <v>1460</v>
      </c>
      <c r="K1791" s="25" t="s">
        <v>1457</v>
      </c>
      <c r="L1791" s="26"/>
      <c r="M1791" s="25" t="s">
        <v>166</v>
      </c>
      <c r="N1791" s="25">
        <v>900228870</v>
      </c>
      <c r="O1791" s="27">
        <v>12433071</v>
      </c>
      <c r="P1791" s="7"/>
      <c r="Q17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91" s="9">
        <f>+IFERROR(VLOOKUP(Tabla3[[#This Row],[Cliente factura]],Tabla4[[NIT]:[TOTAL CREDITO]],6,FALSE),0)</f>
        <v>0</v>
      </c>
      <c r="S1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1" s="10" t="str">
        <f>VLOOKUP(Tabla3[[#This Row],[Razón social cliente factura]]&amp;Tabla3[[#This Row],[Desc. ciudad]],'Estandar de Rutas'!$C$1:$E$553,2,FALSE)</f>
        <v>8.3</v>
      </c>
      <c r="U1791" s="130">
        <f>IFERROR(VLOOKUP(Tabla3[[#This Row],[Referencia]]&amp;Tabla3[[#This Row],[Desc detalle ext 1]],Tabla1[[Referencia-Color]:[Disponibilidad]],3,FALSE),0)</f>
        <v>1</v>
      </c>
      <c r="V1791" s="13"/>
      <c r="W1791" s="17">
        <f>+Tabla3[[#This Row],[Cant. Programada]]*Tabla3[[#This Row],[Precio unit]]</f>
        <v>0</v>
      </c>
      <c r="X1791" s="8"/>
      <c r="Y1791" s="8"/>
      <c r="Z1791" s="8" t="str">
        <f>+Tabla3[[#This Row],[Referencia]]&amp;Tabla3[[#This Row],[Desc detalle ext 1]]</f>
        <v>XRE 300 RALLY                                     BLANCO AZ</v>
      </c>
      <c r="AA1791" s="128" t="e">
        <f>+VLOOKUP(Tabla3[[#This Row],[CODIGO2]],ESTANDAR!$B$3:$C$9,2,FALSE)</f>
        <v>#N/A</v>
      </c>
      <c r="AB1791" s="128" t="str">
        <f>+MID(Tabla3[[#This Row],['# Viaje]],10,1)</f>
        <v/>
      </c>
    </row>
    <row r="1792" spans="1:28" ht="15" hidden="1" customHeight="1">
      <c r="A1792" s="25" t="s">
        <v>1810</v>
      </c>
      <c r="B1792" s="26">
        <v>42949</v>
      </c>
      <c r="C1792" s="25" t="s">
        <v>1231</v>
      </c>
      <c r="D1792" s="25" t="s">
        <v>1237</v>
      </c>
      <c r="E1792" s="25" t="s">
        <v>1232</v>
      </c>
      <c r="F1792" s="25">
        <v>1</v>
      </c>
      <c r="G1792" s="25" t="s">
        <v>37</v>
      </c>
      <c r="H1792" s="25">
        <v>1</v>
      </c>
      <c r="I1792" s="25" t="s">
        <v>1685</v>
      </c>
      <c r="J1792" s="25" t="s">
        <v>1439</v>
      </c>
      <c r="K1792" s="25" t="s">
        <v>16</v>
      </c>
      <c r="L1792" s="26"/>
      <c r="M1792" s="25" t="s">
        <v>38</v>
      </c>
      <c r="N1792" s="25">
        <v>890705341</v>
      </c>
      <c r="O1792" s="27">
        <v>9210084</v>
      </c>
      <c r="P1792" s="7"/>
      <c r="Q1792" s="16">
        <f>+IF(IFERROR(VLOOKUP(Tabla3[[#This Row],[Cliente factura]],Tabla4[[NIT]:[TOTAL CREDITO]],3,FALSE),0)="",0,IFERROR(VLOOKUP(Tabla3[[#This Row],[Cliente factura]],Tabla4[[NIT]:[TOTAL CREDITO]],3,FALSE),0))</f>
        <v>68342860</v>
      </c>
      <c r="R1792" s="9">
        <f>+IFERROR(VLOOKUP(Tabla3[[#This Row],[Cliente factura]],Tabla4[[NIT]:[TOTAL CREDITO]],6,FALSE),0)</f>
        <v>0</v>
      </c>
      <c r="S1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2" s="10" t="str">
        <f>VLOOKUP(Tabla3[[#This Row],[Razón social cliente factura]]&amp;Tabla3[[#This Row],[Desc. ciudad]],'Estandar de Rutas'!$C$1:$E$553,2,FALSE)</f>
        <v>6.1.A</v>
      </c>
      <c r="U1792" s="130">
        <f>IFERROR(VLOOKUP(Tabla3[[#This Row],[Referencia]]&amp;Tabla3[[#This Row],[Desc detalle ext 1]],Tabla1[[Referencia-Color]:[Disponibilidad]],3,FALSE),0)</f>
        <v>67</v>
      </c>
      <c r="V1792" s="13"/>
      <c r="W1792" s="17">
        <f>+Tabla3[[#This Row],[Cant. Programada]]*Tabla3[[#This Row],[Precio unit]]</f>
        <v>0</v>
      </c>
      <c r="X1792" s="8"/>
      <c r="Y1792" s="8"/>
      <c r="Z1792" s="8" t="str">
        <f>+Tabla3[[#This Row],[Referencia]]&amp;Tabla3[[#This Row],[Desc detalle ext 1]]</f>
        <v xml:space="preserve">XRE 190                                           NEGRO    </v>
      </c>
      <c r="AA1792" s="128" t="e">
        <f>+VLOOKUP(Tabla3[[#This Row],[CODIGO2]],ESTANDAR!$B$3:$C$9,2,FALSE)</f>
        <v>#N/A</v>
      </c>
      <c r="AB1792" s="128" t="str">
        <f>+MID(Tabla3[[#This Row],['# Viaje]],10,1)</f>
        <v/>
      </c>
    </row>
    <row r="1793" spans="1:28" ht="15" hidden="1" customHeight="1">
      <c r="A1793" s="25" t="s">
        <v>1811</v>
      </c>
      <c r="B1793" s="26">
        <v>42949</v>
      </c>
      <c r="C1793" s="25" t="s">
        <v>1231</v>
      </c>
      <c r="D1793" s="25" t="s">
        <v>1237</v>
      </c>
      <c r="E1793" s="25" t="s">
        <v>1232</v>
      </c>
      <c r="F1793" s="25">
        <v>1</v>
      </c>
      <c r="G1793" s="25" t="s">
        <v>37</v>
      </c>
      <c r="H1793" s="25">
        <v>1</v>
      </c>
      <c r="I1793" s="25" t="s">
        <v>1687</v>
      </c>
      <c r="J1793" s="25" t="s">
        <v>1439</v>
      </c>
      <c r="K1793" s="25" t="s">
        <v>1431</v>
      </c>
      <c r="L1793" s="26"/>
      <c r="M1793" s="25" t="s">
        <v>207</v>
      </c>
      <c r="N1793" s="25">
        <v>890705341</v>
      </c>
      <c r="O1793" s="27">
        <v>9210084</v>
      </c>
      <c r="P1793" s="7"/>
      <c r="Q1793" s="16">
        <f>+IF(IFERROR(VLOOKUP(Tabla3[[#This Row],[Cliente factura]],Tabla4[[NIT]:[TOTAL CREDITO]],3,FALSE),0)="",0,IFERROR(VLOOKUP(Tabla3[[#This Row],[Cliente factura]],Tabla4[[NIT]:[TOTAL CREDITO]],3,FALSE),0))</f>
        <v>68342860</v>
      </c>
      <c r="R1793" s="9">
        <f>+IFERROR(VLOOKUP(Tabla3[[#This Row],[Cliente factura]],Tabla4[[NIT]:[TOTAL CREDITO]],6,FALSE),0)</f>
        <v>0</v>
      </c>
      <c r="S1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3" s="10" t="str">
        <f>VLOOKUP(Tabla3[[#This Row],[Razón social cliente factura]]&amp;Tabla3[[#This Row],[Desc. ciudad]],'Estandar de Rutas'!$C$1:$E$553,2,FALSE)</f>
        <v>6.1</v>
      </c>
      <c r="U1793" s="130">
        <f>IFERROR(VLOOKUP(Tabla3[[#This Row],[Referencia]]&amp;Tabla3[[#This Row],[Desc detalle ext 1]],Tabla1[[Referencia-Color]:[Disponibilidad]],3,FALSE),0)</f>
        <v>30</v>
      </c>
      <c r="V1793" s="13"/>
      <c r="W1793" s="17">
        <f>+Tabla3[[#This Row],[Cant. Programada]]*Tabla3[[#This Row],[Precio unit]]</f>
        <v>0</v>
      </c>
      <c r="X1793" s="8"/>
      <c r="Y1793" s="8"/>
      <c r="Z1793" s="8" t="str">
        <f>+Tabla3[[#This Row],[Referencia]]&amp;Tabla3[[#This Row],[Desc detalle ext 1]]</f>
        <v xml:space="preserve">XRE 190                                           ROJO     </v>
      </c>
      <c r="AA1793" s="128" t="e">
        <f>+VLOOKUP(Tabla3[[#This Row],[CODIGO2]],ESTANDAR!$B$3:$C$9,2,FALSE)</f>
        <v>#N/A</v>
      </c>
      <c r="AB1793" s="128" t="str">
        <f>+MID(Tabla3[[#This Row],['# Viaje]],10,1)</f>
        <v/>
      </c>
    </row>
    <row r="1794" spans="1:28" ht="15" hidden="1" customHeight="1">
      <c r="A1794" s="25" t="s">
        <v>1812</v>
      </c>
      <c r="B1794" s="26">
        <v>42949</v>
      </c>
      <c r="C1794" s="25" t="s">
        <v>1231</v>
      </c>
      <c r="D1794" s="25" t="s">
        <v>1237</v>
      </c>
      <c r="E1794" s="25" t="s">
        <v>1232</v>
      </c>
      <c r="F1794" s="25">
        <v>3</v>
      </c>
      <c r="G1794" s="25" t="s">
        <v>186</v>
      </c>
      <c r="H1794" s="25">
        <v>3</v>
      </c>
      <c r="I1794" s="25" t="s">
        <v>1695</v>
      </c>
      <c r="J1794" s="25" t="s">
        <v>1454</v>
      </c>
      <c r="K1794" s="25" t="s">
        <v>1455</v>
      </c>
      <c r="L1794" s="26"/>
      <c r="M1794" s="25" t="s">
        <v>184</v>
      </c>
      <c r="N1794" s="25">
        <v>900056664</v>
      </c>
      <c r="O1794" s="27">
        <v>12039370</v>
      </c>
      <c r="P1794" s="7"/>
      <c r="Q1794" s="16">
        <f>+IF(IFERROR(VLOOKUP(Tabla3[[#This Row],[Cliente factura]],Tabla4[[NIT]:[TOTAL CREDITO]],3,FALSE),0)="",0,IFERROR(VLOOKUP(Tabla3[[#This Row],[Cliente factura]],Tabla4[[NIT]:[TOTAL CREDITO]],3,FALSE),0))</f>
        <v>68304202</v>
      </c>
      <c r="R1794" s="9">
        <f>+IFERROR(VLOOKUP(Tabla3[[#This Row],[Cliente factura]],Tabla4[[NIT]:[TOTAL CREDITO]],6,FALSE),0)</f>
        <v>0</v>
      </c>
      <c r="S1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4" s="10" t="str">
        <f>VLOOKUP(Tabla3[[#This Row],[Razón social cliente factura]]&amp;Tabla3[[#This Row],[Desc. ciudad]],'Estandar de Rutas'!$C$1:$E$553,2,FALSE)</f>
        <v>7.2</v>
      </c>
      <c r="U1794" s="130">
        <f>IFERROR(VLOOKUP(Tabla3[[#This Row],[Referencia]]&amp;Tabla3[[#This Row],[Desc detalle ext 1]],Tabla1[[Referencia-Color]:[Disponibilidad]],3,FALSE),0)</f>
        <v>19</v>
      </c>
      <c r="V1794" s="13"/>
      <c r="W1794" s="17">
        <f>+Tabla3[[#This Row],[Cant. Programada]]*Tabla3[[#This Row],[Precio unit]]</f>
        <v>0</v>
      </c>
      <c r="X1794" s="8"/>
      <c r="Y1794" s="8"/>
      <c r="Z1794" s="8" t="str">
        <f>+Tabla3[[#This Row],[Referencia]]&amp;Tabla3[[#This Row],[Desc detalle ext 1]]</f>
        <v xml:space="preserve">XRE  300                                          VERDE    </v>
      </c>
      <c r="AA1794" s="128" t="e">
        <f>+VLOOKUP(Tabla3[[#This Row],[CODIGO2]],ESTANDAR!$B$3:$C$9,2,FALSE)</f>
        <v>#N/A</v>
      </c>
      <c r="AB1794" s="128" t="str">
        <f>+MID(Tabla3[[#This Row],['# Viaje]],10,1)</f>
        <v/>
      </c>
    </row>
    <row r="1795" spans="1:28" ht="15" hidden="1" customHeight="1">
      <c r="A1795" s="25" t="s">
        <v>1812</v>
      </c>
      <c r="B1795" s="26">
        <v>42949</v>
      </c>
      <c r="C1795" s="25" t="s">
        <v>1231</v>
      </c>
      <c r="D1795" s="25" t="s">
        <v>1237</v>
      </c>
      <c r="E1795" s="25" t="s">
        <v>1232</v>
      </c>
      <c r="F1795" s="25">
        <v>3</v>
      </c>
      <c r="G1795" s="25" t="s">
        <v>186</v>
      </c>
      <c r="H1795" s="25">
        <v>3</v>
      </c>
      <c r="I1795" s="25" t="s">
        <v>1695</v>
      </c>
      <c r="J1795" s="25" t="s">
        <v>1448</v>
      </c>
      <c r="K1795" s="25" t="s">
        <v>1450</v>
      </c>
      <c r="L1795" s="26"/>
      <c r="M1795" s="25" t="s">
        <v>184</v>
      </c>
      <c r="N1795" s="25">
        <v>900056664</v>
      </c>
      <c r="O1795" s="27">
        <v>7352941</v>
      </c>
      <c r="P1795" s="7"/>
      <c r="Q1795" s="16">
        <f>+IF(IFERROR(VLOOKUP(Tabla3[[#This Row],[Cliente factura]],Tabla4[[NIT]:[TOTAL CREDITO]],3,FALSE),0)="",0,IFERROR(VLOOKUP(Tabla3[[#This Row],[Cliente factura]],Tabla4[[NIT]:[TOTAL CREDITO]],3,FALSE),0))</f>
        <v>68304202</v>
      </c>
      <c r="R1795" s="9">
        <f>+IFERROR(VLOOKUP(Tabla3[[#This Row],[Cliente factura]],Tabla4[[NIT]:[TOTAL CREDITO]],6,FALSE),0)</f>
        <v>0</v>
      </c>
      <c r="S1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5" s="10" t="str">
        <f>VLOOKUP(Tabla3[[#This Row],[Razón social cliente factura]]&amp;Tabla3[[#This Row],[Desc. ciudad]],'Estandar de Rutas'!$C$1:$E$553,2,FALSE)</f>
        <v>7.2</v>
      </c>
      <c r="U1795" s="130">
        <f>IFERROR(VLOOKUP(Tabla3[[#This Row],[Referencia]]&amp;Tabla3[[#This Row],[Desc detalle ext 1]],Tabla1[[Referencia-Color]:[Disponibilidad]],3,FALSE),0)</f>
        <v>61</v>
      </c>
      <c r="V1795" s="13"/>
      <c r="W1795" s="17">
        <f>+Tabla3[[#This Row],[Cant. Programada]]*Tabla3[[#This Row],[Precio unit]]</f>
        <v>0</v>
      </c>
      <c r="X1795" s="8"/>
      <c r="Y1795" s="8"/>
      <c r="Z1795" s="8" t="str">
        <f>+Tabla3[[#This Row],[Referencia]]&amp;Tabla3[[#This Row],[Desc detalle ext 1]]</f>
        <v xml:space="preserve">PCX 150                                           PLATEADO </v>
      </c>
      <c r="AA1795" s="128" t="e">
        <f>+VLOOKUP(Tabla3[[#This Row],[CODIGO2]],ESTANDAR!$B$3:$C$9,2,FALSE)</f>
        <v>#N/A</v>
      </c>
      <c r="AB1795" s="128" t="str">
        <f>+MID(Tabla3[[#This Row],['# Viaje]],10,1)</f>
        <v/>
      </c>
    </row>
    <row r="1796" spans="1:28" ht="15" hidden="1" customHeight="1">
      <c r="A1796" s="25" t="s">
        <v>1812</v>
      </c>
      <c r="B1796" s="26">
        <v>42949</v>
      </c>
      <c r="C1796" s="25" t="s">
        <v>1231</v>
      </c>
      <c r="D1796" s="25" t="s">
        <v>1237</v>
      </c>
      <c r="E1796" s="25" t="s">
        <v>1232</v>
      </c>
      <c r="F1796" s="25">
        <v>3</v>
      </c>
      <c r="G1796" s="25" t="s">
        <v>186</v>
      </c>
      <c r="H1796" s="25">
        <v>3</v>
      </c>
      <c r="I1796" s="25" t="s">
        <v>1695</v>
      </c>
      <c r="J1796" s="25" t="s">
        <v>1448</v>
      </c>
      <c r="K1796" s="25" t="s">
        <v>1449</v>
      </c>
      <c r="L1796" s="26"/>
      <c r="M1796" s="25" t="s">
        <v>184</v>
      </c>
      <c r="N1796" s="25">
        <v>900056664</v>
      </c>
      <c r="O1796" s="27">
        <v>7352941</v>
      </c>
      <c r="P1796" s="7"/>
      <c r="Q1796" s="16">
        <f>+IF(IFERROR(VLOOKUP(Tabla3[[#This Row],[Cliente factura]],Tabla4[[NIT]:[TOTAL CREDITO]],3,FALSE),0)="",0,IFERROR(VLOOKUP(Tabla3[[#This Row],[Cliente factura]],Tabla4[[NIT]:[TOTAL CREDITO]],3,FALSE),0))</f>
        <v>68304202</v>
      </c>
      <c r="R1796" s="9">
        <f>+IFERROR(VLOOKUP(Tabla3[[#This Row],[Cliente factura]],Tabla4[[NIT]:[TOTAL CREDITO]],6,FALSE),0)</f>
        <v>0</v>
      </c>
      <c r="S1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6" s="10" t="str">
        <f>VLOOKUP(Tabla3[[#This Row],[Razón social cliente factura]]&amp;Tabla3[[#This Row],[Desc. ciudad]],'Estandar de Rutas'!$C$1:$E$553,2,FALSE)</f>
        <v>7.2</v>
      </c>
      <c r="U1796" s="130">
        <f>IFERROR(VLOOKUP(Tabla3[[#This Row],[Referencia]]&amp;Tabla3[[#This Row],[Desc detalle ext 1]],Tabla1[[Referencia-Color]:[Disponibilidad]],3,FALSE),0)</f>
        <v>57</v>
      </c>
      <c r="V1796" s="13"/>
      <c r="W1796" s="17">
        <f>+Tabla3[[#This Row],[Cant. Programada]]*Tabla3[[#This Row],[Precio unit]]</f>
        <v>0</v>
      </c>
      <c r="X1796" s="8"/>
      <c r="Y1796" s="8"/>
      <c r="Z1796" s="8" t="str">
        <f>+Tabla3[[#This Row],[Referencia]]&amp;Tabla3[[#This Row],[Desc detalle ext 1]]</f>
        <v xml:space="preserve">PCX 150                                           GRIS     </v>
      </c>
      <c r="AA1796" s="128" t="e">
        <f>+VLOOKUP(Tabla3[[#This Row],[CODIGO2]],ESTANDAR!$B$3:$C$9,2,FALSE)</f>
        <v>#N/A</v>
      </c>
      <c r="AB1796" s="128" t="str">
        <f>+MID(Tabla3[[#This Row],['# Viaje]],10,1)</f>
        <v/>
      </c>
    </row>
    <row r="1797" spans="1:28" ht="15" hidden="1" customHeight="1">
      <c r="A1797" s="25" t="s">
        <v>1812</v>
      </c>
      <c r="B1797" s="26">
        <v>42949</v>
      </c>
      <c r="C1797" s="25" t="s">
        <v>1231</v>
      </c>
      <c r="D1797" s="25" t="s">
        <v>1237</v>
      </c>
      <c r="E1797" s="25" t="s">
        <v>1232</v>
      </c>
      <c r="F1797" s="25">
        <v>2</v>
      </c>
      <c r="G1797" s="25" t="s">
        <v>186</v>
      </c>
      <c r="H1797" s="25">
        <v>2</v>
      </c>
      <c r="I1797" s="25" t="s">
        <v>1695</v>
      </c>
      <c r="J1797" s="25" t="s">
        <v>1436</v>
      </c>
      <c r="K1797" s="25" t="s">
        <v>16</v>
      </c>
      <c r="L1797" s="26"/>
      <c r="M1797" s="25" t="s">
        <v>184</v>
      </c>
      <c r="N1797" s="25">
        <v>900056664</v>
      </c>
      <c r="O1797" s="27">
        <v>9762992</v>
      </c>
      <c r="P1797" s="7"/>
      <c r="Q1797" s="16">
        <f>+IF(IFERROR(VLOOKUP(Tabla3[[#This Row],[Cliente factura]],Tabla4[[NIT]:[TOTAL CREDITO]],3,FALSE),0)="",0,IFERROR(VLOOKUP(Tabla3[[#This Row],[Cliente factura]],Tabla4[[NIT]:[TOTAL CREDITO]],3,FALSE),0))</f>
        <v>68304202</v>
      </c>
      <c r="R1797" s="9">
        <f>+IFERROR(VLOOKUP(Tabla3[[#This Row],[Cliente factura]],Tabla4[[NIT]:[TOTAL CREDITO]],6,FALSE),0)</f>
        <v>0</v>
      </c>
      <c r="S1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7" s="10" t="str">
        <f>VLOOKUP(Tabla3[[#This Row],[Razón social cliente factura]]&amp;Tabla3[[#This Row],[Desc. ciudad]],'Estandar de Rutas'!$C$1:$E$553,2,FALSE)</f>
        <v>7.2</v>
      </c>
      <c r="U1797" s="130">
        <f>IFERROR(VLOOKUP(Tabla3[[#This Row],[Referencia]]&amp;Tabla3[[#This Row],[Desc detalle ext 1]],Tabla1[[Referencia-Color]:[Disponibilidad]],3,FALSE),0)</f>
        <v>25</v>
      </c>
      <c r="V1797" s="13"/>
      <c r="W1797" s="17">
        <f>+Tabla3[[#This Row],[Cant. Programada]]*Tabla3[[#This Row],[Precio unit]]</f>
        <v>0</v>
      </c>
      <c r="X1797" s="8"/>
      <c r="Y1797" s="8"/>
      <c r="Z1797" s="8" t="str">
        <f>+Tabla3[[#This Row],[Referencia]]&amp;Tabla3[[#This Row],[Desc detalle ext 1]]</f>
        <v xml:space="preserve">CB 250 TWISTER                                    NEGRO    </v>
      </c>
      <c r="AA1797" s="128" t="e">
        <f>+VLOOKUP(Tabla3[[#This Row],[CODIGO2]],ESTANDAR!$B$3:$C$9,2,FALSE)</f>
        <v>#N/A</v>
      </c>
      <c r="AB1797" s="128" t="str">
        <f>+MID(Tabla3[[#This Row],['# Viaje]],10,1)</f>
        <v/>
      </c>
    </row>
    <row r="1798" spans="1:28" ht="15" hidden="1" customHeight="1">
      <c r="A1798" s="25" t="s">
        <v>1813</v>
      </c>
      <c r="B1798" s="26">
        <v>42949</v>
      </c>
      <c r="C1798" s="25" t="s">
        <v>1231</v>
      </c>
      <c r="D1798" s="25" t="s">
        <v>1478</v>
      </c>
      <c r="E1798" s="25" t="s">
        <v>1232</v>
      </c>
      <c r="F1798" s="25">
        <v>1</v>
      </c>
      <c r="G1798" s="25" t="s">
        <v>215</v>
      </c>
      <c r="H1798" s="25">
        <v>1</v>
      </c>
      <c r="I1798" s="25" t="s">
        <v>1704</v>
      </c>
      <c r="J1798" s="25" t="s">
        <v>1454</v>
      </c>
      <c r="K1798" s="25" t="s">
        <v>1455</v>
      </c>
      <c r="L1798" s="26"/>
      <c r="M1798" s="25" t="s">
        <v>225</v>
      </c>
      <c r="N1798" s="25">
        <v>817000553</v>
      </c>
      <c r="O1798" s="27">
        <v>12039370</v>
      </c>
      <c r="P1798" s="7"/>
      <c r="Q1798" s="16">
        <f>+IF(IFERROR(VLOOKUP(Tabla3[[#This Row],[Cliente factura]],Tabla4[[NIT]:[TOTAL CREDITO]],3,FALSE),0)="",0,IFERROR(VLOOKUP(Tabla3[[#This Row],[Cliente factura]],Tabla4[[NIT]:[TOTAL CREDITO]],3,FALSE),0))</f>
        <v>137260504</v>
      </c>
      <c r="R1798" s="9">
        <f>+IFERROR(VLOOKUP(Tabla3[[#This Row],[Cliente factura]],Tabla4[[NIT]:[TOTAL CREDITO]],6,FALSE),0)</f>
        <v>0</v>
      </c>
      <c r="S1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8" s="10" t="str">
        <f>VLOOKUP(Tabla3[[#This Row],[Razón social cliente factura]]&amp;Tabla3[[#This Row],[Desc. ciudad]],'Estandar de Rutas'!$C$1:$E$553,2,FALSE)</f>
        <v>1.3.B</v>
      </c>
      <c r="U1798" s="130">
        <f>IFERROR(VLOOKUP(Tabla3[[#This Row],[Referencia]]&amp;Tabla3[[#This Row],[Desc detalle ext 1]],Tabla1[[Referencia-Color]:[Disponibilidad]],3,FALSE),0)</f>
        <v>19</v>
      </c>
      <c r="V1798" s="13"/>
      <c r="W1798" s="17">
        <f>+Tabla3[[#This Row],[Cant. Programada]]*Tabla3[[#This Row],[Precio unit]]</f>
        <v>0</v>
      </c>
      <c r="X1798" s="8"/>
      <c r="Y1798" s="8"/>
      <c r="Z1798" s="8" t="str">
        <f>+Tabla3[[#This Row],[Referencia]]&amp;Tabla3[[#This Row],[Desc detalle ext 1]]</f>
        <v xml:space="preserve">XRE  300                                          VERDE    </v>
      </c>
      <c r="AA1798" s="128" t="e">
        <f>+VLOOKUP(Tabla3[[#This Row],[CODIGO2]],ESTANDAR!$B$3:$C$9,2,FALSE)</f>
        <v>#N/A</v>
      </c>
      <c r="AB1798" s="128" t="str">
        <f>+MID(Tabla3[[#This Row],['# Viaje]],10,1)</f>
        <v/>
      </c>
    </row>
    <row r="1799" spans="1:28" ht="15" hidden="1" customHeight="1">
      <c r="A1799" s="25" t="s">
        <v>1813</v>
      </c>
      <c r="B1799" s="26">
        <v>42949</v>
      </c>
      <c r="C1799" s="25" t="s">
        <v>1231</v>
      </c>
      <c r="D1799" s="25" t="s">
        <v>1478</v>
      </c>
      <c r="E1799" s="25" t="s">
        <v>1232</v>
      </c>
      <c r="F1799" s="25">
        <v>1</v>
      </c>
      <c r="G1799" s="25" t="s">
        <v>215</v>
      </c>
      <c r="H1799" s="25">
        <v>1</v>
      </c>
      <c r="I1799" s="25" t="s">
        <v>1704</v>
      </c>
      <c r="J1799" s="25" t="s">
        <v>1439</v>
      </c>
      <c r="K1799" s="25" t="s">
        <v>1431</v>
      </c>
      <c r="L1799" s="26"/>
      <c r="M1799" s="25" t="s">
        <v>225</v>
      </c>
      <c r="N1799" s="25">
        <v>817000553</v>
      </c>
      <c r="O1799" s="27">
        <v>9210084</v>
      </c>
      <c r="P1799" s="7"/>
      <c r="Q1799" s="16">
        <f>+IF(IFERROR(VLOOKUP(Tabla3[[#This Row],[Cliente factura]],Tabla4[[NIT]:[TOTAL CREDITO]],3,FALSE),0)="",0,IFERROR(VLOOKUP(Tabla3[[#This Row],[Cliente factura]],Tabla4[[NIT]:[TOTAL CREDITO]],3,FALSE),0))</f>
        <v>137260504</v>
      </c>
      <c r="R1799" s="9">
        <f>+IFERROR(VLOOKUP(Tabla3[[#This Row],[Cliente factura]],Tabla4[[NIT]:[TOTAL CREDITO]],6,FALSE),0)</f>
        <v>0</v>
      </c>
      <c r="S1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9" s="10" t="str">
        <f>VLOOKUP(Tabla3[[#This Row],[Razón social cliente factura]]&amp;Tabla3[[#This Row],[Desc. ciudad]],'Estandar de Rutas'!$C$1:$E$553,2,FALSE)</f>
        <v>1.3.B</v>
      </c>
      <c r="U1799" s="130">
        <f>IFERROR(VLOOKUP(Tabla3[[#This Row],[Referencia]]&amp;Tabla3[[#This Row],[Desc detalle ext 1]],Tabla1[[Referencia-Color]:[Disponibilidad]],3,FALSE),0)</f>
        <v>30</v>
      </c>
      <c r="V1799" s="13"/>
      <c r="W1799" s="17">
        <f>+Tabla3[[#This Row],[Cant. Programada]]*Tabla3[[#This Row],[Precio unit]]</f>
        <v>0</v>
      </c>
      <c r="X1799" s="8"/>
      <c r="Y1799" s="8"/>
      <c r="Z1799" s="8" t="str">
        <f>+Tabla3[[#This Row],[Referencia]]&amp;Tabla3[[#This Row],[Desc detalle ext 1]]</f>
        <v xml:space="preserve">XRE 190                                           ROJO     </v>
      </c>
      <c r="AA1799" s="128" t="e">
        <f>+VLOOKUP(Tabla3[[#This Row],[CODIGO2]],ESTANDAR!$B$3:$C$9,2,FALSE)</f>
        <v>#N/A</v>
      </c>
      <c r="AB1799" s="128" t="str">
        <f>+MID(Tabla3[[#This Row],['# Viaje]],10,1)</f>
        <v/>
      </c>
    </row>
    <row r="1800" spans="1:28" ht="15" hidden="1" customHeight="1">
      <c r="A1800" s="25" t="s">
        <v>1814</v>
      </c>
      <c r="B1800" s="26">
        <v>42950</v>
      </c>
      <c r="C1800" s="25" t="s">
        <v>1477</v>
      </c>
      <c r="D1800" s="25" t="s">
        <v>1237</v>
      </c>
      <c r="E1800" s="25" t="s">
        <v>1479</v>
      </c>
      <c r="F1800" s="25">
        <v>1</v>
      </c>
      <c r="G1800" s="25" t="s">
        <v>102</v>
      </c>
      <c r="H1800" s="25">
        <v>1</v>
      </c>
      <c r="I1800" s="25" t="s">
        <v>1719</v>
      </c>
      <c r="J1800" s="25" t="s">
        <v>1439</v>
      </c>
      <c r="K1800" s="25" t="s">
        <v>1431</v>
      </c>
      <c r="L1800" s="26"/>
      <c r="M1800" s="25" t="s">
        <v>100</v>
      </c>
      <c r="N1800" s="25">
        <v>2907207</v>
      </c>
      <c r="O1800" s="27">
        <v>9210084</v>
      </c>
      <c r="P1800" s="7"/>
      <c r="Q18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800" s="9">
        <f>+IFERROR(VLOOKUP(Tabla3[[#This Row],[Cliente factura]],Tabla4[[NIT]:[TOTAL CREDITO]],6,FALSE),0)</f>
        <v>0</v>
      </c>
      <c r="S1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0" s="10" t="str">
        <f>VLOOKUP(Tabla3[[#This Row],[Razón social cliente factura]]&amp;Tabla3[[#This Row],[Desc. ciudad]],'Estandar de Rutas'!$C$1:$E$553,2,FALSE)</f>
        <v>7.2.B</v>
      </c>
      <c r="U1800" s="130">
        <f>IFERROR(VLOOKUP(Tabla3[[#This Row],[Referencia]]&amp;Tabla3[[#This Row],[Desc detalle ext 1]],Tabla1[[Referencia-Color]:[Disponibilidad]],3,FALSE),0)</f>
        <v>30</v>
      </c>
      <c r="V1800" s="13"/>
      <c r="W1800" s="17">
        <f>+Tabla3[[#This Row],[Cant. Programada]]*Tabla3[[#This Row],[Precio unit]]</f>
        <v>0</v>
      </c>
      <c r="X1800" s="8"/>
      <c r="Y1800" s="8"/>
      <c r="Z1800" s="8" t="str">
        <f>+Tabla3[[#This Row],[Referencia]]&amp;Tabla3[[#This Row],[Desc detalle ext 1]]</f>
        <v xml:space="preserve">XRE 190                                           ROJO     </v>
      </c>
      <c r="AA1800" s="128" t="e">
        <f>+VLOOKUP(Tabla3[[#This Row],[CODIGO2]],ESTANDAR!$B$3:$C$9,2,FALSE)</f>
        <v>#N/A</v>
      </c>
      <c r="AB1800" s="128" t="str">
        <f>+MID(Tabla3[[#This Row],['# Viaje]],10,1)</f>
        <v/>
      </c>
    </row>
    <row r="1801" spans="1:28" ht="15" hidden="1" customHeight="1">
      <c r="A1801" s="25" t="s">
        <v>1815</v>
      </c>
      <c r="B1801" s="26">
        <v>42950</v>
      </c>
      <c r="C1801" s="25" t="s">
        <v>1477</v>
      </c>
      <c r="D1801" s="25" t="s">
        <v>1237</v>
      </c>
      <c r="E1801" s="25" t="s">
        <v>1479</v>
      </c>
      <c r="F1801" s="25">
        <v>1</v>
      </c>
      <c r="G1801" s="25" t="s">
        <v>185</v>
      </c>
      <c r="H1801" s="25">
        <v>1</v>
      </c>
      <c r="I1801" s="25" t="s">
        <v>185</v>
      </c>
      <c r="J1801" s="25" t="s">
        <v>1454</v>
      </c>
      <c r="K1801" s="25" t="s">
        <v>1455</v>
      </c>
      <c r="L1801" s="26"/>
      <c r="M1801" s="25" t="s">
        <v>184</v>
      </c>
      <c r="N1801" s="25">
        <v>900599349</v>
      </c>
      <c r="O1801" s="27">
        <v>12039370</v>
      </c>
      <c r="P1801" s="7"/>
      <c r="Q1801" s="16">
        <f>+IF(IFERROR(VLOOKUP(Tabla3[[#This Row],[Cliente factura]],Tabla4[[NIT]:[TOTAL CREDITO]],3,FALSE),0)="",0,IFERROR(VLOOKUP(Tabla3[[#This Row],[Cliente factura]],Tabla4[[NIT]:[TOTAL CREDITO]],3,FALSE),0))</f>
        <v>0</v>
      </c>
      <c r="R1801" s="9">
        <f>+IFERROR(VLOOKUP(Tabla3[[#This Row],[Cliente factura]],Tabla4[[NIT]:[TOTAL CREDITO]],6,FALSE),0)</f>
        <v>0</v>
      </c>
      <c r="S1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1" s="10" t="str">
        <f>VLOOKUP(Tabla3[[#This Row],[Razón social cliente factura]]&amp;Tabla3[[#This Row],[Desc. ciudad]],'Estandar de Rutas'!$C$1:$E$553,2,FALSE)</f>
        <v>7.2</v>
      </c>
      <c r="U1801" s="130">
        <f>IFERROR(VLOOKUP(Tabla3[[#This Row],[Referencia]]&amp;Tabla3[[#This Row],[Desc detalle ext 1]],Tabla1[[Referencia-Color]:[Disponibilidad]],3,FALSE),0)</f>
        <v>19</v>
      </c>
      <c r="V1801" s="13"/>
      <c r="W1801" s="17">
        <f>+Tabla3[[#This Row],[Cant. Programada]]*Tabla3[[#This Row],[Precio unit]]</f>
        <v>0</v>
      </c>
      <c r="X1801" s="8"/>
      <c r="Y1801" s="8"/>
      <c r="Z1801" s="8" t="str">
        <f>+Tabla3[[#This Row],[Referencia]]&amp;Tabla3[[#This Row],[Desc detalle ext 1]]</f>
        <v xml:space="preserve">XRE  300                                          VERDE    </v>
      </c>
      <c r="AA1801" s="128" t="e">
        <f>+VLOOKUP(Tabla3[[#This Row],[CODIGO2]],ESTANDAR!$B$3:$C$9,2,FALSE)</f>
        <v>#N/A</v>
      </c>
      <c r="AB1801" s="128" t="str">
        <f>+MID(Tabla3[[#This Row],['# Viaje]],10,1)</f>
        <v/>
      </c>
    </row>
    <row r="1802" spans="1:28" ht="15" hidden="1" customHeight="1">
      <c r="A1802" s="25" t="s">
        <v>1815</v>
      </c>
      <c r="B1802" s="26">
        <v>42950</v>
      </c>
      <c r="C1802" s="25" t="s">
        <v>1477</v>
      </c>
      <c r="D1802" s="25" t="s">
        <v>1237</v>
      </c>
      <c r="E1802" s="25" t="s">
        <v>1479</v>
      </c>
      <c r="F1802" s="25">
        <v>1</v>
      </c>
      <c r="G1802" s="25" t="s">
        <v>185</v>
      </c>
      <c r="H1802" s="25">
        <v>1</v>
      </c>
      <c r="I1802" s="25" t="s">
        <v>185</v>
      </c>
      <c r="J1802" s="25" t="s">
        <v>1439</v>
      </c>
      <c r="K1802" s="25" t="s">
        <v>1455</v>
      </c>
      <c r="L1802" s="26"/>
      <c r="M1802" s="25" t="s">
        <v>184</v>
      </c>
      <c r="N1802" s="25">
        <v>900599349</v>
      </c>
      <c r="O1802" s="27">
        <v>9210084</v>
      </c>
      <c r="P1802" s="7"/>
      <c r="Q1802" s="16">
        <f>+IF(IFERROR(VLOOKUP(Tabla3[[#This Row],[Cliente factura]],Tabla4[[NIT]:[TOTAL CREDITO]],3,FALSE),0)="",0,IFERROR(VLOOKUP(Tabla3[[#This Row],[Cliente factura]],Tabla4[[NIT]:[TOTAL CREDITO]],3,FALSE),0))</f>
        <v>0</v>
      </c>
      <c r="R1802" s="9">
        <f>+IFERROR(VLOOKUP(Tabla3[[#This Row],[Cliente factura]],Tabla4[[NIT]:[TOTAL CREDITO]],6,FALSE),0)</f>
        <v>0</v>
      </c>
      <c r="S1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2" s="10" t="str">
        <f>VLOOKUP(Tabla3[[#This Row],[Razón social cliente factura]]&amp;Tabla3[[#This Row],[Desc. ciudad]],'Estandar de Rutas'!$C$1:$E$553,2,FALSE)</f>
        <v>7.2</v>
      </c>
      <c r="U1802" s="130">
        <f>IFERROR(VLOOKUP(Tabla3[[#This Row],[Referencia]]&amp;Tabla3[[#This Row],[Desc detalle ext 1]],Tabla1[[Referencia-Color]:[Disponibilidad]],3,FALSE),0)</f>
        <v>0</v>
      </c>
      <c r="V1802" s="13"/>
      <c r="W1802" s="17">
        <f>+Tabla3[[#This Row],[Cant. Programada]]*Tabla3[[#This Row],[Precio unit]]</f>
        <v>0</v>
      </c>
      <c r="X1802" s="8"/>
      <c r="Y1802" s="8"/>
      <c r="Z1802" s="8" t="str">
        <f>+Tabla3[[#This Row],[Referencia]]&amp;Tabla3[[#This Row],[Desc detalle ext 1]]</f>
        <v xml:space="preserve">XRE 190                                           VERDE    </v>
      </c>
      <c r="AA1802" s="128" t="e">
        <f>+VLOOKUP(Tabla3[[#This Row],[CODIGO2]],ESTANDAR!$B$3:$C$9,2,FALSE)</f>
        <v>#N/A</v>
      </c>
      <c r="AB1802" s="128" t="str">
        <f>+MID(Tabla3[[#This Row],['# Viaje]],10,1)</f>
        <v/>
      </c>
    </row>
    <row r="1803" spans="1:28" ht="15" hidden="1" customHeight="1">
      <c r="A1803" s="25" t="s">
        <v>1816</v>
      </c>
      <c r="B1803" s="26">
        <v>42950</v>
      </c>
      <c r="C1803" s="25" t="s">
        <v>1231</v>
      </c>
      <c r="D1803" s="25" t="s">
        <v>1237</v>
      </c>
      <c r="E1803" s="25" t="s">
        <v>1479</v>
      </c>
      <c r="F1803" s="25">
        <v>1</v>
      </c>
      <c r="G1803" s="25" t="s">
        <v>395</v>
      </c>
      <c r="H1803" s="25">
        <v>1</v>
      </c>
      <c r="I1803" s="25" t="s">
        <v>395</v>
      </c>
      <c r="J1803" s="25" t="s">
        <v>1454</v>
      </c>
      <c r="K1803" s="25" t="s">
        <v>16</v>
      </c>
      <c r="L1803" s="26"/>
      <c r="M1803" s="25" t="s">
        <v>184</v>
      </c>
      <c r="N1803" s="25">
        <v>901023135</v>
      </c>
      <c r="O1803" s="27">
        <v>12039370</v>
      </c>
      <c r="P1803" s="7"/>
      <c r="Q1803" s="16">
        <f>+IF(IFERROR(VLOOKUP(Tabla3[[#This Row],[Cliente factura]],Tabla4[[NIT]:[TOTAL CREDITO]],3,FALSE),0)="",0,IFERROR(VLOOKUP(Tabla3[[#This Row],[Cliente factura]],Tabla4[[NIT]:[TOTAL CREDITO]],3,FALSE),0))</f>
        <v>22577282</v>
      </c>
      <c r="R1803" s="9">
        <f>+IFERROR(VLOOKUP(Tabla3[[#This Row],[Cliente factura]],Tabla4[[NIT]:[TOTAL CREDITO]],6,FALSE),0)</f>
        <v>0</v>
      </c>
      <c r="S1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3" s="10" t="str">
        <f>VLOOKUP(Tabla3[[#This Row],[Razón social cliente factura]]&amp;Tabla3[[#This Row],[Desc. ciudad]],'Estandar de Rutas'!$C$1:$E$553,2,FALSE)</f>
        <v>7.2</v>
      </c>
      <c r="U1803" s="130">
        <f>IFERROR(VLOOKUP(Tabla3[[#This Row],[Referencia]]&amp;Tabla3[[#This Row],[Desc detalle ext 1]],Tabla1[[Referencia-Color]:[Disponibilidad]],3,FALSE),0)</f>
        <v>0</v>
      </c>
      <c r="V1803" s="13"/>
      <c r="W1803" s="17">
        <f>+Tabla3[[#This Row],[Cant. Programada]]*Tabla3[[#This Row],[Precio unit]]</f>
        <v>0</v>
      </c>
      <c r="X1803" s="8"/>
      <c r="Y1803" s="8"/>
      <c r="Z1803" s="8" t="str">
        <f>+Tabla3[[#This Row],[Referencia]]&amp;Tabla3[[#This Row],[Desc detalle ext 1]]</f>
        <v xml:space="preserve">XRE  300                                          NEGRO    </v>
      </c>
      <c r="AA1803" s="128" t="e">
        <f>+VLOOKUP(Tabla3[[#This Row],[CODIGO2]],ESTANDAR!$B$3:$C$9,2,FALSE)</f>
        <v>#N/A</v>
      </c>
      <c r="AB1803" s="128" t="str">
        <f>+MID(Tabla3[[#This Row],['# Viaje]],10,1)</f>
        <v/>
      </c>
    </row>
    <row r="1804" spans="1:28" ht="15" hidden="1" customHeight="1">
      <c r="A1804" s="25" t="s">
        <v>1816</v>
      </c>
      <c r="B1804" s="26">
        <v>42950</v>
      </c>
      <c r="C1804" s="25" t="s">
        <v>1231</v>
      </c>
      <c r="D1804" s="25" t="s">
        <v>1237</v>
      </c>
      <c r="E1804" s="25" t="s">
        <v>1479</v>
      </c>
      <c r="F1804" s="25">
        <v>1</v>
      </c>
      <c r="G1804" s="25" t="s">
        <v>395</v>
      </c>
      <c r="H1804" s="25">
        <v>1</v>
      </c>
      <c r="I1804" s="25" t="s">
        <v>395</v>
      </c>
      <c r="J1804" s="25" t="s">
        <v>1448</v>
      </c>
      <c r="K1804" s="25" t="s">
        <v>1449</v>
      </c>
      <c r="L1804" s="26"/>
      <c r="M1804" s="25" t="s">
        <v>184</v>
      </c>
      <c r="N1804" s="25">
        <v>901023135</v>
      </c>
      <c r="O1804" s="27">
        <v>7352941</v>
      </c>
      <c r="P1804" s="7"/>
      <c r="Q1804" s="16">
        <f>+IF(IFERROR(VLOOKUP(Tabla3[[#This Row],[Cliente factura]],Tabla4[[NIT]:[TOTAL CREDITO]],3,FALSE),0)="",0,IFERROR(VLOOKUP(Tabla3[[#This Row],[Cliente factura]],Tabla4[[NIT]:[TOTAL CREDITO]],3,FALSE),0))</f>
        <v>22577282</v>
      </c>
      <c r="R1804" s="9">
        <f>+IFERROR(VLOOKUP(Tabla3[[#This Row],[Cliente factura]],Tabla4[[NIT]:[TOTAL CREDITO]],6,FALSE),0)</f>
        <v>0</v>
      </c>
      <c r="S1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4" s="10" t="str">
        <f>VLOOKUP(Tabla3[[#This Row],[Razón social cliente factura]]&amp;Tabla3[[#This Row],[Desc. ciudad]],'Estandar de Rutas'!$C$1:$E$553,2,FALSE)</f>
        <v>7.2</v>
      </c>
      <c r="U1804" s="130">
        <f>IFERROR(VLOOKUP(Tabla3[[#This Row],[Referencia]]&amp;Tabla3[[#This Row],[Desc detalle ext 1]],Tabla1[[Referencia-Color]:[Disponibilidad]],3,FALSE),0)</f>
        <v>57</v>
      </c>
      <c r="V1804" s="13"/>
      <c r="W1804" s="17">
        <f>+Tabla3[[#This Row],[Cant. Programada]]*Tabla3[[#This Row],[Precio unit]]</f>
        <v>0</v>
      </c>
      <c r="X1804" s="8"/>
      <c r="Y1804" s="8"/>
      <c r="Z1804" s="8" t="str">
        <f>+Tabla3[[#This Row],[Referencia]]&amp;Tabla3[[#This Row],[Desc detalle ext 1]]</f>
        <v xml:space="preserve">PCX 150                                           GRIS     </v>
      </c>
      <c r="AA1804" s="128" t="e">
        <f>+VLOOKUP(Tabla3[[#This Row],[CODIGO2]],ESTANDAR!$B$3:$C$9,2,FALSE)</f>
        <v>#N/A</v>
      </c>
      <c r="AB1804" s="128" t="str">
        <f>+MID(Tabla3[[#This Row],['# Viaje]],10,1)</f>
        <v/>
      </c>
    </row>
    <row r="1805" spans="1:28" ht="15" hidden="1" customHeight="1">
      <c r="A1805" s="25" t="s">
        <v>1816</v>
      </c>
      <c r="B1805" s="26">
        <v>42950</v>
      </c>
      <c r="C1805" s="25" t="s">
        <v>1231</v>
      </c>
      <c r="D1805" s="25" t="s">
        <v>1237</v>
      </c>
      <c r="E1805" s="25" t="s">
        <v>1479</v>
      </c>
      <c r="F1805" s="25">
        <v>1</v>
      </c>
      <c r="G1805" s="25" t="s">
        <v>395</v>
      </c>
      <c r="H1805" s="25">
        <v>1</v>
      </c>
      <c r="I1805" s="25" t="s">
        <v>395</v>
      </c>
      <c r="J1805" s="25" t="s">
        <v>1439</v>
      </c>
      <c r="K1805" s="25" t="s">
        <v>1455</v>
      </c>
      <c r="L1805" s="26"/>
      <c r="M1805" s="25" t="s">
        <v>184</v>
      </c>
      <c r="N1805" s="25">
        <v>901023135</v>
      </c>
      <c r="O1805" s="27">
        <v>9210084</v>
      </c>
      <c r="P1805" s="7"/>
      <c r="Q1805" s="16">
        <f>+IF(IFERROR(VLOOKUP(Tabla3[[#This Row],[Cliente factura]],Tabla4[[NIT]:[TOTAL CREDITO]],3,FALSE),0)="",0,IFERROR(VLOOKUP(Tabla3[[#This Row],[Cliente factura]],Tabla4[[NIT]:[TOTAL CREDITO]],3,FALSE),0))</f>
        <v>22577282</v>
      </c>
      <c r="R1805" s="9">
        <f>+IFERROR(VLOOKUP(Tabla3[[#This Row],[Cliente factura]],Tabla4[[NIT]:[TOTAL CREDITO]],6,FALSE),0)</f>
        <v>0</v>
      </c>
      <c r="S1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5" s="10" t="str">
        <f>VLOOKUP(Tabla3[[#This Row],[Razón social cliente factura]]&amp;Tabla3[[#This Row],[Desc. ciudad]],'Estandar de Rutas'!$C$1:$E$553,2,FALSE)</f>
        <v>7.2</v>
      </c>
      <c r="U1805" s="130">
        <f>IFERROR(VLOOKUP(Tabla3[[#This Row],[Referencia]]&amp;Tabla3[[#This Row],[Desc detalle ext 1]],Tabla1[[Referencia-Color]:[Disponibilidad]],3,FALSE),0)</f>
        <v>0</v>
      </c>
      <c r="V1805" s="13"/>
      <c r="W1805" s="17">
        <f>+Tabla3[[#This Row],[Cant. Programada]]*Tabla3[[#This Row],[Precio unit]]</f>
        <v>0</v>
      </c>
      <c r="X1805" s="8"/>
      <c r="Y1805" s="8"/>
      <c r="Z1805" s="8" t="str">
        <f>+Tabla3[[#This Row],[Referencia]]&amp;Tabla3[[#This Row],[Desc detalle ext 1]]</f>
        <v xml:space="preserve">XRE 190                                           VERDE    </v>
      </c>
      <c r="AA1805" s="128" t="e">
        <f>+VLOOKUP(Tabla3[[#This Row],[CODIGO2]],ESTANDAR!$B$3:$C$9,2,FALSE)</f>
        <v>#N/A</v>
      </c>
      <c r="AB1805" s="128" t="str">
        <f>+MID(Tabla3[[#This Row],['# Viaje]],10,1)</f>
        <v/>
      </c>
    </row>
    <row r="1806" spans="1:28" ht="15" hidden="1" customHeight="1">
      <c r="A1806" s="25" t="s">
        <v>1816</v>
      </c>
      <c r="B1806" s="26">
        <v>42950</v>
      </c>
      <c r="C1806" s="25" t="s">
        <v>1231</v>
      </c>
      <c r="D1806" s="25" t="s">
        <v>1237</v>
      </c>
      <c r="E1806" s="25" t="s">
        <v>1479</v>
      </c>
      <c r="F1806" s="25">
        <v>1</v>
      </c>
      <c r="G1806" s="25" t="s">
        <v>395</v>
      </c>
      <c r="H1806" s="25">
        <v>1</v>
      </c>
      <c r="I1806" s="25" t="s">
        <v>395</v>
      </c>
      <c r="J1806" s="25" t="s">
        <v>1439</v>
      </c>
      <c r="K1806" s="25" t="s">
        <v>16</v>
      </c>
      <c r="L1806" s="26"/>
      <c r="M1806" s="25" t="s">
        <v>184</v>
      </c>
      <c r="N1806" s="25">
        <v>901023135</v>
      </c>
      <c r="O1806" s="27">
        <v>9210084</v>
      </c>
      <c r="P1806" s="7"/>
      <c r="Q1806" s="16">
        <f>+IF(IFERROR(VLOOKUP(Tabla3[[#This Row],[Cliente factura]],Tabla4[[NIT]:[TOTAL CREDITO]],3,FALSE),0)="",0,IFERROR(VLOOKUP(Tabla3[[#This Row],[Cliente factura]],Tabla4[[NIT]:[TOTAL CREDITO]],3,FALSE),0))</f>
        <v>22577282</v>
      </c>
      <c r="R1806" s="9">
        <f>+IFERROR(VLOOKUP(Tabla3[[#This Row],[Cliente factura]],Tabla4[[NIT]:[TOTAL CREDITO]],6,FALSE),0)</f>
        <v>0</v>
      </c>
      <c r="S1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6" s="10" t="str">
        <f>VLOOKUP(Tabla3[[#This Row],[Razón social cliente factura]]&amp;Tabla3[[#This Row],[Desc. ciudad]],'Estandar de Rutas'!$C$1:$E$553,2,FALSE)</f>
        <v>7.2</v>
      </c>
      <c r="U1806" s="130">
        <f>IFERROR(VLOOKUP(Tabla3[[#This Row],[Referencia]]&amp;Tabla3[[#This Row],[Desc detalle ext 1]],Tabla1[[Referencia-Color]:[Disponibilidad]],3,FALSE),0)</f>
        <v>67</v>
      </c>
      <c r="V1806" s="13"/>
      <c r="W1806" s="17">
        <f>+Tabla3[[#This Row],[Cant. Programada]]*Tabla3[[#This Row],[Precio unit]]</f>
        <v>0</v>
      </c>
      <c r="X1806" s="8"/>
      <c r="Y1806" s="8"/>
      <c r="Z1806" s="8" t="str">
        <f>+Tabla3[[#This Row],[Referencia]]&amp;Tabla3[[#This Row],[Desc detalle ext 1]]</f>
        <v xml:space="preserve">XRE 190                                           NEGRO    </v>
      </c>
      <c r="AA1806" s="128" t="e">
        <f>+VLOOKUP(Tabla3[[#This Row],[CODIGO2]],ESTANDAR!$B$3:$C$9,2,FALSE)</f>
        <v>#N/A</v>
      </c>
      <c r="AB1806" s="128" t="str">
        <f>+MID(Tabla3[[#This Row],['# Viaje]],10,1)</f>
        <v/>
      </c>
    </row>
    <row r="1807" spans="1:28" ht="15" hidden="1" customHeight="1">
      <c r="A1807" s="25" t="s">
        <v>1816</v>
      </c>
      <c r="B1807" s="26">
        <v>42950</v>
      </c>
      <c r="C1807" s="25" t="s">
        <v>1231</v>
      </c>
      <c r="D1807" s="25" t="s">
        <v>1237</v>
      </c>
      <c r="E1807" s="25" t="s">
        <v>1479</v>
      </c>
      <c r="F1807" s="25">
        <v>1</v>
      </c>
      <c r="G1807" s="25" t="s">
        <v>395</v>
      </c>
      <c r="H1807" s="25">
        <v>1</v>
      </c>
      <c r="I1807" s="25" t="s">
        <v>395</v>
      </c>
      <c r="J1807" s="25" t="s">
        <v>1436</v>
      </c>
      <c r="K1807" s="25" t="s">
        <v>16</v>
      </c>
      <c r="L1807" s="26"/>
      <c r="M1807" s="25" t="s">
        <v>184</v>
      </c>
      <c r="N1807" s="25">
        <v>901023135</v>
      </c>
      <c r="O1807" s="27">
        <v>9762992</v>
      </c>
      <c r="P1807" s="7"/>
      <c r="Q1807" s="16">
        <f>+IF(IFERROR(VLOOKUP(Tabla3[[#This Row],[Cliente factura]],Tabla4[[NIT]:[TOTAL CREDITO]],3,FALSE),0)="",0,IFERROR(VLOOKUP(Tabla3[[#This Row],[Cliente factura]],Tabla4[[NIT]:[TOTAL CREDITO]],3,FALSE),0))</f>
        <v>22577282</v>
      </c>
      <c r="R1807" s="9">
        <f>+IFERROR(VLOOKUP(Tabla3[[#This Row],[Cliente factura]],Tabla4[[NIT]:[TOTAL CREDITO]],6,FALSE),0)</f>
        <v>0</v>
      </c>
      <c r="S1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7" s="10" t="str">
        <f>VLOOKUP(Tabla3[[#This Row],[Razón social cliente factura]]&amp;Tabla3[[#This Row],[Desc. ciudad]],'Estandar de Rutas'!$C$1:$E$553,2,FALSE)</f>
        <v>7.2</v>
      </c>
      <c r="U1807" s="130">
        <f>IFERROR(VLOOKUP(Tabla3[[#This Row],[Referencia]]&amp;Tabla3[[#This Row],[Desc detalle ext 1]],Tabla1[[Referencia-Color]:[Disponibilidad]],3,FALSE),0)</f>
        <v>25</v>
      </c>
      <c r="V1807" s="13"/>
      <c r="W1807" s="17">
        <f>+Tabla3[[#This Row],[Cant. Programada]]*Tabla3[[#This Row],[Precio unit]]</f>
        <v>0</v>
      </c>
      <c r="X1807" s="8"/>
      <c r="Y1807" s="8"/>
      <c r="Z1807" s="8" t="str">
        <f>+Tabla3[[#This Row],[Referencia]]&amp;Tabla3[[#This Row],[Desc detalle ext 1]]</f>
        <v xml:space="preserve">CB 250 TWISTER                                    NEGRO    </v>
      </c>
      <c r="AA1807" s="128" t="e">
        <f>+VLOOKUP(Tabla3[[#This Row],[CODIGO2]],ESTANDAR!$B$3:$C$9,2,FALSE)</f>
        <v>#N/A</v>
      </c>
      <c r="AB1807" s="128" t="str">
        <f>+MID(Tabla3[[#This Row],['# Viaje]],10,1)</f>
        <v/>
      </c>
    </row>
    <row r="1808" spans="1:28" ht="15" hidden="1" customHeight="1">
      <c r="A1808" s="25" t="s">
        <v>1817</v>
      </c>
      <c r="B1808" s="26">
        <v>42950</v>
      </c>
      <c r="C1808" s="25" t="s">
        <v>1231</v>
      </c>
      <c r="D1808" s="25" t="s">
        <v>1237</v>
      </c>
      <c r="E1808" s="25" t="s">
        <v>1479</v>
      </c>
      <c r="F1808" s="25">
        <v>1</v>
      </c>
      <c r="G1808" s="25" t="s">
        <v>395</v>
      </c>
      <c r="H1808" s="25">
        <v>1</v>
      </c>
      <c r="I1808" s="25" t="s">
        <v>1733</v>
      </c>
      <c r="J1808" s="25" t="s">
        <v>1439</v>
      </c>
      <c r="K1808" s="25" t="s">
        <v>1455</v>
      </c>
      <c r="L1808" s="26"/>
      <c r="M1808" s="25" t="s">
        <v>202</v>
      </c>
      <c r="N1808" s="25">
        <v>901023135</v>
      </c>
      <c r="O1808" s="27">
        <v>9210084</v>
      </c>
      <c r="P1808" s="7"/>
      <c r="Q1808" s="16">
        <f>+IF(IFERROR(VLOOKUP(Tabla3[[#This Row],[Cliente factura]],Tabla4[[NIT]:[TOTAL CREDITO]],3,FALSE),0)="",0,IFERROR(VLOOKUP(Tabla3[[#This Row],[Cliente factura]],Tabla4[[NIT]:[TOTAL CREDITO]],3,FALSE),0))</f>
        <v>22577282</v>
      </c>
      <c r="R1808" s="9">
        <f>+IFERROR(VLOOKUP(Tabla3[[#This Row],[Cliente factura]],Tabla4[[NIT]:[TOTAL CREDITO]],6,FALSE),0)</f>
        <v>0</v>
      </c>
      <c r="S1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8" s="10" t="str">
        <f>VLOOKUP(Tabla3[[#This Row],[Razón social cliente factura]]&amp;Tabla3[[#This Row],[Desc. ciudad]],'Estandar de Rutas'!$C$1:$E$553,2,FALSE)</f>
        <v>7.2.A</v>
      </c>
      <c r="U1808" s="130">
        <f>IFERROR(VLOOKUP(Tabla3[[#This Row],[Referencia]]&amp;Tabla3[[#This Row],[Desc detalle ext 1]],Tabla1[[Referencia-Color]:[Disponibilidad]],3,FALSE),0)</f>
        <v>0</v>
      </c>
      <c r="V1808" s="13"/>
      <c r="W1808" s="17">
        <f>+Tabla3[[#This Row],[Cant. Programada]]*Tabla3[[#This Row],[Precio unit]]</f>
        <v>0</v>
      </c>
      <c r="X1808" s="8"/>
      <c r="Y1808" s="8"/>
      <c r="Z1808" s="8" t="str">
        <f>+Tabla3[[#This Row],[Referencia]]&amp;Tabla3[[#This Row],[Desc detalle ext 1]]</f>
        <v xml:space="preserve">XRE 190                                           VERDE    </v>
      </c>
      <c r="AA1808" s="128" t="e">
        <f>+VLOOKUP(Tabla3[[#This Row],[CODIGO2]],ESTANDAR!$B$3:$C$9,2,FALSE)</f>
        <v>#N/A</v>
      </c>
      <c r="AB1808" s="128" t="str">
        <f>+MID(Tabla3[[#This Row],['# Viaje]],10,1)</f>
        <v/>
      </c>
    </row>
    <row r="1809" spans="1:28" ht="15" hidden="1" customHeight="1">
      <c r="A1809" s="25" t="s">
        <v>1818</v>
      </c>
      <c r="B1809" s="26">
        <v>42950</v>
      </c>
      <c r="C1809" s="25" t="s">
        <v>1231</v>
      </c>
      <c r="D1809" s="25" t="s">
        <v>1237</v>
      </c>
      <c r="E1809" s="25" t="s">
        <v>1479</v>
      </c>
      <c r="F1809" s="25">
        <v>1</v>
      </c>
      <c r="G1809" s="25" t="s">
        <v>1246</v>
      </c>
      <c r="H1809" s="25">
        <v>1</v>
      </c>
      <c r="I1809" s="25" t="s">
        <v>1246</v>
      </c>
      <c r="J1809" s="25" t="s">
        <v>1448</v>
      </c>
      <c r="K1809" s="25" t="s">
        <v>1449</v>
      </c>
      <c r="L1809" s="26"/>
      <c r="M1809" s="25" t="s">
        <v>184</v>
      </c>
      <c r="N1809" s="25">
        <v>900872772</v>
      </c>
      <c r="O1809" s="27">
        <v>7352941</v>
      </c>
      <c r="P1809" s="7"/>
      <c r="Q1809" s="16">
        <f>+IF(IFERROR(VLOOKUP(Tabla3[[#This Row],[Cliente factura]],Tabla4[[NIT]:[TOTAL CREDITO]],3,FALSE),0)="",0,IFERROR(VLOOKUP(Tabla3[[#This Row],[Cliente factura]],Tabla4[[NIT]:[TOTAL CREDITO]],3,FALSE),0))</f>
        <v>2155795</v>
      </c>
      <c r="R1809" s="9">
        <f>+IFERROR(VLOOKUP(Tabla3[[#This Row],[Cliente factura]],Tabla4[[NIT]:[TOTAL CREDITO]],6,FALSE),0)</f>
        <v>0</v>
      </c>
      <c r="S1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9" s="10" t="str">
        <f>VLOOKUP(Tabla3[[#This Row],[Razón social cliente factura]]&amp;Tabla3[[#This Row],[Desc. ciudad]],'Estandar de Rutas'!$C$1:$E$553,2,FALSE)</f>
        <v>7.2</v>
      </c>
      <c r="U1809" s="130">
        <f>IFERROR(VLOOKUP(Tabla3[[#This Row],[Referencia]]&amp;Tabla3[[#This Row],[Desc detalle ext 1]],Tabla1[[Referencia-Color]:[Disponibilidad]],3,FALSE),0)</f>
        <v>57</v>
      </c>
      <c r="V1809" s="13"/>
      <c r="W1809" s="17">
        <f>+Tabla3[[#This Row],[Cant. Programada]]*Tabla3[[#This Row],[Precio unit]]</f>
        <v>0</v>
      </c>
      <c r="X1809" s="8"/>
      <c r="Y1809" s="8"/>
      <c r="Z1809" s="8" t="str">
        <f>+Tabla3[[#This Row],[Referencia]]&amp;Tabla3[[#This Row],[Desc detalle ext 1]]</f>
        <v xml:space="preserve">PCX 150                                           GRIS     </v>
      </c>
      <c r="AA1809" s="128" t="e">
        <f>+VLOOKUP(Tabla3[[#This Row],[CODIGO2]],ESTANDAR!$B$3:$C$9,2,FALSE)</f>
        <v>#N/A</v>
      </c>
      <c r="AB1809" s="128" t="str">
        <f>+MID(Tabla3[[#This Row],['# Viaje]],10,1)</f>
        <v/>
      </c>
    </row>
    <row r="1810" spans="1:28" ht="15" hidden="1" customHeight="1">
      <c r="A1810" s="25" t="s">
        <v>1818</v>
      </c>
      <c r="B1810" s="26">
        <v>42950</v>
      </c>
      <c r="C1810" s="25" t="s">
        <v>1231</v>
      </c>
      <c r="D1810" s="25" t="s">
        <v>1237</v>
      </c>
      <c r="E1810" s="25" t="s">
        <v>1479</v>
      </c>
      <c r="F1810" s="25">
        <v>1</v>
      </c>
      <c r="G1810" s="25" t="s">
        <v>1246</v>
      </c>
      <c r="H1810" s="25">
        <v>1</v>
      </c>
      <c r="I1810" s="25" t="s">
        <v>1246</v>
      </c>
      <c r="J1810" s="25" t="s">
        <v>1439</v>
      </c>
      <c r="K1810" s="25" t="s">
        <v>1455</v>
      </c>
      <c r="L1810" s="26"/>
      <c r="M1810" s="25" t="s">
        <v>184</v>
      </c>
      <c r="N1810" s="25">
        <v>900872772</v>
      </c>
      <c r="O1810" s="27">
        <v>9210084</v>
      </c>
      <c r="P1810" s="7"/>
      <c r="Q1810" s="16">
        <f>+IF(IFERROR(VLOOKUP(Tabla3[[#This Row],[Cliente factura]],Tabla4[[NIT]:[TOTAL CREDITO]],3,FALSE),0)="",0,IFERROR(VLOOKUP(Tabla3[[#This Row],[Cliente factura]],Tabla4[[NIT]:[TOTAL CREDITO]],3,FALSE),0))</f>
        <v>2155795</v>
      </c>
      <c r="R1810" s="9">
        <f>+IFERROR(VLOOKUP(Tabla3[[#This Row],[Cliente factura]],Tabla4[[NIT]:[TOTAL CREDITO]],6,FALSE),0)</f>
        <v>0</v>
      </c>
      <c r="S1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0" s="10" t="str">
        <f>VLOOKUP(Tabla3[[#This Row],[Razón social cliente factura]]&amp;Tabla3[[#This Row],[Desc. ciudad]],'Estandar de Rutas'!$C$1:$E$553,2,FALSE)</f>
        <v>7.2</v>
      </c>
      <c r="U1810" s="130">
        <f>IFERROR(VLOOKUP(Tabla3[[#This Row],[Referencia]]&amp;Tabla3[[#This Row],[Desc detalle ext 1]],Tabla1[[Referencia-Color]:[Disponibilidad]],3,FALSE),0)</f>
        <v>0</v>
      </c>
      <c r="V1810" s="13"/>
      <c r="W1810" s="17">
        <f>+Tabla3[[#This Row],[Cant. Programada]]*Tabla3[[#This Row],[Precio unit]]</f>
        <v>0</v>
      </c>
      <c r="X1810" s="8"/>
      <c r="Y1810" s="8"/>
      <c r="Z1810" s="8" t="str">
        <f>+Tabla3[[#This Row],[Referencia]]&amp;Tabla3[[#This Row],[Desc detalle ext 1]]</f>
        <v xml:space="preserve">XRE 190                                           VERDE    </v>
      </c>
      <c r="AA1810" s="128" t="e">
        <f>+VLOOKUP(Tabla3[[#This Row],[CODIGO2]],ESTANDAR!$B$3:$C$9,2,FALSE)</f>
        <v>#N/A</v>
      </c>
      <c r="AB1810" s="128" t="str">
        <f>+MID(Tabla3[[#This Row],['# Viaje]],10,1)</f>
        <v/>
      </c>
    </row>
    <row r="1811" spans="1:28" ht="15" hidden="1" customHeight="1">
      <c r="A1811" s="25" t="s">
        <v>1819</v>
      </c>
      <c r="B1811" s="26">
        <v>42950</v>
      </c>
      <c r="C1811" s="25" t="s">
        <v>1231</v>
      </c>
      <c r="D1811" s="25" t="s">
        <v>1487</v>
      </c>
      <c r="E1811" s="25" t="s">
        <v>1479</v>
      </c>
      <c r="F1811" s="25">
        <v>1</v>
      </c>
      <c r="G1811" s="25" t="s">
        <v>262</v>
      </c>
      <c r="H1811" s="25">
        <v>1</v>
      </c>
      <c r="I1811" s="25" t="s">
        <v>262</v>
      </c>
      <c r="J1811" s="25" t="s">
        <v>1448</v>
      </c>
      <c r="K1811" s="25" t="s">
        <v>1449</v>
      </c>
      <c r="L1811" s="26"/>
      <c r="M1811" s="25" t="s">
        <v>263</v>
      </c>
      <c r="N1811" s="25">
        <v>8357438</v>
      </c>
      <c r="O1811" s="27">
        <v>7352941</v>
      </c>
      <c r="P1811" s="7"/>
      <c r="Q1811" s="16">
        <f>+IF(IFERROR(VLOOKUP(Tabla3[[#This Row],[Cliente factura]],Tabla4[[NIT]:[TOTAL CREDITO]],3,FALSE),0)="",0,IFERROR(VLOOKUP(Tabla3[[#This Row],[Cliente factura]],Tabla4[[NIT]:[TOTAL CREDITO]],3,FALSE),0))</f>
        <v>5189000</v>
      </c>
      <c r="R1811" s="9">
        <f>+IFERROR(VLOOKUP(Tabla3[[#This Row],[Cliente factura]],Tabla4[[NIT]:[TOTAL CREDITO]],6,FALSE),0)</f>
        <v>159000000</v>
      </c>
      <c r="S1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1" s="10" t="str">
        <f>VLOOKUP(Tabla3[[#This Row],[Razón social cliente factura]]&amp;Tabla3[[#This Row],[Desc. ciudad]],'Estandar de Rutas'!$C$1:$E$553,2,FALSE)</f>
        <v>4.1.B</v>
      </c>
      <c r="U1811" s="130">
        <f>IFERROR(VLOOKUP(Tabla3[[#This Row],[Referencia]]&amp;Tabla3[[#This Row],[Desc detalle ext 1]],Tabla1[[Referencia-Color]:[Disponibilidad]],3,FALSE),0)</f>
        <v>57</v>
      </c>
      <c r="V1811" s="13"/>
      <c r="W1811" s="17">
        <f>+Tabla3[[#This Row],[Cant. Programada]]*Tabla3[[#This Row],[Precio unit]]</f>
        <v>0</v>
      </c>
      <c r="X1811" s="8"/>
      <c r="Y1811" s="8"/>
      <c r="Z1811" s="8" t="str">
        <f>+Tabla3[[#This Row],[Referencia]]&amp;Tabla3[[#This Row],[Desc detalle ext 1]]</f>
        <v xml:space="preserve">PCX 150                                           GRIS     </v>
      </c>
      <c r="AA1811" s="128" t="e">
        <f>+VLOOKUP(Tabla3[[#This Row],[CODIGO2]],ESTANDAR!$B$3:$C$9,2,FALSE)</f>
        <v>#N/A</v>
      </c>
      <c r="AB1811" s="128" t="str">
        <f>+MID(Tabla3[[#This Row],['# Viaje]],10,1)</f>
        <v/>
      </c>
    </row>
    <row r="1812" spans="1:28" ht="15" hidden="1" customHeight="1">
      <c r="A1812" s="25" t="s">
        <v>1820</v>
      </c>
      <c r="B1812" s="26">
        <v>42950</v>
      </c>
      <c r="C1812" s="25" t="s">
        <v>1231</v>
      </c>
      <c r="D1812" s="25" t="s">
        <v>1478</v>
      </c>
      <c r="E1812" s="25" t="s">
        <v>1232</v>
      </c>
      <c r="F1812" s="25">
        <v>1</v>
      </c>
      <c r="G1812" s="25" t="s">
        <v>57</v>
      </c>
      <c r="H1812" s="25">
        <v>1</v>
      </c>
      <c r="I1812" s="25" t="s">
        <v>1751</v>
      </c>
      <c r="J1812" s="25" t="s">
        <v>1454</v>
      </c>
      <c r="K1812" s="25" t="s">
        <v>16</v>
      </c>
      <c r="L1812" s="26"/>
      <c r="M1812" s="25" t="s">
        <v>58</v>
      </c>
      <c r="N1812" s="25">
        <v>900095491</v>
      </c>
      <c r="O1812" s="27">
        <v>12039370</v>
      </c>
      <c r="P1812" s="7"/>
      <c r="Q18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2" s="9">
        <f>+IFERROR(VLOOKUP(Tabla3[[#This Row],[Cliente factura]],Tabla4[[NIT]:[TOTAL CREDITO]],6,FALSE),0)</f>
        <v>0</v>
      </c>
      <c r="S1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2" s="10" t="str">
        <f>VLOOKUP(Tabla3[[#This Row],[Razón social cliente factura]]&amp;Tabla3[[#This Row],[Desc. ciudad]],'Estandar de Rutas'!$C$1:$E$553,2,FALSE)</f>
        <v>1.2</v>
      </c>
      <c r="U1812" s="130">
        <f>IFERROR(VLOOKUP(Tabla3[[#This Row],[Referencia]]&amp;Tabla3[[#This Row],[Desc detalle ext 1]],Tabla1[[Referencia-Color]:[Disponibilidad]],3,FALSE),0)</f>
        <v>0</v>
      </c>
      <c r="V1812" s="13"/>
      <c r="W1812" s="17">
        <f>+Tabla3[[#This Row],[Cant. Programada]]*Tabla3[[#This Row],[Precio unit]]</f>
        <v>0</v>
      </c>
      <c r="X1812" s="8"/>
      <c r="Y1812" s="8"/>
      <c r="Z1812" s="8" t="str">
        <f>+Tabla3[[#This Row],[Referencia]]&amp;Tabla3[[#This Row],[Desc detalle ext 1]]</f>
        <v xml:space="preserve">XRE  300                                          NEGRO    </v>
      </c>
      <c r="AA1812" s="128" t="e">
        <f>+VLOOKUP(Tabla3[[#This Row],[CODIGO2]],ESTANDAR!$B$3:$C$9,2,FALSE)</f>
        <v>#N/A</v>
      </c>
      <c r="AB1812" s="128" t="str">
        <f>+MID(Tabla3[[#This Row],['# Viaje]],10,1)</f>
        <v/>
      </c>
    </row>
    <row r="1813" spans="1:28" ht="15" hidden="1" customHeight="1">
      <c r="A1813" s="25" t="s">
        <v>1821</v>
      </c>
      <c r="B1813" s="26">
        <v>42950</v>
      </c>
      <c r="C1813" s="25" t="s">
        <v>1231</v>
      </c>
      <c r="D1813" s="25" t="s">
        <v>1478</v>
      </c>
      <c r="E1813" s="25" t="s">
        <v>1232</v>
      </c>
      <c r="F1813" s="25">
        <v>1</v>
      </c>
      <c r="G1813" s="25" t="s">
        <v>125</v>
      </c>
      <c r="H1813" s="25">
        <v>1</v>
      </c>
      <c r="I1813" s="25" t="s">
        <v>125</v>
      </c>
      <c r="J1813" s="25" t="s">
        <v>1454</v>
      </c>
      <c r="K1813" s="25" t="s">
        <v>1455</v>
      </c>
      <c r="L1813" s="26"/>
      <c r="M1813" s="25" t="s">
        <v>126</v>
      </c>
      <c r="N1813" s="25">
        <v>890207088</v>
      </c>
      <c r="O1813" s="27">
        <v>12039370</v>
      </c>
      <c r="P1813" s="7"/>
      <c r="Q18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3" s="9">
        <f>+IFERROR(VLOOKUP(Tabla3[[#This Row],[Cliente factura]],Tabla4[[NIT]:[TOTAL CREDITO]],6,FALSE),0)</f>
        <v>0</v>
      </c>
      <c r="S1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3" s="10" t="str">
        <f>VLOOKUP(Tabla3[[#This Row],[Razón social cliente factura]]&amp;Tabla3[[#This Row],[Desc. ciudad]],'Estandar de Rutas'!$C$1:$E$553,2,FALSE)</f>
        <v>6.2.B</v>
      </c>
      <c r="U1813" s="130">
        <f>IFERROR(VLOOKUP(Tabla3[[#This Row],[Referencia]]&amp;Tabla3[[#This Row],[Desc detalle ext 1]],Tabla1[[Referencia-Color]:[Disponibilidad]],3,FALSE),0)</f>
        <v>19</v>
      </c>
      <c r="V1813" s="13"/>
      <c r="W1813" s="17">
        <f>+Tabla3[[#This Row],[Cant. Programada]]*Tabla3[[#This Row],[Precio unit]]</f>
        <v>0</v>
      </c>
      <c r="X1813" s="8"/>
      <c r="Y1813" s="8"/>
      <c r="Z1813" s="8" t="str">
        <f>+Tabla3[[#This Row],[Referencia]]&amp;Tabla3[[#This Row],[Desc detalle ext 1]]</f>
        <v xml:space="preserve">XRE  300                                          VERDE    </v>
      </c>
      <c r="AA1813" s="128" t="e">
        <f>+VLOOKUP(Tabla3[[#This Row],[CODIGO2]],ESTANDAR!$B$3:$C$9,2,FALSE)</f>
        <v>#N/A</v>
      </c>
      <c r="AB1813" s="128" t="str">
        <f>+MID(Tabla3[[#This Row],['# Viaje]],10,1)</f>
        <v/>
      </c>
    </row>
    <row r="1814" spans="1:28" ht="15" hidden="1" customHeight="1">
      <c r="A1814" s="25" t="s">
        <v>1821</v>
      </c>
      <c r="B1814" s="26">
        <v>42950</v>
      </c>
      <c r="C1814" s="25" t="s">
        <v>1231</v>
      </c>
      <c r="D1814" s="25" t="s">
        <v>1478</v>
      </c>
      <c r="E1814" s="25" t="s">
        <v>1232</v>
      </c>
      <c r="F1814" s="25">
        <v>1</v>
      </c>
      <c r="G1814" s="25" t="s">
        <v>125</v>
      </c>
      <c r="H1814" s="25">
        <v>1</v>
      </c>
      <c r="I1814" s="25" t="s">
        <v>125</v>
      </c>
      <c r="J1814" s="25" t="s">
        <v>1454</v>
      </c>
      <c r="K1814" s="25" t="s">
        <v>16</v>
      </c>
      <c r="L1814" s="26"/>
      <c r="M1814" s="25" t="s">
        <v>126</v>
      </c>
      <c r="N1814" s="25">
        <v>890207088</v>
      </c>
      <c r="O1814" s="27">
        <v>12039370</v>
      </c>
      <c r="P1814" s="7"/>
      <c r="Q18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4" s="9">
        <f>+IFERROR(VLOOKUP(Tabla3[[#This Row],[Cliente factura]],Tabla4[[NIT]:[TOTAL CREDITO]],6,FALSE),0)</f>
        <v>0</v>
      </c>
      <c r="S1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4" s="10" t="str">
        <f>VLOOKUP(Tabla3[[#This Row],[Razón social cliente factura]]&amp;Tabla3[[#This Row],[Desc. ciudad]],'Estandar de Rutas'!$C$1:$E$553,2,FALSE)</f>
        <v>6.2.B</v>
      </c>
      <c r="U1814" s="130">
        <f>IFERROR(VLOOKUP(Tabla3[[#This Row],[Referencia]]&amp;Tabla3[[#This Row],[Desc detalle ext 1]],Tabla1[[Referencia-Color]:[Disponibilidad]],3,FALSE),0)</f>
        <v>0</v>
      </c>
      <c r="V1814" s="13"/>
      <c r="W1814" s="17">
        <f>+Tabla3[[#This Row],[Cant. Programada]]*Tabla3[[#This Row],[Precio unit]]</f>
        <v>0</v>
      </c>
      <c r="X1814" s="8"/>
      <c r="Y1814" s="8"/>
      <c r="Z1814" s="8" t="str">
        <f>+Tabla3[[#This Row],[Referencia]]&amp;Tabla3[[#This Row],[Desc detalle ext 1]]</f>
        <v xml:space="preserve">XRE  300                                          NEGRO    </v>
      </c>
      <c r="AA1814" s="128" t="e">
        <f>+VLOOKUP(Tabla3[[#This Row],[CODIGO2]],ESTANDAR!$B$3:$C$9,2,FALSE)</f>
        <v>#N/A</v>
      </c>
      <c r="AB1814" s="128" t="str">
        <f>+MID(Tabla3[[#This Row],['# Viaje]],10,1)</f>
        <v/>
      </c>
    </row>
    <row r="1815" spans="1:28" ht="15" hidden="1" customHeight="1">
      <c r="A1815" s="25" t="s">
        <v>1821</v>
      </c>
      <c r="B1815" s="26">
        <v>42950</v>
      </c>
      <c r="C1815" s="25" t="s">
        <v>1231</v>
      </c>
      <c r="D1815" s="25" t="s">
        <v>1478</v>
      </c>
      <c r="E1815" s="25" t="s">
        <v>1232</v>
      </c>
      <c r="F1815" s="25">
        <v>1</v>
      </c>
      <c r="G1815" s="25" t="s">
        <v>125</v>
      </c>
      <c r="H1815" s="25">
        <v>1</v>
      </c>
      <c r="I1815" s="25" t="s">
        <v>125</v>
      </c>
      <c r="J1815" s="25" t="s">
        <v>1448</v>
      </c>
      <c r="K1815" s="25" t="s">
        <v>1450</v>
      </c>
      <c r="L1815" s="26"/>
      <c r="M1815" s="25" t="s">
        <v>126</v>
      </c>
      <c r="N1815" s="25">
        <v>890207088</v>
      </c>
      <c r="O1815" s="27">
        <v>7352941</v>
      </c>
      <c r="P1815" s="7"/>
      <c r="Q18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5" s="9">
        <f>+IFERROR(VLOOKUP(Tabla3[[#This Row],[Cliente factura]],Tabla4[[NIT]:[TOTAL CREDITO]],6,FALSE),0)</f>
        <v>0</v>
      </c>
      <c r="S1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5" s="10" t="str">
        <f>VLOOKUP(Tabla3[[#This Row],[Razón social cliente factura]]&amp;Tabla3[[#This Row],[Desc. ciudad]],'Estandar de Rutas'!$C$1:$E$553,2,FALSE)</f>
        <v>6.2.B</v>
      </c>
      <c r="U1815" s="130">
        <f>IFERROR(VLOOKUP(Tabla3[[#This Row],[Referencia]]&amp;Tabla3[[#This Row],[Desc detalle ext 1]],Tabla1[[Referencia-Color]:[Disponibilidad]],3,FALSE),0)</f>
        <v>61</v>
      </c>
      <c r="V1815" s="13"/>
      <c r="W1815" s="17">
        <f>+Tabla3[[#This Row],[Cant. Programada]]*Tabla3[[#This Row],[Precio unit]]</f>
        <v>0</v>
      </c>
      <c r="X1815" s="8"/>
      <c r="Y1815" s="8"/>
      <c r="Z1815" s="8" t="str">
        <f>+Tabla3[[#This Row],[Referencia]]&amp;Tabla3[[#This Row],[Desc detalle ext 1]]</f>
        <v xml:space="preserve">PCX 150                                           PLATEADO </v>
      </c>
      <c r="AA1815" s="128" t="e">
        <f>+VLOOKUP(Tabla3[[#This Row],[CODIGO2]],ESTANDAR!$B$3:$C$9,2,FALSE)</f>
        <v>#N/A</v>
      </c>
      <c r="AB1815" s="128" t="str">
        <f>+MID(Tabla3[[#This Row],['# Viaje]],10,1)</f>
        <v/>
      </c>
    </row>
    <row r="1816" spans="1:28" ht="15" hidden="1" customHeight="1">
      <c r="A1816" s="25" t="s">
        <v>1821</v>
      </c>
      <c r="B1816" s="26">
        <v>42950</v>
      </c>
      <c r="C1816" s="25" t="s">
        <v>1231</v>
      </c>
      <c r="D1816" s="25" t="s">
        <v>1478</v>
      </c>
      <c r="E1816" s="25" t="s">
        <v>1232</v>
      </c>
      <c r="F1816" s="25">
        <v>1</v>
      </c>
      <c r="G1816" s="25" t="s">
        <v>125</v>
      </c>
      <c r="H1816" s="25">
        <v>1</v>
      </c>
      <c r="I1816" s="25" t="s">
        <v>125</v>
      </c>
      <c r="J1816" s="25" t="s">
        <v>1448</v>
      </c>
      <c r="K1816" s="25" t="s">
        <v>1449</v>
      </c>
      <c r="L1816" s="26"/>
      <c r="M1816" s="25" t="s">
        <v>126</v>
      </c>
      <c r="N1816" s="25">
        <v>890207088</v>
      </c>
      <c r="O1816" s="27">
        <v>7352941</v>
      </c>
      <c r="P1816" s="7"/>
      <c r="Q18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6" s="9">
        <f>+IFERROR(VLOOKUP(Tabla3[[#This Row],[Cliente factura]],Tabla4[[NIT]:[TOTAL CREDITO]],6,FALSE),0)</f>
        <v>0</v>
      </c>
      <c r="S1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6" s="10" t="str">
        <f>VLOOKUP(Tabla3[[#This Row],[Razón social cliente factura]]&amp;Tabla3[[#This Row],[Desc. ciudad]],'Estandar de Rutas'!$C$1:$E$553,2,FALSE)</f>
        <v>6.2.B</v>
      </c>
      <c r="U1816" s="130">
        <f>IFERROR(VLOOKUP(Tabla3[[#This Row],[Referencia]]&amp;Tabla3[[#This Row],[Desc detalle ext 1]],Tabla1[[Referencia-Color]:[Disponibilidad]],3,FALSE),0)</f>
        <v>57</v>
      </c>
      <c r="V1816" s="13"/>
      <c r="W1816" s="17">
        <f>+Tabla3[[#This Row],[Cant. Programada]]*Tabla3[[#This Row],[Precio unit]]</f>
        <v>0</v>
      </c>
      <c r="X1816" s="8"/>
      <c r="Y1816" s="8"/>
      <c r="Z1816" s="8" t="str">
        <f>+Tabla3[[#This Row],[Referencia]]&amp;Tabla3[[#This Row],[Desc detalle ext 1]]</f>
        <v xml:space="preserve">PCX 150                                           GRIS     </v>
      </c>
      <c r="AA1816" s="128" t="e">
        <f>+VLOOKUP(Tabla3[[#This Row],[CODIGO2]],ESTANDAR!$B$3:$C$9,2,FALSE)</f>
        <v>#N/A</v>
      </c>
      <c r="AB1816" s="128" t="str">
        <f>+MID(Tabla3[[#This Row],['# Viaje]],10,1)</f>
        <v/>
      </c>
    </row>
    <row r="1817" spans="1:28" ht="15" hidden="1" customHeight="1">
      <c r="A1817" s="25" t="s">
        <v>1821</v>
      </c>
      <c r="B1817" s="26">
        <v>42950</v>
      </c>
      <c r="C1817" s="25" t="s">
        <v>1231</v>
      </c>
      <c r="D1817" s="25" t="s">
        <v>1478</v>
      </c>
      <c r="E1817" s="25" t="s">
        <v>1232</v>
      </c>
      <c r="F1817" s="25">
        <v>1</v>
      </c>
      <c r="G1817" s="25" t="s">
        <v>125</v>
      </c>
      <c r="H1817" s="25">
        <v>1</v>
      </c>
      <c r="I1817" s="25" t="s">
        <v>125</v>
      </c>
      <c r="J1817" s="25" t="s">
        <v>1439</v>
      </c>
      <c r="K1817" s="25" t="s">
        <v>1455</v>
      </c>
      <c r="L1817" s="26"/>
      <c r="M1817" s="25" t="s">
        <v>126</v>
      </c>
      <c r="N1817" s="25">
        <v>890207088</v>
      </c>
      <c r="O1817" s="27">
        <v>9210084</v>
      </c>
      <c r="P1817" s="7"/>
      <c r="Q18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7" s="9">
        <f>+IFERROR(VLOOKUP(Tabla3[[#This Row],[Cliente factura]],Tabla4[[NIT]:[TOTAL CREDITO]],6,FALSE),0)</f>
        <v>0</v>
      </c>
      <c r="S1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7" s="10" t="str">
        <f>VLOOKUP(Tabla3[[#This Row],[Razón social cliente factura]]&amp;Tabla3[[#This Row],[Desc. ciudad]],'Estandar de Rutas'!$C$1:$E$553,2,FALSE)</f>
        <v>6.2.B</v>
      </c>
      <c r="U1817" s="130">
        <f>IFERROR(VLOOKUP(Tabla3[[#This Row],[Referencia]]&amp;Tabla3[[#This Row],[Desc detalle ext 1]],Tabla1[[Referencia-Color]:[Disponibilidad]],3,FALSE),0)</f>
        <v>0</v>
      </c>
      <c r="V1817" s="13"/>
      <c r="W1817" s="17">
        <f>+Tabla3[[#This Row],[Cant. Programada]]*Tabla3[[#This Row],[Precio unit]]</f>
        <v>0</v>
      </c>
      <c r="X1817" s="8"/>
      <c r="Y1817" s="8"/>
      <c r="Z1817" s="8" t="str">
        <f>+Tabla3[[#This Row],[Referencia]]&amp;Tabla3[[#This Row],[Desc detalle ext 1]]</f>
        <v xml:space="preserve">XRE 190                                           VERDE    </v>
      </c>
      <c r="AA1817" s="128" t="e">
        <f>+VLOOKUP(Tabla3[[#This Row],[CODIGO2]],ESTANDAR!$B$3:$C$9,2,FALSE)</f>
        <v>#N/A</v>
      </c>
      <c r="AB1817" s="128" t="str">
        <f>+MID(Tabla3[[#This Row],['# Viaje]],10,1)</f>
        <v/>
      </c>
    </row>
    <row r="1818" spans="1:28" ht="15" hidden="1" customHeight="1">
      <c r="A1818" s="25" t="s">
        <v>1822</v>
      </c>
      <c r="B1818" s="26">
        <v>42950</v>
      </c>
      <c r="C1818" s="25" t="s">
        <v>1231</v>
      </c>
      <c r="D1818" s="25" t="s">
        <v>1478</v>
      </c>
      <c r="E1818" s="25" t="s">
        <v>1232</v>
      </c>
      <c r="F1818" s="25">
        <v>1</v>
      </c>
      <c r="G1818" s="25" t="s">
        <v>125</v>
      </c>
      <c r="H1818" s="25">
        <v>1</v>
      </c>
      <c r="I1818" s="25" t="s">
        <v>1754</v>
      </c>
      <c r="J1818" s="25" t="s">
        <v>1454</v>
      </c>
      <c r="K1818" s="25" t="s">
        <v>1455</v>
      </c>
      <c r="L1818" s="26"/>
      <c r="M1818" s="25" t="s">
        <v>309</v>
      </c>
      <c r="N1818" s="25">
        <v>890207088</v>
      </c>
      <c r="O1818" s="27">
        <v>12039370</v>
      </c>
      <c r="P1818" s="7"/>
      <c r="Q18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8" s="9">
        <f>+IFERROR(VLOOKUP(Tabla3[[#This Row],[Cliente factura]],Tabla4[[NIT]:[TOTAL CREDITO]],6,FALSE),0)</f>
        <v>0</v>
      </c>
      <c r="S1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8" s="10" t="str">
        <f>VLOOKUP(Tabla3[[#This Row],[Razón social cliente factura]]&amp;Tabla3[[#This Row],[Desc. ciudad]],'Estandar de Rutas'!$C$1:$E$553,2,FALSE)</f>
        <v>6.2.A</v>
      </c>
      <c r="U1818" s="130">
        <f>IFERROR(VLOOKUP(Tabla3[[#This Row],[Referencia]]&amp;Tabla3[[#This Row],[Desc detalle ext 1]],Tabla1[[Referencia-Color]:[Disponibilidad]],3,FALSE),0)</f>
        <v>19</v>
      </c>
      <c r="V1818" s="13"/>
      <c r="W1818" s="17">
        <f>+Tabla3[[#This Row],[Cant. Programada]]*Tabla3[[#This Row],[Precio unit]]</f>
        <v>0</v>
      </c>
      <c r="X1818" s="8"/>
      <c r="Y1818" s="8"/>
      <c r="Z1818" s="8" t="str">
        <f>+Tabla3[[#This Row],[Referencia]]&amp;Tabla3[[#This Row],[Desc detalle ext 1]]</f>
        <v xml:space="preserve">XRE  300                                          VERDE    </v>
      </c>
      <c r="AA1818" s="128" t="e">
        <f>+VLOOKUP(Tabla3[[#This Row],[CODIGO2]],ESTANDAR!$B$3:$C$9,2,FALSE)</f>
        <v>#N/A</v>
      </c>
      <c r="AB1818" s="128" t="str">
        <f>+MID(Tabla3[[#This Row],['# Viaje]],10,1)</f>
        <v/>
      </c>
    </row>
    <row r="1819" spans="1:28" ht="15" hidden="1" customHeight="1">
      <c r="A1819" s="25" t="s">
        <v>1822</v>
      </c>
      <c r="B1819" s="26">
        <v>42950</v>
      </c>
      <c r="C1819" s="25" t="s">
        <v>1231</v>
      </c>
      <c r="D1819" s="25" t="s">
        <v>1478</v>
      </c>
      <c r="E1819" s="25" t="s">
        <v>1232</v>
      </c>
      <c r="F1819" s="25">
        <v>1</v>
      </c>
      <c r="G1819" s="25" t="s">
        <v>125</v>
      </c>
      <c r="H1819" s="25">
        <v>1</v>
      </c>
      <c r="I1819" s="25" t="s">
        <v>1754</v>
      </c>
      <c r="J1819" s="25" t="s">
        <v>1454</v>
      </c>
      <c r="K1819" s="25" t="s">
        <v>16</v>
      </c>
      <c r="L1819" s="26"/>
      <c r="M1819" s="25" t="s">
        <v>309</v>
      </c>
      <c r="N1819" s="25">
        <v>890207088</v>
      </c>
      <c r="O1819" s="27">
        <v>12039370</v>
      </c>
      <c r="P1819" s="7"/>
      <c r="Q18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9" s="9">
        <f>+IFERROR(VLOOKUP(Tabla3[[#This Row],[Cliente factura]],Tabla4[[NIT]:[TOTAL CREDITO]],6,FALSE),0)</f>
        <v>0</v>
      </c>
      <c r="S1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9" s="10" t="str">
        <f>VLOOKUP(Tabla3[[#This Row],[Razón social cliente factura]]&amp;Tabla3[[#This Row],[Desc. ciudad]],'Estandar de Rutas'!$C$1:$E$553,2,FALSE)</f>
        <v>6.2.A</v>
      </c>
      <c r="U1819" s="130">
        <f>IFERROR(VLOOKUP(Tabla3[[#This Row],[Referencia]]&amp;Tabla3[[#This Row],[Desc detalle ext 1]],Tabla1[[Referencia-Color]:[Disponibilidad]],3,FALSE),0)</f>
        <v>0</v>
      </c>
      <c r="V1819" s="13"/>
      <c r="W1819" s="17">
        <f>+Tabla3[[#This Row],[Cant. Programada]]*Tabla3[[#This Row],[Precio unit]]</f>
        <v>0</v>
      </c>
      <c r="X1819" s="8"/>
      <c r="Y1819" s="8"/>
      <c r="Z1819" s="8" t="str">
        <f>+Tabla3[[#This Row],[Referencia]]&amp;Tabla3[[#This Row],[Desc detalle ext 1]]</f>
        <v xml:space="preserve">XRE  300                                          NEGRO    </v>
      </c>
      <c r="AA1819" s="128" t="e">
        <f>+VLOOKUP(Tabla3[[#This Row],[CODIGO2]],ESTANDAR!$B$3:$C$9,2,FALSE)</f>
        <v>#N/A</v>
      </c>
      <c r="AB1819" s="128" t="str">
        <f>+MID(Tabla3[[#This Row],['# Viaje]],10,1)</f>
        <v/>
      </c>
    </row>
    <row r="1820" spans="1:28" ht="15" hidden="1" customHeight="1">
      <c r="A1820" s="25" t="s">
        <v>1822</v>
      </c>
      <c r="B1820" s="26">
        <v>42950</v>
      </c>
      <c r="C1820" s="25" t="s">
        <v>1231</v>
      </c>
      <c r="D1820" s="25" t="s">
        <v>1478</v>
      </c>
      <c r="E1820" s="25" t="s">
        <v>1232</v>
      </c>
      <c r="F1820" s="25">
        <v>1</v>
      </c>
      <c r="G1820" s="25" t="s">
        <v>125</v>
      </c>
      <c r="H1820" s="25">
        <v>1</v>
      </c>
      <c r="I1820" s="25" t="s">
        <v>1754</v>
      </c>
      <c r="J1820" s="25" t="s">
        <v>1439</v>
      </c>
      <c r="K1820" s="25" t="s">
        <v>1455</v>
      </c>
      <c r="L1820" s="26"/>
      <c r="M1820" s="25" t="s">
        <v>309</v>
      </c>
      <c r="N1820" s="25">
        <v>890207088</v>
      </c>
      <c r="O1820" s="27">
        <v>9210084</v>
      </c>
      <c r="P1820" s="7"/>
      <c r="Q18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0" s="9">
        <f>+IFERROR(VLOOKUP(Tabla3[[#This Row],[Cliente factura]],Tabla4[[NIT]:[TOTAL CREDITO]],6,FALSE),0)</f>
        <v>0</v>
      </c>
      <c r="S1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0" s="10" t="str">
        <f>VLOOKUP(Tabla3[[#This Row],[Razón social cliente factura]]&amp;Tabla3[[#This Row],[Desc. ciudad]],'Estandar de Rutas'!$C$1:$E$553,2,FALSE)</f>
        <v>6.2.A</v>
      </c>
      <c r="U1820" s="130">
        <f>IFERROR(VLOOKUP(Tabla3[[#This Row],[Referencia]]&amp;Tabla3[[#This Row],[Desc detalle ext 1]],Tabla1[[Referencia-Color]:[Disponibilidad]],3,FALSE),0)</f>
        <v>0</v>
      </c>
      <c r="V1820" s="13"/>
      <c r="W1820" s="17">
        <f>+Tabla3[[#This Row],[Cant. Programada]]*Tabla3[[#This Row],[Precio unit]]</f>
        <v>0</v>
      </c>
      <c r="X1820" s="8"/>
      <c r="Y1820" s="8"/>
      <c r="Z1820" s="8" t="str">
        <f>+Tabla3[[#This Row],[Referencia]]&amp;Tabla3[[#This Row],[Desc detalle ext 1]]</f>
        <v xml:space="preserve">XRE 190                                           VERDE    </v>
      </c>
      <c r="AA1820" s="128" t="e">
        <f>+VLOOKUP(Tabla3[[#This Row],[CODIGO2]],ESTANDAR!$B$3:$C$9,2,FALSE)</f>
        <v>#N/A</v>
      </c>
      <c r="AB1820" s="128" t="str">
        <f>+MID(Tabla3[[#This Row],['# Viaje]],10,1)</f>
        <v/>
      </c>
    </row>
    <row r="1821" spans="1:28" ht="15" hidden="1" customHeight="1">
      <c r="A1821" s="25" t="s">
        <v>1823</v>
      </c>
      <c r="B1821" s="26">
        <v>42950</v>
      </c>
      <c r="C1821" s="25" t="s">
        <v>1231</v>
      </c>
      <c r="D1821" s="25" t="s">
        <v>1478</v>
      </c>
      <c r="E1821" s="25" t="s">
        <v>1232</v>
      </c>
      <c r="F1821" s="25">
        <v>1</v>
      </c>
      <c r="G1821" s="25" t="s">
        <v>125</v>
      </c>
      <c r="H1821" s="25">
        <v>1</v>
      </c>
      <c r="I1821" s="25" t="s">
        <v>1756</v>
      </c>
      <c r="J1821" s="25" t="s">
        <v>1435</v>
      </c>
      <c r="K1821" s="25" t="s">
        <v>1431</v>
      </c>
      <c r="L1821" s="26"/>
      <c r="M1821" s="25" t="s">
        <v>126</v>
      </c>
      <c r="N1821" s="25">
        <v>890207088</v>
      </c>
      <c r="O1821" s="27">
        <v>10228346</v>
      </c>
      <c r="P1821" s="7"/>
      <c r="Q18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1" s="9">
        <f>+IFERROR(VLOOKUP(Tabla3[[#This Row],[Cliente factura]],Tabla4[[NIT]:[TOTAL CREDITO]],6,FALSE),0)</f>
        <v>0</v>
      </c>
      <c r="S1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1" s="10" t="str">
        <f>VLOOKUP(Tabla3[[#This Row],[Razón social cliente factura]]&amp;Tabla3[[#This Row],[Desc. ciudad]],'Estandar de Rutas'!$C$1:$E$553,2,FALSE)</f>
        <v>6.2.B</v>
      </c>
      <c r="U1821" s="130">
        <f>IFERROR(VLOOKUP(Tabla3[[#This Row],[Referencia]]&amp;Tabla3[[#This Row],[Desc detalle ext 1]],Tabla1[[Referencia-Color]:[Disponibilidad]],3,FALSE),0)</f>
        <v>109</v>
      </c>
      <c r="V1821" s="13"/>
      <c r="W1821" s="17">
        <f>+Tabla3[[#This Row],[Cant. Programada]]*Tabla3[[#This Row],[Precio unit]]</f>
        <v>0</v>
      </c>
      <c r="X1821" s="8"/>
      <c r="Y1821" s="8"/>
      <c r="Z1821" s="8" t="str">
        <f>+Tabla3[[#This Row],[Referencia]]&amp;Tabla3[[#This Row],[Desc detalle ext 1]]</f>
        <v xml:space="preserve">CBR 250RD                                         ROJO     </v>
      </c>
      <c r="AA1821" s="128" t="e">
        <f>+VLOOKUP(Tabla3[[#This Row],[CODIGO2]],ESTANDAR!$B$3:$C$9,2,FALSE)</f>
        <v>#N/A</v>
      </c>
      <c r="AB1821" s="128" t="str">
        <f>+MID(Tabla3[[#This Row],['# Viaje]],10,1)</f>
        <v/>
      </c>
    </row>
    <row r="1822" spans="1:28" ht="15" hidden="1" customHeight="1">
      <c r="A1822" s="25" t="s">
        <v>1823</v>
      </c>
      <c r="B1822" s="26">
        <v>42950</v>
      </c>
      <c r="C1822" s="25" t="s">
        <v>1231</v>
      </c>
      <c r="D1822" s="25" t="s">
        <v>1478</v>
      </c>
      <c r="E1822" s="25" t="s">
        <v>1232</v>
      </c>
      <c r="F1822" s="25">
        <v>1</v>
      </c>
      <c r="G1822" s="25" t="s">
        <v>125</v>
      </c>
      <c r="H1822" s="25">
        <v>1</v>
      </c>
      <c r="I1822" s="25" t="s">
        <v>1756</v>
      </c>
      <c r="J1822" s="25" t="s">
        <v>1439</v>
      </c>
      <c r="K1822" s="25" t="s">
        <v>1455</v>
      </c>
      <c r="L1822" s="26"/>
      <c r="M1822" s="25" t="s">
        <v>126</v>
      </c>
      <c r="N1822" s="25">
        <v>890207088</v>
      </c>
      <c r="O1822" s="27">
        <v>9210084</v>
      </c>
      <c r="P1822" s="7"/>
      <c r="Q18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2" s="9">
        <f>+IFERROR(VLOOKUP(Tabla3[[#This Row],[Cliente factura]],Tabla4[[NIT]:[TOTAL CREDITO]],6,FALSE),0)</f>
        <v>0</v>
      </c>
      <c r="S1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2" s="10" t="str">
        <f>VLOOKUP(Tabla3[[#This Row],[Razón social cliente factura]]&amp;Tabla3[[#This Row],[Desc. ciudad]],'Estandar de Rutas'!$C$1:$E$553,2,FALSE)</f>
        <v>6.2.B</v>
      </c>
      <c r="U1822" s="130">
        <f>IFERROR(VLOOKUP(Tabla3[[#This Row],[Referencia]]&amp;Tabla3[[#This Row],[Desc detalle ext 1]],Tabla1[[Referencia-Color]:[Disponibilidad]],3,FALSE),0)</f>
        <v>0</v>
      </c>
      <c r="V1822" s="13"/>
      <c r="W1822" s="17">
        <f>+Tabla3[[#This Row],[Cant. Programada]]*Tabla3[[#This Row],[Precio unit]]</f>
        <v>0</v>
      </c>
      <c r="X1822" s="8"/>
      <c r="Y1822" s="8"/>
      <c r="Z1822" s="8" t="str">
        <f>+Tabla3[[#This Row],[Referencia]]&amp;Tabla3[[#This Row],[Desc detalle ext 1]]</f>
        <v xml:space="preserve">XRE 190                                           VERDE    </v>
      </c>
      <c r="AA1822" s="128" t="e">
        <f>+VLOOKUP(Tabla3[[#This Row],[CODIGO2]],ESTANDAR!$B$3:$C$9,2,FALSE)</f>
        <v>#N/A</v>
      </c>
      <c r="AB1822" s="128" t="str">
        <f>+MID(Tabla3[[#This Row],['# Viaje]],10,1)</f>
        <v/>
      </c>
    </row>
    <row r="1823" spans="1:28" ht="15" hidden="1" customHeight="1">
      <c r="A1823" s="25" t="s">
        <v>1823</v>
      </c>
      <c r="B1823" s="26">
        <v>42950</v>
      </c>
      <c r="C1823" s="25" t="s">
        <v>1231</v>
      </c>
      <c r="D1823" s="25" t="s">
        <v>1478</v>
      </c>
      <c r="E1823" s="25" t="s">
        <v>1232</v>
      </c>
      <c r="F1823" s="25">
        <v>1</v>
      </c>
      <c r="G1823" s="25" t="s">
        <v>125</v>
      </c>
      <c r="H1823" s="25">
        <v>1</v>
      </c>
      <c r="I1823" s="25" t="s">
        <v>1756</v>
      </c>
      <c r="J1823" s="25" t="s">
        <v>1436</v>
      </c>
      <c r="K1823" s="25" t="s">
        <v>16</v>
      </c>
      <c r="L1823" s="26"/>
      <c r="M1823" s="25" t="s">
        <v>126</v>
      </c>
      <c r="N1823" s="25">
        <v>890207088</v>
      </c>
      <c r="O1823" s="27">
        <v>9762992</v>
      </c>
      <c r="P1823" s="7"/>
      <c r="Q18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3" s="9">
        <f>+IFERROR(VLOOKUP(Tabla3[[#This Row],[Cliente factura]],Tabla4[[NIT]:[TOTAL CREDITO]],6,FALSE),0)</f>
        <v>0</v>
      </c>
      <c r="S1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3" s="10" t="str">
        <f>VLOOKUP(Tabla3[[#This Row],[Razón social cliente factura]]&amp;Tabla3[[#This Row],[Desc. ciudad]],'Estandar de Rutas'!$C$1:$E$553,2,FALSE)</f>
        <v>6.2.B</v>
      </c>
      <c r="U1823" s="130">
        <f>IFERROR(VLOOKUP(Tabla3[[#This Row],[Referencia]]&amp;Tabla3[[#This Row],[Desc detalle ext 1]],Tabla1[[Referencia-Color]:[Disponibilidad]],3,FALSE),0)</f>
        <v>25</v>
      </c>
      <c r="V1823" s="13"/>
      <c r="W1823" s="17">
        <f>+Tabla3[[#This Row],[Cant. Programada]]*Tabla3[[#This Row],[Precio unit]]</f>
        <v>0</v>
      </c>
      <c r="X1823" s="8"/>
      <c r="Y1823" s="8"/>
      <c r="Z1823" s="8" t="str">
        <f>+Tabla3[[#This Row],[Referencia]]&amp;Tabla3[[#This Row],[Desc detalle ext 1]]</f>
        <v xml:space="preserve">CB 250 TWISTER                                    NEGRO    </v>
      </c>
      <c r="AA1823" s="128" t="e">
        <f>+VLOOKUP(Tabla3[[#This Row],[CODIGO2]],ESTANDAR!$B$3:$C$9,2,FALSE)</f>
        <v>#N/A</v>
      </c>
      <c r="AB1823" s="128" t="str">
        <f>+MID(Tabla3[[#This Row],['# Viaje]],10,1)</f>
        <v/>
      </c>
    </row>
    <row r="1824" spans="1:28" ht="15" hidden="1" customHeight="1">
      <c r="A1824" s="25" t="s">
        <v>1824</v>
      </c>
      <c r="B1824" s="26">
        <v>42950</v>
      </c>
      <c r="C1824" s="25" t="s">
        <v>1231</v>
      </c>
      <c r="D1824" s="25" t="s">
        <v>1487</v>
      </c>
      <c r="E1824" s="25" t="s">
        <v>1232</v>
      </c>
      <c r="F1824" s="25">
        <v>1</v>
      </c>
      <c r="G1824" s="25" t="s">
        <v>151</v>
      </c>
      <c r="H1824" s="25">
        <v>1</v>
      </c>
      <c r="I1824" s="25" t="s">
        <v>1767</v>
      </c>
      <c r="J1824" s="25" t="s">
        <v>1454</v>
      </c>
      <c r="K1824" s="25" t="s">
        <v>16</v>
      </c>
      <c r="L1824" s="26"/>
      <c r="M1824" s="25" t="s">
        <v>168</v>
      </c>
      <c r="N1824" s="25">
        <v>900185816</v>
      </c>
      <c r="O1824" s="27">
        <v>12039370</v>
      </c>
      <c r="P1824" s="7"/>
      <c r="Q18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4" s="9">
        <f>+IFERROR(VLOOKUP(Tabla3[[#This Row],[Cliente factura]],Tabla4[[NIT]:[TOTAL CREDITO]],6,FALSE),0)</f>
        <v>0</v>
      </c>
      <c r="S1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4" s="10" t="str">
        <f>VLOOKUP(Tabla3[[#This Row],[Razón social cliente factura]]&amp;Tabla3[[#This Row],[Desc. ciudad]],'Estandar de Rutas'!$C$1:$E$553,2,FALSE)</f>
        <v>8.1</v>
      </c>
      <c r="U1824" s="130">
        <f>IFERROR(VLOOKUP(Tabla3[[#This Row],[Referencia]]&amp;Tabla3[[#This Row],[Desc detalle ext 1]],Tabla1[[Referencia-Color]:[Disponibilidad]],3,FALSE),0)</f>
        <v>0</v>
      </c>
      <c r="V1824" s="13"/>
      <c r="W1824" s="17">
        <f>+Tabla3[[#This Row],[Cant. Programada]]*Tabla3[[#This Row],[Precio unit]]</f>
        <v>0</v>
      </c>
      <c r="X1824" s="8"/>
      <c r="Y1824" s="8"/>
      <c r="Z1824" s="8" t="str">
        <f>+Tabla3[[#This Row],[Referencia]]&amp;Tabla3[[#This Row],[Desc detalle ext 1]]</f>
        <v xml:space="preserve">XRE  300                                          NEGRO    </v>
      </c>
      <c r="AA1824" s="128" t="e">
        <f>+VLOOKUP(Tabla3[[#This Row],[CODIGO2]],ESTANDAR!$B$3:$C$9,2,FALSE)</f>
        <v>#N/A</v>
      </c>
      <c r="AB1824" s="128" t="str">
        <f>+MID(Tabla3[[#This Row],['# Viaje]],10,1)</f>
        <v/>
      </c>
    </row>
    <row r="1825" spans="1:28" ht="15" hidden="1" customHeight="1">
      <c r="A1825" s="25" t="s">
        <v>1824</v>
      </c>
      <c r="B1825" s="26">
        <v>42950</v>
      </c>
      <c r="C1825" s="25" t="s">
        <v>1231</v>
      </c>
      <c r="D1825" s="25" t="s">
        <v>1487</v>
      </c>
      <c r="E1825" s="25" t="s">
        <v>1232</v>
      </c>
      <c r="F1825" s="25">
        <v>1</v>
      </c>
      <c r="G1825" s="25" t="s">
        <v>151</v>
      </c>
      <c r="H1825" s="25">
        <v>1</v>
      </c>
      <c r="I1825" s="25" t="s">
        <v>1767</v>
      </c>
      <c r="J1825" s="25" t="s">
        <v>1439</v>
      </c>
      <c r="K1825" s="25" t="s">
        <v>1431</v>
      </c>
      <c r="L1825" s="26"/>
      <c r="M1825" s="25" t="s">
        <v>168</v>
      </c>
      <c r="N1825" s="25">
        <v>900185816</v>
      </c>
      <c r="O1825" s="27">
        <v>9210084</v>
      </c>
      <c r="P1825" s="7"/>
      <c r="Q18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5" s="9">
        <f>+IFERROR(VLOOKUP(Tabla3[[#This Row],[Cliente factura]],Tabla4[[NIT]:[TOTAL CREDITO]],6,FALSE),0)</f>
        <v>0</v>
      </c>
      <c r="S1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5" s="10" t="str">
        <f>VLOOKUP(Tabla3[[#This Row],[Razón social cliente factura]]&amp;Tabla3[[#This Row],[Desc. ciudad]],'Estandar de Rutas'!$C$1:$E$553,2,FALSE)</f>
        <v>8.1</v>
      </c>
      <c r="U1825" s="130">
        <f>IFERROR(VLOOKUP(Tabla3[[#This Row],[Referencia]]&amp;Tabla3[[#This Row],[Desc detalle ext 1]],Tabla1[[Referencia-Color]:[Disponibilidad]],3,FALSE),0)</f>
        <v>30</v>
      </c>
      <c r="V1825" s="13"/>
      <c r="W1825" s="17">
        <f>+Tabla3[[#This Row],[Cant. Programada]]*Tabla3[[#This Row],[Precio unit]]</f>
        <v>0</v>
      </c>
      <c r="X1825" s="8"/>
      <c r="Y1825" s="8"/>
      <c r="Z1825" s="8" t="str">
        <f>+Tabla3[[#This Row],[Referencia]]&amp;Tabla3[[#This Row],[Desc detalle ext 1]]</f>
        <v xml:space="preserve">XRE 190                                           ROJO     </v>
      </c>
      <c r="AA1825" s="128" t="e">
        <f>+VLOOKUP(Tabla3[[#This Row],[CODIGO2]],ESTANDAR!$B$3:$C$9,2,FALSE)</f>
        <v>#N/A</v>
      </c>
      <c r="AB1825" s="128" t="str">
        <f>+MID(Tabla3[[#This Row],['# Viaje]],10,1)</f>
        <v/>
      </c>
    </row>
    <row r="1826" spans="1:28" ht="15" hidden="1" customHeight="1">
      <c r="A1826" s="25" t="s">
        <v>1825</v>
      </c>
      <c r="B1826" s="26">
        <v>42950</v>
      </c>
      <c r="C1826" s="25" t="s">
        <v>1231</v>
      </c>
      <c r="D1826" s="25" t="s">
        <v>1487</v>
      </c>
      <c r="E1826" s="25" t="s">
        <v>1232</v>
      </c>
      <c r="F1826" s="25">
        <v>1</v>
      </c>
      <c r="G1826" s="25" t="s">
        <v>151</v>
      </c>
      <c r="H1826" s="25">
        <v>1</v>
      </c>
      <c r="I1826" s="25" t="s">
        <v>1771</v>
      </c>
      <c r="J1826" s="25" t="s">
        <v>1454</v>
      </c>
      <c r="K1826" s="25" t="s">
        <v>16</v>
      </c>
      <c r="L1826" s="26"/>
      <c r="M1826" s="25" t="s">
        <v>171</v>
      </c>
      <c r="N1826" s="25">
        <v>900185816</v>
      </c>
      <c r="O1826" s="27">
        <v>12039370</v>
      </c>
      <c r="P1826" s="7"/>
      <c r="Q18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6" s="9">
        <f>+IFERROR(VLOOKUP(Tabla3[[#This Row],[Cliente factura]],Tabla4[[NIT]:[TOTAL CREDITO]],6,FALSE),0)</f>
        <v>0</v>
      </c>
      <c r="S1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6" s="10" t="str">
        <f>VLOOKUP(Tabla3[[#This Row],[Razón social cliente factura]]&amp;Tabla3[[#This Row],[Desc. ciudad]],'Estandar de Rutas'!$C$1:$E$553,2,FALSE)</f>
        <v>8.2</v>
      </c>
      <c r="U1826" s="130">
        <f>IFERROR(VLOOKUP(Tabla3[[#This Row],[Referencia]]&amp;Tabla3[[#This Row],[Desc detalle ext 1]],Tabla1[[Referencia-Color]:[Disponibilidad]],3,FALSE),0)</f>
        <v>0</v>
      </c>
      <c r="V1826" s="13"/>
      <c r="W1826" s="17">
        <f>+Tabla3[[#This Row],[Cant. Programada]]*Tabla3[[#This Row],[Precio unit]]</f>
        <v>0</v>
      </c>
      <c r="X1826" s="8"/>
      <c r="Y1826" s="8"/>
      <c r="Z1826" s="8" t="str">
        <f>+Tabla3[[#This Row],[Referencia]]&amp;Tabla3[[#This Row],[Desc detalle ext 1]]</f>
        <v xml:space="preserve">XRE  300                                          NEGRO    </v>
      </c>
      <c r="AA1826" s="128" t="e">
        <f>+VLOOKUP(Tabla3[[#This Row],[CODIGO2]],ESTANDAR!$B$3:$C$9,2,FALSE)</f>
        <v>#N/A</v>
      </c>
      <c r="AB1826" s="128" t="str">
        <f>+MID(Tabla3[[#This Row],['# Viaje]],10,1)</f>
        <v/>
      </c>
    </row>
    <row r="1827" spans="1:28" ht="15" hidden="1" customHeight="1">
      <c r="A1827" s="25" t="s">
        <v>1825</v>
      </c>
      <c r="B1827" s="26">
        <v>42950</v>
      </c>
      <c r="C1827" s="25" t="s">
        <v>1231</v>
      </c>
      <c r="D1827" s="25" t="s">
        <v>1487</v>
      </c>
      <c r="E1827" s="25" t="s">
        <v>1232</v>
      </c>
      <c r="F1827" s="25">
        <v>1</v>
      </c>
      <c r="G1827" s="25" t="s">
        <v>151</v>
      </c>
      <c r="H1827" s="25">
        <v>1</v>
      </c>
      <c r="I1827" s="25" t="s">
        <v>1771</v>
      </c>
      <c r="J1827" s="25" t="s">
        <v>1439</v>
      </c>
      <c r="K1827" s="25" t="s">
        <v>1431</v>
      </c>
      <c r="L1827" s="26"/>
      <c r="M1827" s="25" t="s">
        <v>171</v>
      </c>
      <c r="N1827" s="25">
        <v>900185816</v>
      </c>
      <c r="O1827" s="27">
        <v>9210084</v>
      </c>
      <c r="P1827" s="7"/>
      <c r="Q18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7" s="9">
        <f>+IFERROR(VLOOKUP(Tabla3[[#This Row],[Cliente factura]],Tabla4[[NIT]:[TOTAL CREDITO]],6,FALSE),0)</f>
        <v>0</v>
      </c>
      <c r="S1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7" s="10" t="str">
        <f>VLOOKUP(Tabla3[[#This Row],[Razón social cliente factura]]&amp;Tabla3[[#This Row],[Desc. ciudad]],'Estandar de Rutas'!$C$1:$E$553,2,FALSE)</f>
        <v>8.2</v>
      </c>
      <c r="U1827" s="130">
        <f>IFERROR(VLOOKUP(Tabla3[[#This Row],[Referencia]]&amp;Tabla3[[#This Row],[Desc detalle ext 1]],Tabla1[[Referencia-Color]:[Disponibilidad]],3,FALSE),0)</f>
        <v>30</v>
      </c>
      <c r="V1827" s="13"/>
      <c r="W1827" s="17">
        <f>+Tabla3[[#This Row],[Cant. Programada]]*Tabla3[[#This Row],[Precio unit]]</f>
        <v>0</v>
      </c>
      <c r="X1827" s="8"/>
      <c r="Y1827" s="8"/>
      <c r="Z1827" s="8" t="str">
        <f>+Tabla3[[#This Row],[Referencia]]&amp;Tabla3[[#This Row],[Desc detalle ext 1]]</f>
        <v xml:space="preserve">XRE 190                                           ROJO     </v>
      </c>
      <c r="AA1827" s="128" t="e">
        <f>+VLOOKUP(Tabla3[[#This Row],[CODIGO2]],ESTANDAR!$B$3:$C$9,2,FALSE)</f>
        <v>#N/A</v>
      </c>
      <c r="AB1827" s="128" t="str">
        <f>+MID(Tabla3[[#This Row],['# Viaje]],10,1)</f>
        <v/>
      </c>
    </row>
    <row r="1828" spans="1:28" ht="15" hidden="1" customHeight="1">
      <c r="A1828" s="25" t="s">
        <v>1826</v>
      </c>
      <c r="B1828" s="26">
        <v>42950</v>
      </c>
      <c r="C1828" s="25" t="s">
        <v>1231</v>
      </c>
      <c r="D1828" s="25" t="s">
        <v>1487</v>
      </c>
      <c r="E1828" s="25" t="s">
        <v>1232</v>
      </c>
      <c r="F1828" s="25">
        <v>1</v>
      </c>
      <c r="G1828" s="25" t="s">
        <v>151</v>
      </c>
      <c r="H1828" s="25">
        <v>1</v>
      </c>
      <c r="I1828" s="25" t="s">
        <v>1774</v>
      </c>
      <c r="J1828" s="25" t="s">
        <v>1454</v>
      </c>
      <c r="K1828" s="25" t="s">
        <v>16</v>
      </c>
      <c r="L1828" s="26"/>
      <c r="M1828" s="25" t="s">
        <v>150</v>
      </c>
      <c r="N1828" s="25">
        <v>900185816</v>
      </c>
      <c r="O1828" s="27">
        <v>12039370</v>
      </c>
      <c r="P1828" s="7"/>
      <c r="Q18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8" s="9">
        <f>+IFERROR(VLOOKUP(Tabla3[[#This Row],[Cliente factura]],Tabla4[[NIT]:[TOTAL CREDITO]],6,FALSE),0)</f>
        <v>0</v>
      </c>
      <c r="S1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8" s="10" t="str">
        <f>VLOOKUP(Tabla3[[#This Row],[Razón social cliente factura]]&amp;Tabla3[[#This Row],[Desc. ciudad]],'Estandar de Rutas'!$C$1:$E$553,2,FALSE)</f>
        <v>8.1</v>
      </c>
      <c r="U1828" s="130">
        <f>IFERROR(VLOOKUP(Tabla3[[#This Row],[Referencia]]&amp;Tabla3[[#This Row],[Desc detalle ext 1]],Tabla1[[Referencia-Color]:[Disponibilidad]],3,FALSE),0)</f>
        <v>0</v>
      </c>
      <c r="V1828" s="13"/>
      <c r="W1828" s="17">
        <f>+Tabla3[[#This Row],[Cant. Programada]]*Tabla3[[#This Row],[Precio unit]]</f>
        <v>0</v>
      </c>
      <c r="X1828" s="8"/>
      <c r="Y1828" s="8"/>
      <c r="Z1828" s="8" t="str">
        <f>+Tabla3[[#This Row],[Referencia]]&amp;Tabla3[[#This Row],[Desc detalle ext 1]]</f>
        <v xml:space="preserve">XRE  300                                          NEGRO    </v>
      </c>
      <c r="AA1828" s="128" t="e">
        <f>+VLOOKUP(Tabla3[[#This Row],[CODIGO2]],ESTANDAR!$B$3:$C$9,2,FALSE)</f>
        <v>#N/A</v>
      </c>
      <c r="AB1828" s="128" t="str">
        <f>+MID(Tabla3[[#This Row],['# Viaje]],10,1)</f>
        <v/>
      </c>
    </row>
    <row r="1829" spans="1:28" ht="15" hidden="1" customHeight="1">
      <c r="A1829" s="25" t="s">
        <v>1827</v>
      </c>
      <c r="B1829" s="26">
        <v>42951</v>
      </c>
      <c r="C1829" s="25" t="s">
        <v>1231</v>
      </c>
      <c r="D1829" s="25" t="s">
        <v>1478</v>
      </c>
      <c r="E1829" s="25" t="s">
        <v>1479</v>
      </c>
      <c r="F1829" s="25">
        <v>1</v>
      </c>
      <c r="G1829" s="25" t="s">
        <v>135</v>
      </c>
      <c r="H1829" s="25">
        <v>1</v>
      </c>
      <c r="I1829" s="25" t="s">
        <v>135</v>
      </c>
      <c r="J1829" s="25" t="s">
        <v>1439</v>
      </c>
      <c r="K1829" s="25" t="s">
        <v>1431</v>
      </c>
      <c r="L1829" s="26"/>
      <c r="M1829" s="25" t="s">
        <v>134</v>
      </c>
      <c r="N1829" s="25">
        <v>37807909</v>
      </c>
      <c r="O1829" s="27">
        <v>9210084</v>
      </c>
      <c r="P1829" s="7"/>
      <c r="Q1829" s="16">
        <f>+IF(IFERROR(VLOOKUP(Tabla3[[#This Row],[Cliente factura]],Tabla4[[NIT]:[TOTAL CREDITO]],3,FALSE),0)="",0,IFERROR(VLOOKUP(Tabla3[[#This Row],[Cliente factura]],Tabla4[[NIT]:[TOTAL CREDITO]],3,FALSE),0))</f>
        <v>3160772</v>
      </c>
      <c r="R1829" s="9">
        <f>+IFERROR(VLOOKUP(Tabla3[[#This Row],[Cliente factura]],Tabla4[[NIT]:[TOTAL CREDITO]],6,FALSE),0)</f>
        <v>0</v>
      </c>
      <c r="S1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9" s="10" t="str">
        <f>VLOOKUP(Tabla3[[#This Row],[Razón social cliente factura]]&amp;Tabla3[[#This Row],[Desc. ciudad]],'Estandar de Rutas'!$C$1:$E$553,2,FALSE)</f>
        <v>6.2.B</v>
      </c>
      <c r="U1829" s="130">
        <f>IFERROR(VLOOKUP(Tabla3[[#This Row],[Referencia]]&amp;Tabla3[[#This Row],[Desc detalle ext 1]],Tabla1[[Referencia-Color]:[Disponibilidad]],3,FALSE),0)</f>
        <v>30</v>
      </c>
      <c r="V1829" s="13"/>
      <c r="W1829" s="17">
        <f>+Tabla3[[#This Row],[Cant. Programada]]*Tabla3[[#This Row],[Precio unit]]</f>
        <v>0</v>
      </c>
      <c r="X1829" s="8"/>
      <c r="Y1829" s="8"/>
      <c r="Z1829" s="8" t="str">
        <f>+Tabla3[[#This Row],[Referencia]]&amp;Tabla3[[#This Row],[Desc detalle ext 1]]</f>
        <v xml:space="preserve">XRE 190                                           ROJO     </v>
      </c>
      <c r="AA1829" s="128" t="e">
        <f>+VLOOKUP(Tabla3[[#This Row],[CODIGO2]],ESTANDAR!$B$3:$C$9,2,FALSE)</f>
        <v>#N/A</v>
      </c>
      <c r="AB1829" s="128" t="str">
        <f>+MID(Tabla3[[#This Row],['# Viaje]],10,1)</f>
        <v/>
      </c>
    </row>
    <row r="1830" spans="1:28" ht="15" hidden="1" customHeight="1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6"/>
      <c r="M1830" s="25"/>
      <c r="N1830" s="25"/>
      <c r="O1830" s="27"/>
      <c r="P1830" s="7"/>
      <c r="Q1830" s="16">
        <f>+IF(IFERROR(VLOOKUP(Tabla3[[#This Row],[Cliente factura]],Tabla4[[NIT]:[TOTAL CREDITO]],3,FALSE),0)="",0,IFERROR(VLOOKUP(Tabla3[[#This Row],[Cliente factura]],Tabla4[[NIT]:[TOTAL CREDITO]],3,FALSE),0))</f>
        <v>0</v>
      </c>
      <c r="R1830" s="9">
        <f>+IFERROR(VLOOKUP(Tabla3[[#This Row],[Cliente factura]],Tabla4[[NIT]:[TOTAL CREDITO]],6,FALSE),0)</f>
        <v>0</v>
      </c>
      <c r="S1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0" s="10" t="e">
        <f>VLOOKUP(Tabla3[[#This Row],[Razón social cliente factura]]&amp;Tabla3[[#This Row],[Desc. ciudad]],'Estandar de Rutas'!$C$1:$E$553,2,FALSE)</f>
        <v>#N/A</v>
      </c>
      <c r="U1830" s="130">
        <f>IFERROR(VLOOKUP(Tabla3[[#This Row],[Referencia]]&amp;Tabla3[[#This Row],[Desc detalle ext 1]],Tabla1[[Referencia-Color]:[Disponibilidad]],3,FALSE),0)</f>
        <v>0</v>
      </c>
      <c r="V1830" s="13"/>
      <c r="W1830" s="17">
        <f>+Tabla3[[#This Row],[Cant. Programada]]*Tabla3[[#This Row],[Precio unit]]</f>
        <v>0</v>
      </c>
      <c r="X1830" s="8"/>
      <c r="Y1830" s="8"/>
      <c r="Z1830" s="8" t="str">
        <f>+Tabla3[[#This Row],[Referencia]]&amp;Tabla3[[#This Row],[Desc detalle ext 1]]</f>
        <v/>
      </c>
      <c r="AA1830" s="128" t="e">
        <f>+VLOOKUP(Tabla3[[#This Row],[CODIGO2]],ESTANDAR!$B$3:$C$9,2,FALSE)</f>
        <v>#N/A</v>
      </c>
      <c r="AB1830" s="128" t="str">
        <f>+MID(Tabla3[[#This Row],['# Viaje]],10,1)</f>
        <v/>
      </c>
    </row>
    <row r="1831" spans="1:28" ht="15" hidden="1" customHeight="1">
      <c r="A1831" s="25"/>
      <c r="B1831" s="26"/>
      <c r="C1831" s="25"/>
      <c r="D1831" s="25"/>
      <c r="E1831" s="25"/>
      <c r="F1831" s="25"/>
      <c r="G1831" s="25"/>
      <c r="H1831" s="25"/>
      <c r="I1831" s="25"/>
      <c r="J1831" s="25"/>
      <c r="K1831" s="25"/>
      <c r="L1831" s="26"/>
      <c r="M1831" s="25"/>
      <c r="N1831" s="25"/>
      <c r="O1831" s="27"/>
      <c r="P1831" s="7"/>
      <c r="Q1831" s="16">
        <f>+IF(IFERROR(VLOOKUP(Tabla3[[#This Row],[Cliente factura]],Tabla4[[NIT]:[TOTAL CREDITO]],3,FALSE),0)="",0,IFERROR(VLOOKUP(Tabla3[[#This Row],[Cliente factura]],Tabla4[[NIT]:[TOTAL CREDITO]],3,FALSE),0))</f>
        <v>0</v>
      </c>
      <c r="R1831" s="9">
        <f>+IFERROR(VLOOKUP(Tabla3[[#This Row],[Cliente factura]],Tabla4[[NIT]:[TOTAL CREDITO]],6,FALSE),0)</f>
        <v>0</v>
      </c>
      <c r="S1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1" s="10" t="e">
        <f>VLOOKUP(Tabla3[[#This Row],[Razón social cliente factura]]&amp;Tabla3[[#This Row],[Desc. ciudad]],'Estandar de Rutas'!$C$1:$E$553,2,FALSE)</f>
        <v>#N/A</v>
      </c>
      <c r="U1831" s="130">
        <f>IFERROR(VLOOKUP(Tabla3[[#This Row],[Referencia]]&amp;Tabla3[[#This Row],[Desc detalle ext 1]],Tabla1[[Referencia-Color]:[Disponibilidad]],3,FALSE),0)</f>
        <v>0</v>
      </c>
      <c r="V1831" s="13"/>
      <c r="W1831" s="17">
        <f>+Tabla3[[#This Row],[Cant. Programada]]*Tabla3[[#This Row],[Precio unit]]</f>
        <v>0</v>
      </c>
      <c r="X1831" s="8"/>
      <c r="Y1831" s="8"/>
      <c r="Z1831" s="8" t="str">
        <f>+Tabla3[[#This Row],[Referencia]]&amp;Tabla3[[#This Row],[Desc detalle ext 1]]</f>
        <v/>
      </c>
      <c r="AA1831" s="128" t="e">
        <f>+VLOOKUP(Tabla3[[#This Row],[CODIGO2]],ESTANDAR!$B$3:$C$9,2,FALSE)</f>
        <v>#N/A</v>
      </c>
      <c r="AB1831" s="128" t="str">
        <f>+MID(Tabla3[[#This Row],['# Viaje]],10,1)</f>
        <v/>
      </c>
    </row>
    <row r="1832" spans="1:28" ht="15" hidden="1" customHeight="1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6"/>
      <c r="M1832" s="25"/>
      <c r="N1832" s="25"/>
      <c r="O1832" s="27"/>
      <c r="P1832" s="7"/>
      <c r="Q1832" s="16">
        <f>+IF(IFERROR(VLOOKUP(Tabla3[[#This Row],[Cliente factura]],Tabla4[[NIT]:[TOTAL CREDITO]],3,FALSE),0)="",0,IFERROR(VLOOKUP(Tabla3[[#This Row],[Cliente factura]],Tabla4[[NIT]:[TOTAL CREDITO]],3,FALSE),0))</f>
        <v>0</v>
      </c>
      <c r="R1832" s="9">
        <f>+IFERROR(VLOOKUP(Tabla3[[#This Row],[Cliente factura]],Tabla4[[NIT]:[TOTAL CREDITO]],6,FALSE),0)</f>
        <v>0</v>
      </c>
      <c r="S1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2" s="10" t="e">
        <f>VLOOKUP(Tabla3[[#This Row],[Razón social cliente factura]]&amp;Tabla3[[#This Row],[Desc. ciudad]],'Estandar de Rutas'!$C$1:$E$553,2,FALSE)</f>
        <v>#N/A</v>
      </c>
      <c r="U1832" s="130">
        <f>IFERROR(VLOOKUP(Tabla3[[#This Row],[Referencia]]&amp;Tabla3[[#This Row],[Desc detalle ext 1]],Tabla1[[Referencia-Color]:[Disponibilidad]],3,FALSE),0)</f>
        <v>0</v>
      </c>
      <c r="V1832" s="13"/>
      <c r="W1832" s="17">
        <f>+Tabla3[[#This Row],[Cant. Programada]]*Tabla3[[#This Row],[Precio unit]]</f>
        <v>0</v>
      </c>
      <c r="X1832" s="8"/>
      <c r="Y1832" s="8"/>
      <c r="Z1832" s="8" t="str">
        <f>+Tabla3[[#This Row],[Referencia]]&amp;Tabla3[[#This Row],[Desc detalle ext 1]]</f>
        <v/>
      </c>
      <c r="AA1832" s="128" t="e">
        <f>+VLOOKUP(Tabla3[[#This Row],[CODIGO2]],ESTANDAR!$B$3:$C$9,2,FALSE)</f>
        <v>#N/A</v>
      </c>
      <c r="AB1832" s="128" t="str">
        <f>+MID(Tabla3[[#This Row],['# Viaje]],10,1)</f>
        <v/>
      </c>
    </row>
    <row r="1833" spans="1:28" ht="15" hidden="1" customHeight="1">
      <c r="A1833" s="25"/>
      <c r="B1833" s="26"/>
      <c r="C1833" s="25"/>
      <c r="D1833" s="25"/>
      <c r="E1833" s="25"/>
      <c r="F1833" s="25"/>
      <c r="G1833" s="25"/>
      <c r="H1833" s="25"/>
      <c r="I1833" s="25"/>
      <c r="J1833" s="25"/>
      <c r="K1833" s="25"/>
      <c r="L1833" s="26"/>
      <c r="M1833" s="25"/>
      <c r="N1833" s="25"/>
      <c r="O1833" s="27"/>
      <c r="P1833" s="7"/>
      <c r="Q1833" s="16">
        <f>+IF(IFERROR(VLOOKUP(Tabla3[[#This Row],[Cliente factura]],Tabla4[[NIT]:[TOTAL CREDITO]],3,FALSE),0)="",0,IFERROR(VLOOKUP(Tabla3[[#This Row],[Cliente factura]],Tabla4[[NIT]:[TOTAL CREDITO]],3,FALSE),0))</f>
        <v>0</v>
      </c>
      <c r="R1833" s="9">
        <f>+IFERROR(VLOOKUP(Tabla3[[#This Row],[Cliente factura]],Tabla4[[NIT]:[TOTAL CREDITO]],6,FALSE),0)</f>
        <v>0</v>
      </c>
      <c r="S1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3" s="10" t="e">
        <f>VLOOKUP(Tabla3[[#This Row],[Razón social cliente factura]]&amp;Tabla3[[#This Row],[Desc. ciudad]],'Estandar de Rutas'!$C$1:$E$553,2,FALSE)</f>
        <v>#N/A</v>
      </c>
      <c r="U1833" s="130">
        <f>IFERROR(VLOOKUP(Tabla3[[#This Row],[Referencia]]&amp;Tabla3[[#This Row],[Desc detalle ext 1]],Tabla1[[Referencia-Color]:[Disponibilidad]],3,FALSE),0)</f>
        <v>0</v>
      </c>
      <c r="V1833" s="13"/>
      <c r="W1833" s="17">
        <f>+Tabla3[[#This Row],[Cant. Programada]]*Tabla3[[#This Row],[Precio unit]]</f>
        <v>0</v>
      </c>
      <c r="X1833" s="8"/>
      <c r="Y1833" s="8"/>
      <c r="Z1833" s="8" t="str">
        <f>+Tabla3[[#This Row],[Referencia]]&amp;Tabla3[[#This Row],[Desc detalle ext 1]]</f>
        <v/>
      </c>
      <c r="AA1833" s="128" t="e">
        <f>+VLOOKUP(Tabla3[[#This Row],[CODIGO2]],ESTANDAR!$B$3:$C$9,2,FALSE)</f>
        <v>#N/A</v>
      </c>
      <c r="AB1833" s="128" t="str">
        <f>+MID(Tabla3[[#This Row],['# Viaje]],10,1)</f>
        <v/>
      </c>
    </row>
    <row r="1834" spans="1:28" ht="15" hidden="1" customHeight="1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6"/>
      <c r="M1834" s="25"/>
      <c r="N1834" s="25"/>
      <c r="O1834" s="27"/>
      <c r="P1834" s="7"/>
      <c r="Q1834" s="16">
        <f>+IF(IFERROR(VLOOKUP(Tabla3[[#This Row],[Cliente factura]],Tabla4[[NIT]:[TOTAL CREDITO]],3,FALSE),0)="",0,IFERROR(VLOOKUP(Tabla3[[#This Row],[Cliente factura]],Tabla4[[NIT]:[TOTAL CREDITO]],3,FALSE),0))</f>
        <v>0</v>
      </c>
      <c r="R1834" s="9">
        <f>+IFERROR(VLOOKUP(Tabla3[[#This Row],[Cliente factura]],Tabla4[[NIT]:[TOTAL CREDITO]],6,FALSE),0)</f>
        <v>0</v>
      </c>
      <c r="S1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4" s="10" t="e">
        <f>VLOOKUP(Tabla3[[#This Row],[Razón social cliente factura]]&amp;Tabla3[[#This Row],[Desc. ciudad]],'Estandar de Rutas'!$C$1:$E$553,2,FALSE)</f>
        <v>#N/A</v>
      </c>
      <c r="U1834" s="130">
        <f>IFERROR(VLOOKUP(Tabla3[[#This Row],[Referencia]]&amp;Tabla3[[#This Row],[Desc detalle ext 1]],Tabla1[[Referencia-Color]:[Disponibilidad]],3,FALSE),0)</f>
        <v>0</v>
      </c>
      <c r="V1834" s="13"/>
      <c r="W1834" s="17">
        <f>+Tabla3[[#This Row],[Cant. Programada]]*Tabla3[[#This Row],[Precio unit]]</f>
        <v>0</v>
      </c>
      <c r="X1834" s="8"/>
      <c r="Y1834" s="8"/>
      <c r="Z1834" s="8" t="str">
        <f>+Tabla3[[#This Row],[Referencia]]&amp;Tabla3[[#This Row],[Desc detalle ext 1]]</f>
        <v/>
      </c>
      <c r="AA1834" s="128" t="e">
        <f>+VLOOKUP(Tabla3[[#This Row],[CODIGO2]],ESTANDAR!$B$3:$C$9,2,FALSE)</f>
        <v>#N/A</v>
      </c>
      <c r="AB1834" s="128" t="str">
        <f>+MID(Tabla3[[#This Row],['# Viaje]],10,1)</f>
        <v/>
      </c>
    </row>
    <row r="1835" spans="1:28" ht="15" hidden="1" customHeight="1">
      <c r="A1835" s="25"/>
      <c r="B1835" s="26"/>
      <c r="C1835" s="25"/>
      <c r="D1835" s="25"/>
      <c r="E1835" s="25"/>
      <c r="F1835" s="25"/>
      <c r="G1835" s="25"/>
      <c r="H1835" s="25"/>
      <c r="I1835" s="25"/>
      <c r="J1835" s="25"/>
      <c r="K1835" s="25"/>
      <c r="L1835" s="26"/>
      <c r="M1835" s="25"/>
      <c r="N1835" s="25"/>
      <c r="O1835" s="27"/>
      <c r="P1835" s="7"/>
      <c r="Q1835" s="16">
        <f>+IF(IFERROR(VLOOKUP(Tabla3[[#This Row],[Cliente factura]],Tabla4[[NIT]:[TOTAL CREDITO]],3,FALSE),0)="",0,IFERROR(VLOOKUP(Tabla3[[#This Row],[Cliente factura]],Tabla4[[NIT]:[TOTAL CREDITO]],3,FALSE),0))</f>
        <v>0</v>
      </c>
      <c r="R1835" s="9">
        <f>+IFERROR(VLOOKUP(Tabla3[[#This Row],[Cliente factura]],Tabla4[[NIT]:[TOTAL CREDITO]],6,FALSE),0)</f>
        <v>0</v>
      </c>
      <c r="S1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5" s="10" t="e">
        <f>VLOOKUP(Tabla3[[#This Row],[Razón social cliente factura]]&amp;Tabla3[[#This Row],[Desc. ciudad]],'Estandar de Rutas'!$C$1:$E$553,2,FALSE)</f>
        <v>#N/A</v>
      </c>
      <c r="U1835" s="130">
        <f>IFERROR(VLOOKUP(Tabla3[[#This Row],[Referencia]]&amp;Tabla3[[#This Row],[Desc detalle ext 1]],Tabla1[[Referencia-Color]:[Disponibilidad]],3,FALSE),0)</f>
        <v>0</v>
      </c>
      <c r="V1835" s="13"/>
      <c r="W1835" s="17">
        <f>+Tabla3[[#This Row],[Cant. Programada]]*Tabla3[[#This Row],[Precio unit]]</f>
        <v>0</v>
      </c>
      <c r="X1835" s="8"/>
      <c r="Y1835" s="8"/>
      <c r="Z1835" s="8" t="str">
        <f>+Tabla3[[#This Row],[Referencia]]&amp;Tabla3[[#This Row],[Desc detalle ext 1]]</f>
        <v/>
      </c>
      <c r="AA1835" s="128" t="e">
        <f>+VLOOKUP(Tabla3[[#This Row],[CODIGO2]],ESTANDAR!$B$3:$C$9,2,FALSE)</f>
        <v>#N/A</v>
      </c>
      <c r="AB1835" s="128" t="str">
        <f>+MID(Tabla3[[#This Row],['# Viaje]],10,1)</f>
        <v/>
      </c>
    </row>
    <row r="1836" spans="1:28" ht="15" hidden="1" customHeight="1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6"/>
      <c r="M1836" s="25"/>
      <c r="N1836" s="25"/>
      <c r="O1836" s="27"/>
      <c r="P1836" s="7"/>
      <c r="Q1836" s="16">
        <f>+IF(IFERROR(VLOOKUP(Tabla3[[#This Row],[Cliente factura]],Tabla4[[NIT]:[TOTAL CREDITO]],3,FALSE),0)="",0,IFERROR(VLOOKUP(Tabla3[[#This Row],[Cliente factura]],Tabla4[[NIT]:[TOTAL CREDITO]],3,FALSE),0))</f>
        <v>0</v>
      </c>
      <c r="R1836" s="9">
        <f>+IFERROR(VLOOKUP(Tabla3[[#This Row],[Cliente factura]],Tabla4[[NIT]:[TOTAL CREDITO]],6,FALSE),0)</f>
        <v>0</v>
      </c>
      <c r="S1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6" s="10" t="e">
        <f>VLOOKUP(Tabla3[[#This Row],[Razón social cliente factura]]&amp;Tabla3[[#This Row],[Desc. ciudad]],'Estandar de Rutas'!$C$1:$E$553,2,FALSE)</f>
        <v>#N/A</v>
      </c>
      <c r="U1836" s="130">
        <f>IFERROR(VLOOKUP(Tabla3[[#This Row],[Referencia]]&amp;Tabla3[[#This Row],[Desc detalle ext 1]],Tabla1[[Referencia-Color]:[Disponibilidad]],3,FALSE),0)</f>
        <v>0</v>
      </c>
      <c r="V1836" s="13"/>
      <c r="W1836" s="17">
        <f>+Tabla3[[#This Row],[Cant. Programada]]*Tabla3[[#This Row],[Precio unit]]</f>
        <v>0</v>
      </c>
      <c r="X1836" s="8"/>
      <c r="Y1836" s="8"/>
      <c r="Z1836" s="8" t="str">
        <f>+Tabla3[[#This Row],[Referencia]]&amp;Tabla3[[#This Row],[Desc detalle ext 1]]</f>
        <v/>
      </c>
      <c r="AA1836" s="128" t="e">
        <f>+VLOOKUP(Tabla3[[#This Row],[CODIGO2]],ESTANDAR!$B$3:$C$9,2,FALSE)</f>
        <v>#N/A</v>
      </c>
      <c r="AB1836" s="128" t="str">
        <f>+MID(Tabla3[[#This Row],['# Viaje]],10,1)</f>
        <v/>
      </c>
    </row>
    <row r="1837" spans="1:28" ht="15" hidden="1" customHeight="1">
      <c r="A1837" s="25"/>
      <c r="B1837" s="26"/>
      <c r="C1837" s="25"/>
      <c r="D1837" s="25"/>
      <c r="E1837" s="25"/>
      <c r="F1837" s="25"/>
      <c r="G1837" s="25"/>
      <c r="H1837" s="25"/>
      <c r="I1837" s="25"/>
      <c r="J1837" s="25"/>
      <c r="K1837" s="25"/>
      <c r="L1837" s="26"/>
      <c r="M1837" s="25"/>
      <c r="N1837" s="25"/>
      <c r="O1837" s="27"/>
      <c r="P1837" s="7"/>
      <c r="Q1837" s="16">
        <f>+IF(IFERROR(VLOOKUP(Tabla3[[#This Row],[Cliente factura]],Tabla4[[NIT]:[TOTAL CREDITO]],3,FALSE),0)="",0,IFERROR(VLOOKUP(Tabla3[[#This Row],[Cliente factura]],Tabla4[[NIT]:[TOTAL CREDITO]],3,FALSE),0))</f>
        <v>0</v>
      </c>
      <c r="R1837" s="9">
        <f>+IFERROR(VLOOKUP(Tabla3[[#This Row],[Cliente factura]],Tabla4[[NIT]:[TOTAL CREDITO]],6,FALSE),0)</f>
        <v>0</v>
      </c>
      <c r="S1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7" s="10" t="e">
        <f>VLOOKUP(Tabla3[[#This Row],[Razón social cliente factura]]&amp;Tabla3[[#This Row],[Desc. ciudad]],'Estandar de Rutas'!$C$1:$E$553,2,FALSE)</f>
        <v>#N/A</v>
      </c>
      <c r="U1837" s="130">
        <f>IFERROR(VLOOKUP(Tabla3[[#This Row],[Referencia]]&amp;Tabla3[[#This Row],[Desc detalle ext 1]],Tabla1[[Referencia-Color]:[Disponibilidad]],3,FALSE),0)</f>
        <v>0</v>
      </c>
      <c r="V1837" s="13"/>
      <c r="W1837" s="17">
        <f>+Tabla3[[#This Row],[Cant. Programada]]*Tabla3[[#This Row],[Precio unit]]</f>
        <v>0</v>
      </c>
      <c r="X1837" s="8"/>
      <c r="Y1837" s="8"/>
      <c r="Z1837" s="8" t="str">
        <f>+Tabla3[[#This Row],[Referencia]]&amp;Tabla3[[#This Row],[Desc detalle ext 1]]</f>
        <v/>
      </c>
      <c r="AA1837" s="128" t="e">
        <f>+VLOOKUP(Tabla3[[#This Row],[CODIGO2]],ESTANDAR!$B$3:$C$9,2,FALSE)</f>
        <v>#N/A</v>
      </c>
      <c r="AB1837" s="128" t="str">
        <f>+MID(Tabla3[[#This Row],['# Viaje]],10,1)</f>
        <v/>
      </c>
    </row>
    <row r="1838" spans="1:28" ht="15" hidden="1" customHeight="1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6"/>
      <c r="M1838" s="25"/>
      <c r="N1838" s="25"/>
      <c r="O1838" s="27"/>
      <c r="P1838" s="7"/>
      <c r="Q1838" s="16">
        <f>+IF(IFERROR(VLOOKUP(Tabla3[[#This Row],[Cliente factura]],Tabla4[[NIT]:[TOTAL CREDITO]],3,FALSE),0)="",0,IFERROR(VLOOKUP(Tabla3[[#This Row],[Cliente factura]],Tabla4[[NIT]:[TOTAL CREDITO]],3,FALSE),0))</f>
        <v>0</v>
      </c>
      <c r="R1838" s="9">
        <f>+IFERROR(VLOOKUP(Tabla3[[#This Row],[Cliente factura]],Tabla4[[NIT]:[TOTAL CREDITO]],6,FALSE),0)</f>
        <v>0</v>
      </c>
      <c r="S1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8" s="10" t="e">
        <f>VLOOKUP(Tabla3[[#This Row],[Razón social cliente factura]]&amp;Tabla3[[#This Row],[Desc. ciudad]],'Estandar de Rutas'!$C$1:$E$553,2,FALSE)</f>
        <v>#N/A</v>
      </c>
      <c r="U1838" s="130">
        <f>IFERROR(VLOOKUP(Tabla3[[#This Row],[Referencia]]&amp;Tabla3[[#This Row],[Desc detalle ext 1]],Tabla1[[Referencia-Color]:[Disponibilidad]],3,FALSE),0)</f>
        <v>0</v>
      </c>
      <c r="V1838" s="13"/>
      <c r="W1838" s="17">
        <f>+Tabla3[[#This Row],[Cant. Programada]]*Tabla3[[#This Row],[Precio unit]]</f>
        <v>0</v>
      </c>
      <c r="X1838" s="8"/>
      <c r="Y1838" s="8"/>
      <c r="Z1838" s="8" t="str">
        <f>+Tabla3[[#This Row],[Referencia]]&amp;Tabla3[[#This Row],[Desc detalle ext 1]]</f>
        <v/>
      </c>
      <c r="AA1838" s="128" t="e">
        <f>+VLOOKUP(Tabla3[[#This Row],[CODIGO2]],ESTANDAR!$B$3:$C$9,2,FALSE)</f>
        <v>#N/A</v>
      </c>
      <c r="AB1838" s="128" t="str">
        <f>+MID(Tabla3[[#This Row],['# Viaje]],10,1)</f>
        <v/>
      </c>
    </row>
    <row r="1839" spans="1:28" ht="15" hidden="1" customHeight="1">
      <c r="A1839" s="25"/>
      <c r="B1839" s="26"/>
      <c r="C1839" s="25"/>
      <c r="D1839" s="25"/>
      <c r="E1839" s="25"/>
      <c r="F1839" s="25"/>
      <c r="G1839" s="25"/>
      <c r="H1839" s="25"/>
      <c r="I1839" s="25"/>
      <c r="J1839" s="25"/>
      <c r="K1839" s="25"/>
      <c r="L1839" s="26"/>
      <c r="M1839" s="25"/>
      <c r="N1839" s="25"/>
      <c r="O1839" s="27"/>
      <c r="P1839" s="7"/>
      <c r="Q1839" s="16">
        <f>+IF(IFERROR(VLOOKUP(Tabla3[[#This Row],[Cliente factura]],Tabla4[[NIT]:[TOTAL CREDITO]],3,FALSE),0)="",0,IFERROR(VLOOKUP(Tabla3[[#This Row],[Cliente factura]],Tabla4[[NIT]:[TOTAL CREDITO]],3,FALSE),0))</f>
        <v>0</v>
      </c>
      <c r="R1839" s="9">
        <f>+IFERROR(VLOOKUP(Tabla3[[#This Row],[Cliente factura]],Tabla4[[NIT]:[TOTAL CREDITO]],6,FALSE),0)</f>
        <v>0</v>
      </c>
      <c r="S1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9" s="10" t="e">
        <f>VLOOKUP(Tabla3[[#This Row],[Razón social cliente factura]]&amp;Tabla3[[#This Row],[Desc. ciudad]],'Estandar de Rutas'!$C$1:$E$553,2,FALSE)</f>
        <v>#N/A</v>
      </c>
      <c r="U1839" s="130">
        <f>IFERROR(VLOOKUP(Tabla3[[#This Row],[Referencia]]&amp;Tabla3[[#This Row],[Desc detalle ext 1]],Tabla1[[Referencia-Color]:[Disponibilidad]],3,FALSE),0)</f>
        <v>0</v>
      </c>
      <c r="V1839" s="13"/>
      <c r="W1839" s="17">
        <f>+Tabla3[[#This Row],[Cant. Programada]]*Tabla3[[#This Row],[Precio unit]]</f>
        <v>0</v>
      </c>
      <c r="X1839" s="8"/>
      <c r="Y1839" s="8"/>
      <c r="Z1839" s="8" t="str">
        <f>+Tabla3[[#This Row],[Referencia]]&amp;Tabla3[[#This Row],[Desc detalle ext 1]]</f>
        <v/>
      </c>
      <c r="AA1839" s="128" t="e">
        <f>+VLOOKUP(Tabla3[[#This Row],[CODIGO2]],ESTANDAR!$B$3:$C$9,2,FALSE)</f>
        <v>#N/A</v>
      </c>
      <c r="AB1839" s="128" t="str">
        <f>+MID(Tabla3[[#This Row],['# Viaje]],10,1)</f>
        <v/>
      </c>
    </row>
    <row r="1840" spans="1:28" ht="15" hidden="1" customHeight="1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6"/>
      <c r="M1840" s="25"/>
      <c r="N1840" s="25"/>
      <c r="O1840" s="27"/>
      <c r="P1840" s="7"/>
      <c r="Q1840" s="16">
        <f>+IF(IFERROR(VLOOKUP(Tabla3[[#This Row],[Cliente factura]],Tabla4[[NIT]:[TOTAL CREDITO]],3,FALSE),0)="",0,IFERROR(VLOOKUP(Tabla3[[#This Row],[Cliente factura]],Tabla4[[NIT]:[TOTAL CREDITO]],3,FALSE),0))</f>
        <v>0</v>
      </c>
      <c r="R1840" s="9">
        <f>+IFERROR(VLOOKUP(Tabla3[[#This Row],[Cliente factura]],Tabla4[[NIT]:[TOTAL CREDITO]],6,FALSE),0)</f>
        <v>0</v>
      </c>
      <c r="S1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0" s="10" t="e">
        <f>VLOOKUP(Tabla3[[#This Row],[Razón social cliente factura]]&amp;Tabla3[[#This Row],[Desc. ciudad]],'Estandar de Rutas'!$C$1:$E$553,2,FALSE)</f>
        <v>#N/A</v>
      </c>
      <c r="U1840" s="130">
        <f>IFERROR(VLOOKUP(Tabla3[[#This Row],[Referencia]]&amp;Tabla3[[#This Row],[Desc detalle ext 1]],Tabla1[[Referencia-Color]:[Disponibilidad]],3,FALSE),0)</f>
        <v>0</v>
      </c>
      <c r="V1840" s="13"/>
      <c r="W1840" s="17">
        <f>+Tabla3[[#This Row],[Cant. Programada]]*Tabla3[[#This Row],[Precio unit]]</f>
        <v>0</v>
      </c>
      <c r="X1840" s="8"/>
      <c r="Y1840" s="8"/>
      <c r="Z1840" s="8" t="str">
        <f>+Tabla3[[#This Row],[Referencia]]&amp;Tabla3[[#This Row],[Desc detalle ext 1]]</f>
        <v/>
      </c>
      <c r="AA1840" s="128" t="e">
        <f>+VLOOKUP(Tabla3[[#This Row],[CODIGO2]],ESTANDAR!$B$3:$C$9,2,FALSE)</f>
        <v>#N/A</v>
      </c>
      <c r="AB1840" s="128" t="str">
        <f>+MID(Tabla3[[#This Row],['# Viaje]],10,1)</f>
        <v/>
      </c>
    </row>
    <row r="1841" spans="1:28" ht="15" hidden="1" customHeight="1">
      <c r="A1841" s="25"/>
      <c r="B1841" s="26"/>
      <c r="C1841" s="25"/>
      <c r="D1841" s="25"/>
      <c r="E1841" s="25"/>
      <c r="F1841" s="25"/>
      <c r="G1841" s="25"/>
      <c r="H1841" s="25"/>
      <c r="I1841" s="25"/>
      <c r="J1841" s="25"/>
      <c r="K1841" s="25"/>
      <c r="L1841" s="26"/>
      <c r="M1841" s="25"/>
      <c r="N1841" s="25"/>
      <c r="O1841" s="27"/>
      <c r="P1841" s="7"/>
      <c r="Q1841" s="16">
        <f>+IF(IFERROR(VLOOKUP(Tabla3[[#This Row],[Cliente factura]],Tabla4[[NIT]:[TOTAL CREDITO]],3,FALSE),0)="",0,IFERROR(VLOOKUP(Tabla3[[#This Row],[Cliente factura]],Tabla4[[NIT]:[TOTAL CREDITO]],3,FALSE),0))</f>
        <v>0</v>
      </c>
      <c r="R1841" s="9">
        <f>+IFERROR(VLOOKUP(Tabla3[[#This Row],[Cliente factura]],Tabla4[[NIT]:[TOTAL CREDITO]],6,FALSE),0)</f>
        <v>0</v>
      </c>
      <c r="S1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1" s="10" t="e">
        <f>VLOOKUP(Tabla3[[#This Row],[Razón social cliente factura]]&amp;Tabla3[[#This Row],[Desc. ciudad]],'Estandar de Rutas'!$C$1:$E$553,2,FALSE)</f>
        <v>#N/A</v>
      </c>
      <c r="U1841" s="130">
        <f>IFERROR(VLOOKUP(Tabla3[[#This Row],[Referencia]]&amp;Tabla3[[#This Row],[Desc detalle ext 1]],Tabla1[[Referencia-Color]:[Disponibilidad]],3,FALSE),0)</f>
        <v>0</v>
      </c>
      <c r="V1841" s="13"/>
      <c r="W1841" s="17">
        <f>+Tabla3[[#This Row],[Cant. Programada]]*Tabla3[[#This Row],[Precio unit]]</f>
        <v>0</v>
      </c>
      <c r="X1841" s="8"/>
      <c r="Y1841" s="8"/>
      <c r="Z1841" s="8" t="str">
        <f>+Tabla3[[#This Row],[Referencia]]&amp;Tabla3[[#This Row],[Desc detalle ext 1]]</f>
        <v/>
      </c>
      <c r="AA1841" s="128" t="e">
        <f>+VLOOKUP(Tabla3[[#This Row],[CODIGO2]],ESTANDAR!$B$3:$C$9,2,FALSE)</f>
        <v>#N/A</v>
      </c>
      <c r="AB1841" s="128" t="str">
        <f>+MID(Tabla3[[#This Row],['# Viaje]],10,1)</f>
        <v/>
      </c>
    </row>
    <row r="1842" spans="1:28" ht="15" hidden="1" customHeight="1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6"/>
      <c r="M1842" s="25"/>
      <c r="N1842" s="25"/>
      <c r="O1842" s="27"/>
      <c r="P1842" s="7"/>
      <c r="Q1842" s="16">
        <f>+IF(IFERROR(VLOOKUP(Tabla3[[#This Row],[Cliente factura]],Tabla4[[NIT]:[TOTAL CREDITO]],3,FALSE),0)="",0,IFERROR(VLOOKUP(Tabla3[[#This Row],[Cliente factura]],Tabla4[[NIT]:[TOTAL CREDITO]],3,FALSE),0))</f>
        <v>0</v>
      </c>
      <c r="R1842" s="9">
        <f>+IFERROR(VLOOKUP(Tabla3[[#This Row],[Cliente factura]],Tabla4[[NIT]:[TOTAL CREDITO]],6,FALSE),0)</f>
        <v>0</v>
      </c>
      <c r="S1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2" s="10" t="e">
        <f>VLOOKUP(Tabla3[[#This Row],[Razón social cliente factura]]&amp;Tabla3[[#This Row],[Desc. ciudad]],'Estandar de Rutas'!$C$1:$E$553,2,FALSE)</f>
        <v>#N/A</v>
      </c>
      <c r="U1842" s="130">
        <f>IFERROR(VLOOKUP(Tabla3[[#This Row],[Referencia]]&amp;Tabla3[[#This Row],[Desc detalle ext 1]],Tabla1[[Referencia-Color]:[Disponibilidad]],3,FALSE),0)</f>
        <v>0</v>
      </c>
      <c r="V1842" s="13"/>
      <c r="W1842" s="17">
        <f>+Tabla3[[#This Row],[Cant. Programada]]*Tabla3[[#This Row],[Precio unit]]</f>
        <v>0</v>
      </c>
      <c r="X1842" s="8"/>
      <c r="Y1842" s="8"/>
      <c r="Z1842" s="8" t="str">
        <f>+Tabla3[[#This Row],[Referencia]]&amp;Tabla3[[#This Row],[Desc detalle ext 1]]</f>
        <v/>
      </c>
      <c r="AA1842" s="128" t="e">
        <f>+VLOOKUP(Tabla3[[#This Row],[CODIGO2]],ESTANDAR!$B$3:$C$9,2,FALSE)</f>
        <v>#N/A</v>
      </c>
      <c r="AB1842" s="128" t="str">
        <f>+MID(Tabla3[[#This Row],['# Viaje]],10,1)</f>
        <v/>
      </c>
    </row>
    <row r="1843" spans="1:28" ht="15" hidden="1" customHeight="1">
      <c r="A1843" s="25"/>
      <c r="B1843" s="26"/>
      <c r="C1843" s="25"/>
      <c r="D1843" s="25"/>
      <c r="E1843" s="25"/>
      <c r="F1843" s="25"/>
      <c r="G1843" s="25"/>
      <c r="H1843" s="25"/>
      <c r="I1843" s="25"/>
      <c r="J1843" s="25"/>
      <c r="K1843" s="25"/>
      <c r="L1843" s="26"/>
      <c r="M1843" s="25"/>
      <c r="N1843" s="25"/>
      <c r="O1843" s="27"/>
      <c r="P1843" s="7"/>
      <c r="Q1843" s="16">
        <f>+IF(IFERROR(VLOOKUP(Tabla3[[#This Row],[Cliente factura]],Tabla4[[NIT]:[TOTAL CREDITO]],3,FALSE),0)="",0,IFERROR(VLOOKUP(Tabla3[[#This Row],[Cliente factura]],Tabla4[[NIT]:[TOTAL CREDITO]],3,FALSE),0))</f>
        <v>0</v>
      </c>
      <c r="R1843" s="9">
        <f>+IFERROR(VLOOKUP(Tabla3[[#This Row],[Cliente factura]],Tabla4[[NIT]:[TOTAL CREDITO]],6,FALSE),0)</f>
        <v>0</v>
      </c>
      <c r="S1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3" s="10" t="e">
        <f>VLOOKUP(Tabla3[[#This Row],[Razón social cliente factura]]&amp;Tabla3[[#This Row],[Desc. ciudad]],'Estandar de Rutas'!$C$1:$E$553,2,FALSE)</f>
        <v>#N/A</v>
      </c>
      <c r="U1843" s="130">
        <f>IFERROR(VLOOKUP(Tabla3[[#This Row],[Referencia]]&amp;Tabla3[[#This Row],[Desc detalle ext 1]],Tabla1[[Referencia-Color]:[Disponibilidad]],3,FALSE),0)</f>
        <v>0</v>
      </c>
      <c r="V1843" s="13"/>
      <c r="W1843" s="17">
        <f>+Tabla3[[#This Row],[Cant. Programada]]*Tabla3[[#This Row],[Precio unit]]</f>
        <v>0</v>
      </c>
      <c r="X1843" s="8"/>
      <c r="Y1843" s="8"/>
      <c r="Z1843" s="8" t="str">
        <f>+Tabla3[[#This Row],[Referencia]]&amp;Tabla3[[#This Row],[Desc detalle ext 1]]</f>
        <v/>
      </c>
      <c r="AA1843" s="128" t="e">
        <f>+VLOOKUP(Tabla3[[#This Row],[CODIGO2]],ESTANDAR!$B$3:$C$9,2,FALSE)</f>
        <v>#N/A</v>
      </c>
      <c r="AB1843" s="128" t="str">
        <f>+MID(Tabla3[[#This Row],['# Viaje]],10,1)</f>
        <v/>
      </c>
    </row>
    <row r="1844" spans="1:28" ht="15" hidden="1" customHeight="1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6"/>
      <c r="M1844" s="25"/>
      <c r="N1844" s="25"/>
      <c r="O1844" s="27"/>
      <c r="P1844" s="7"/>
      <c r="Q1844" s="16">
        <f>+IF(IFERROR(VLOOKUP(Tabla3[[#This Row],[Cliente factura]],Tabla4[[NIT]:[TOTAL CREDITO]],3,FALSE),0)="",0,IFERROR(VLOOKUP(Tabla3[[#This Row],[Cliente factura]],Tabla4[[NIT]:[TOTAL CREDITO]],3,FALSE),0))</f>
        <v>0</v>
      </c>
      <c r="R1844" s="9">
        <f>+IFERROR(VLOOKUP(Tabla3[[#This Row],[Cliente factura]],Tabla4[[NIT]:[TOTAL CREDITO]],6,FALSE),0)</f>
        <v>0</v>
      </c>
      <c r="S1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4" s="10" t="e">
        <f>VLOOKUP(Tabla3[[#This Row],[Razón social cliente factura]]&amp;Tabla3[[#This Row],[Desc. ciudad]],'Estandar de Rutas'!$C$1:$E$553,2,FALSE)</f>
        <v>#N/A</v>
      </c>
      <c r="U1844" s="130">
        <f>IFERROR(VLOOKUP(Tabla3[[#This Row],[Referencia]]&amp;Tabla3[[#This Row],[Desc detalle ext 1]],Tabla1[[Referencia-Color]:[Disponibilidad]],3,FALSE),0)</f>
        <v>0</v>
      </c>
      <c r="V1844" s="13"/>
      <c r="W1844" s="17">
        <f>+Tabla3[[#This Row],[Cant. Programada]]*Tabla3[[#This Row],[Precio unit]]</f>
        <v>0</v>
      </c>
      <c r="X1844" s="8"/>
      <c r="Y1844" s="8"/>
      <c r="Z1844" s="8" t="str">
        <f>+Tabla3[[#This Row],[Referencia]]&amp;Tabla3[[#This Row],[Desc detalle ext 1]]</f>
        <v/>
      </c>
      <c r="AA1844" s="128" t="e">
        <f>+VLOOKUP(Tabla3[[#This Row],[CODIGO2]],ESTANDAR!$B$3:$C$9,2,FALSE)</f>
        <v>#N/A</v>
      </c>
      <c r="AB1844" s="128" t="str">
        <f>+MID(Tabla3[[#This Row],['# Viaje]],10,1)</f>
        <v/>
      </c>
    </row>
    <row r="1845" spans="1:28" ht="15" hidden="1" customHeight="1">
      <c r="A1845" s="25"/>
      <c r="B1845" s="26"/>
      <c r="C1845" s="25"/>
      <c r="D1845" s="25"/>
      <c r="E1845" s="25"/>
      <c r="F1845" s="25"/>
      <c r="G1845" s="25"/>
      <c r="H1845" s="25"/>
      <c r="I1845" s="25"/>
      <c r="J1845" s="25"/>
      <c r="K1845" s="25"/>
      <c r="L1845" s="26"/>
      <c r="M1845" s="25"/>
      <c r="N1845" s="25"/>
      <c r="O1845" s="27"/>
      <c r="P1845" s="7"/>
      <c r="Q1845" s="16">
        <f>+IF(IFERROR(VLOOKUP(Tabla3[[#This Row],[Cliente factura]],Tabla4[[NIT]:[TOTAL CREDITO]],3,FALSE),0)="",0,IFERROR(VLOOKUP(Tabla3[[#This Row],[Cliente factura]],Tabla4[[NIT]:[TOTAL CREDITO]],3,FALSE),0))</f>
        <v>0</v>
      </c>
      <c r="R1845" s="9">
        <f>+IFERROR(VLOOKUP(Tabla3[[#This Row],[Cliente factura]],Tabla4[[NIT]:[TOTAL CREDITO]],6,FALSE),0)</f>
        <v>0</v>
      </c>
      <c r="S1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5" s="10" t="e">
        <f>VLOOKUP(Tabla3[[#This Row],[Razón social cliente factura]]&amp;Tabla3[[#This Row],[Desc. ciudad]],'Estandar de Rutas'!$C$1:$E$553,2,FALSE)</f>
        <v>#N/A</v>
      </c>
      <c r="U1845" s="130">
        <f>IFERROR(VLOOKUP(Tabla3[[#This Row],[Referencia]]&amp;Tabla3[[#This Row],[Desc detalle ext 1]],Tabla1[[Referencia-Color]:[Disponibilidad]],3,FALSE),0)</f>
        <v>0</v>
      </c>
      <c r="V1845" s="13"/>
      <c r="W1845" s="17">
        <f>+Tabla3[[#This Row],[Cant. Programada]]*Tabla3[[#This Row],[Precio unit]]</f>
        <v>0</v>
      </c>
      <c r="X1845" s="8"/>
      <c r="Y1845" s="8"/>
      <c r="Z1845" s="8" t="str">
        <f>+Tabla3[[#This Row],[Referencia]]&amp;Tabla3[[#This Row],[Desc detalle ext 1]]</f>
        <v/>
      </c>
      <c r="AA1845" s="128" t="e">
        <f>+VLOOKUP(Tabla3[[#This Row],[CODIGO2]],ESTANDAR!$B$3:$C$9,2,FALSE)</f>
        <v>#N/A</v>
      </c>
      <c r="AB1845" s="128" t="str">
        <f>+MID(Tabla3[[#This Row],['# Viaje]],10,1)</f>
        <v/>
      </c>
    </row>
    <row r="1846" spans="1:28" ht="15" hidden="1" customHeight="1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6"/>
      <c r="M1846" s="25"/>
      <c r="N1846" s="25"/>
      <c r="O1846" s="27"/>
      <c r="P1846" s="7"/>
      <c r="Q1846" s="16">
        <f>+IF(IFERROR(VLOOKUP(Tabla3[[#This Row],[Cliente factura]],Tabla4[[NIT]:[TOTAL CREDITO]],3,FALSE),0)="",0,IFERROR(VLOOKUP(Tabla3[[#This Row],[Cliente factura]],Tabla4[[NIT]:[TOTAL CREDITO]],3,FALSE),0))</f>
        <v>0</v>
      </c>
      <c r="R1846" s="9">
        <f>+IFERROR(VLOOKUP(Tabla3[[#This Row],[Cliente factura]],Tabla4[[NIT]:[TOTAL CREDITO]],6,FALSE),0)</f>
        <v>0</v>
      </c>
      <c r="S1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6" s="10" t="e">
        <f>VLOOKUP(Tabla3[[#This Row],[Razón social cliente factura]]&amp;Tabla3[[#This Row],[Desc. ciudad]],'Estandar de Rutas'!$C$1:$E$553,2,FALSE)</f>
        <v>#N/A</v>
      </c>
      <c r="U1846" s="130">
        <f>IFERROR(VLOOKUP(Tabla3[[#This Row],[Referencia]]&amp;Tabla3[[#This Row],[Desc detalle ext 1]],Tabla1[[Referencia-Color]:[Disponibilidad]],3,FALSE),0)</f>
        <v>0</v>
      </c>
      <c r="V1846" s="13"/>
      <c r="W1846" s="17">
        <f>+Tabla3[[#This Row],[Cant. Programada]]*Tabla3[[#This Row],[Precio unit]]</f>
        <v>0</v>
      </c>
      <c r="X1846" s="8"/>
      <c r="Y1846" s="8"/>
      <c r="Z1846" s="8" t="str">
        <f>+Tabla3[[#This Row],[Referencia]]&amp;Tabla3[[#This Row],[Desc detalle ext 1]]</f>
        <v/>
      </c>
      <c r="AA1846" s="128" t="e">
        <f>+VLOOKUP(Tabla3[[#This Row],[CODIGO2]],ESTANDAR!$B$3:$C$9,2,FALSE)</f>
        <v>#N/A</v>
      </c>
      <c r="AB1846" s="128" t="str">
        <f>+MID(Tabla3[[#This Row],['# Viaje]],10,1)</f>
        <v/>
      </c>
    </row>
    <row r="1847" spans="1:28" ht="15" hidden="1" customHeight="1">
      <c r="A1847" s="25"/>
      <c r="B1847" s="26"/>
      <c r="C1847" s="25"/>
      <c r="D1847" s="25"/>
      <c r="E1847" s="25"/>
      <c r="F1847" s="25"/>
      <c r="G1847" s="25"/>
      <c r="H1847" s="25"/>
      <c r="I1847" s="25"/>
      <c r="J1847" s="25"/>
      <c r="K1847" s="25"/>
      <c r="L1847" s="26"/>
      <c r="M1847" s="25"/>
      <c r="N1847" s="25"/>
      <c r="O1847" s="27"/>
      <c r="P1847" s="7"/>
      <c r="Q1847" s="16">
        <f>+IF(IFERROR(VLOOKUP(Tabla3[[#This Row],[Cliente factura]],Tabla4[[NIT]:[TOTAL CREDITO]],3,FALSE),0)="",0,IFERROR(VLOOKUP(Tabla3[[#This Row],[Cliente factura]],Tabla4[[NIT]:[TOTAL CREDITO]],3,FALSE),0))</f>
        <v>0</v>
      </c>
      <c r="R1847" s="9">
        <f>+IFERROR(VLOOKUP(Tabla3[[#This Row],[Cliente factura]],Tabla4[[NIT]:[TOTAL CREDITO]],6,FALSE),0)</f>
        <v>0</v>
      </c>
      <c r="S1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7" s="10" t="e">
        <f>VLOOKUP(Tabla3[[#This Row],[Razón social cliente factura]]&amp;Tabla3[[#This Row],[Desc. ciudad]],'Estandar de Rutas'!$C$1:$E$553,2,FALSE)</f>
        <v>#N/A</v>
      </c>
      <c r="U1847" s="130">
        <f>IFERROR(VLOOKUP(Tabla3[[#This Row],[Referencia]]&amp;Tabla3[[#This Row],[Desc detalle ext 1]],Tabla1[[Referencia-Color]:[Disponibilidad]],3,FALSE),0)</f>
        <v>0</v>
      </c>
      <c r="V1847" s="13"/>
      <c r="W1847" s="17">
        <f>+Tabla3[[#This Row],[Cant. Programada]]*Tabla3[[#This Row],[Precio unit]]</f>
        <v>0</v>
      </c>
      <c r="X1847" s="8"/>
      <c r="Y1847" s="8"/>
      <c r="Z1847" s="8" t="str">
        <f>+Tabla3[[#This Row],[Referencia]]&amp;Tabla3[[#This Row],[Desc detalle ext 1]]</f>
        <v/>
      </c>
      <c r="AA1847" s="128" t="e">
        <f>+VLOOKUP(Tabla3[[#This Row],[CODIGO2]],ESTANDAR!$B$3:$C$9,2,FALSE)</f>
        <v>#N/A</v>
      </c>
      <c r="AB1847" s="128" t="str">
        <f>+MID(Tabla3[[#This Row],['# Viaje]],10,1)</f>
        <v/>
      </c>
    </row>
    <row r="1848" spans="1:28" ht="15" hidden="1" customHeight="1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6"/>
      <c r="M1848" s="25"/>
      <c r="N1848" s="25"/>
      <c r="O1848" s="27"/>
      <c r="P1848" s="7"/>
      <c r="Q1848" s="16">
        <f>+IF(IFERROR(VLOOKUP(Tabla3[[#This Row],[Cliente factura]],Tabla4[[NIT]:[TOTAL CREDITO]],3,FALSE),0)="",0,IFERROR(VLOOKUP(Tabla3[[#This Row],[Cliente factura]],Tabla4[[NIT]:[TOTAL CREDITO]],3,FALSE),0))</f>
        <v>0</v>
      </c>
      <c r="R1848" s="9">
        <f>+IFERROR(VLOOKUP(Tabla3[[#This Row],[Cliente factura]],Tabla4[[NIT]:[TOTAL CREDITO]],6,FALSE),0)</f>
        <v>0</v>
      </c>
      <c r="S1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8" s="10" t="e">
        <f>VLOOKUP(Tabla3[[#This Row],[Razón social cliente factura]]&amp;Tabla3[[#This Row],[Desc. ciudad]],'Estandar de Rutas'!$C$1:$E$553,2,FALSE)</f>
        <v>#N/A</v>
      </c>
      <c r="U1848" s="130">
        <f>IFERROR(VLOOKUP(Tabla3[[#This Row],[Referencia]]&amp;Tabla3[[#This Row],[Desc detalle ext 1]],Tabla1[[Referencia-Color]:[Disponibilidad]],3,FALSE),0)</f>
        <v>0</v>
      </c>
      <c r="V1848" s="13"/>
      <c r="W1848" s="17">
        <f>+Tabla3[[#This Row],[Cant. Programada]]*Tabla3[[#This Row],[Precio unit]]</f>
        <v>0</v>
      </c>
      <c r="X1848" s="8"/>
      <c r="Y1848" s="8"/>
      <c r="Z1848" s="8" t="str">
        <f>+Tabla3[[#This Row],[Referencia]]&amp;Tabla3[[#This Row],[Desc detalle ext 1]]</f>
        <v/>
      </c>
      <c r="AA1848" s="128" t="e">
        <f>+VLOOKUP(Tabla3[[#This Row],[CODIGO2]],ESTANDAR!$B$3:$C$9,2,FALSE)</f>
        <v>#N/A</v>
      </c>
      <c r="AB1848" s="128" t="str">
        <f>+MID(Tabla3[[#This Row],['# Viaje]],10,1)</f>
        <v/>
      </c>
    </row>
    <row r="1849" spans="1:28" ht="15" hidden="1" customHeight="1">
      <c r="A1849" s="25"/>
      <c r="B1849" s="26"/>
      <c r="C1849" s="25"/>
      <c r="D1849" s="25"/>
      <c r="E1849" s="25"/>
      <c r="F1849" s="25"/>
      <c r="G1849" s="25"/>
      <c r="H1849" s="25"/>
      <c r="I1849" s="25"/>
      <c r="J1849" s="25"/>
      <c r="K1849" s="25"/>
      <c r="L1849" s="26"/>
      <c r="M1849" s="25"/>
      <c r="N1849" s="25"/>
      <c r="O1849" s="27"/>
      <c r="P1849" s="7"/>
      <c r="Q1849" s="16">
        <f>+IF(IFERROR(VLOOKUP(Tabla3[[#This Row],[Cliente factura]],Tabla4[[NIT]:[TOTAL CREDITO]],3,FALSE),0)="",0,IFERROR(VLOOKUP(Tabla3[[#This Row],[Cliente factura]],Tabla4[[NIT]:[TOTAL CREDITO]],3,FALSE),0))</f>
        <v>0</v>
      </c>
      <c r="R1849" s="9">
        <f>+IFERROR(VLOOKUP(Tabla3[[#This Row],[Cliente factura]],Tabla4[[NIT]:[TOTAL CREDITO]],6,FALSE),0)</f>
        <v>0</v>
      </c>
      <c r="S1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9" s="10" t="e">
        <f>VLOOKUP(Tabla3[[#This Row],[Razón social cliente factura]]&amp;Tabla3[[#This Row],[Desc. ciudad]],'Estandar de Rutas'!$C$1:$E$553,2,FALSE)</f>
        <v>#N/A</v>
      </c>
      <c r="U1849" s="130">
        <f>IFERROR(VLOOKUP(Tabla3[[#This Row],[Referencia]]&amp;Tabla3[[#This Row],[Desc detalle ext 1]],Tabla1[[Referencia-Color]:[Disponibilidad]],3,FALSE),0)</f>
        <v>0</v>
      </c>
      <c r="V1849" s="13"/>
      <c r="W1849" s="17">
        <f>+Tabla3[[#This Row],[Cant. Programada]]*Tabla3[[#This Row],[Precio unit]]</f>
        <v>0</v>
      </c>
      <c r="X1849" s="8"/>
      <c r="Y1849" s="8"/>
      <c r="Z1849" s="8" t="str">
        <f>+Tabla3[[#This Row],[Referencia]]&amp;Tabla3[[#This Row],[Desc detalle ext 1]]</f>
        <v/>
      </c>
      <c r="AA1849" s="128" t="e">
        <f>+VLOOKUP(Tabla3[[#This Row],[CODIGO2]],ESTANDAR!$B$3:$C$9,2,FALSE)</f>
        <v>#N/A</v>
      </c>
      <c r="AB1849" s="128" t="str">
        <f>+MID(Tabla3[[#This Row],['# Viaje]],10,1)</f>
        <v/>
      </c>
    </row>
    <row r="1850" spans="1:28" ht="15" hidden="1" customHeight="1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6"/>
      <c r="M1850" s="25"/>
      <c r="N1850" s="25"/>
      <c r="O1850" s="27"/>
      <c r="P1850" s="7"/>
      <c r="Q1850" s="16">
        <f>+IF(IFERROR(VLOOKUP(Tabla3[[#This Row],[Cliente factura]],Tabla4[[NIT]:[TOTAL CREDITO]],3,FALSE),0)="",0,IFERROR(VLOOKUP(Tabla3[[#This Row],[Cliente factura]],Tabla4[[NIT]:[TOTAL CREDITO]],3,FALSE),0))</f>
        <v>0</v>
      </c>
      <c r="R1850" s="9">
        <f>+IFERROR(VLOOKUP(Tabla3[[#This Row],[Cliente factura]],Tabla4[[NIT]:[TOTAL CREDITO]],6,FALSE),0)</f>
        <v>0</v>
      </c>
      <c r="S1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0" s="10" t="e">
        <f>VLOOKUP(Tabla3[[#This Row],[Razón social cliente factura]]&amp;Tabla3[[#This Row],[Desc. ciudad]],'Estandar de Rutas'!$C$1:$E$553,2,FALSE)</f>
        <v>#N/A</v>
      </c>
      <c r="U1850" s="130">
        <f>IFERROR(VLOOKUP(Tabla3[[#This Row],[Referencia]]&amp;Tabla3[[#This Row],[Desc detalle ext 1]],Tabla1[[Referencia-Color]:[Disponibilidad]],3,FALSE),0)</f>
        <v>0</v>
      </c>
      <c r="V1850" s="13"/>
      <c r="W1850" s="17">
        <f>+Tabla3[[#This Row],[Cant. Programada]]*Tabla3[[#This Row],[Precio unit]]</f>
        <v>0</v>
      </c>
      <c r="X1850" s="8"/>
      <c r="Y1850" s="8"/>
      <c r="Z1850" s="8" t="str">
        <f>+Tabla3[[#This Row],[Referencia]]&amp;Tabla3[[#This Row],[Desc detalle ext 1]]</f>
        <v/>
      </c>
      <c r="AA1850" s="128" t="e">
        <f>+VLOOKUP(Tabla3[[#This Row],[CODIGO2]],ESTANDAR!$B$3:$C$9,2,FALSE)</f>
        <v>#N/A</v>
      </c>
      <c r="AB1850" s="128" t="str">
        <f>+MID(Tabla3[[#This Row],['# Viaje]],10,1)</f>
        <v/>
      </c>
    </row>
    <row r="1851" spans="1:28" ht="15" hidden="1" customHeight="1">
      <c r="A1851" s="25"/>
      <c r="B1851" s="26"/>
      <c r="C1851" s="25"/>
      <c r="D1851" s="25"/>
      <c r="E1851" s="25"/>
      <c r="F1851" s="25"/>
      <c r="G1851" s="25"/>
      <c r="H1851" s="25"/>
      <c r="I1851" s="25"/>
      <c r="J1851" s="25"/>
      <c r="K1851" s="25"/>
      <c r="L1851" s="26"/>
      <c r="M1851" s="25"/>
      <c r="N1851" s="25"/>
      <c r="O1851" s="27"/>
      <c r="P1851" s="7"/>
      <c r="Q1851" s="16">
        <f>+IF(IFERROR(VLOOKUP(Tabla3[[#This Row],[Cliente factura]],Tabla4[[NIT]:[TOTAL CREDITO]],3,FALSE),0)="",0,IFERROR(VLOOKUP(Tabla3[[#This Row],[Cliente factura]],Tabla4[[NIT]:[TOTAL CREDITO]],3,FALSE),0))</f>
        <v>0</v>
      </c>
      <c r="R1851" s="9">
        <f>+IFERROR(VLOOKUP(Tabla3[[#This Row],[Cliente factura]],Tabla4[[NIT]:[TOTAL CREDITO]],6,FALSE),0)</f>
        <v>0</v>
      </c>
      <c r="S1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1" s="10" t="e">
        <f>VLOOKUP(Tabla3[[#This Row],[Razón social cliente factura]]&amp;Tabla3[[#This Row],[Desc. ciudad]],'Estandar de Rutas'!$C$1:$E$553,2,FALSE)</f>
        <v>#N/A</v>
      </c>
      <c r="U1851" s="130">
        <f>IFERROR(VLOOKUP(Tabla3[[#This Row],[Referencia]]&amp;Tabla3[[#This Row],[Desc detalle ext 1]],Tabla1[[Referencia-Color]:[Disponibilidad]],3,FALSE),0)</f>
        <v>0</v>
      </c>
      <c r="V1851" s="13"/>
      <c r="W1851" s="17">
        <f>+Tabla3[[#This Row],[Cant. Programada]]*Tabla3[[#This Row],[Precio unit]]</f>
        <v>0</v>
      </c>
      <c r="X1851" s="8"/>
      <c r="Y1851" s="8"/>
      <c r="Z1851" s="8" t="str">
        <f>+Tabla3[[#This Row],[Referencia]]&amp;Tabla3[[#This Row],[Desc detalle ext 1]]</f>
        <v/>
      </c>
      <c r="AA1851" s="128" t="e">
        <f>+VLOOKUP(Tabla3[[#This Row],[CODIGO2]],ESTANDAR!$B$3:$C$9,2,FALSE)</f>
        <v>#N/A</v>
      </c>
      <c r="AB1851" s="128" t="str">
        <f>+MID(Tabla3[[#This Row],['# Viaje]],10,1)</f>
        <v/>
      </c>
    </row>
    <row r="1852" spans="1:28" ht="15" hidden="1" customHeight="1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6"/>
      <c r="M1852" s="25"/>
      <c r="N1852" s="25"/>
      <c r="O1852" s="27"/>
      <c r="P1852" s="7"/>
      <c r="Q1852" s="16">
        <f>+IF(IFERROR(VLOOKUP(Tabla3[[#This Row],[Cliente factura]],Tabla4[[NIT]:[TOTAL CREDITO]],3,FALSE),0)="",0,IFERROR(VLOOKUP(Tabla3[[#This Row],[Cliente factura]],Tabla4[[NIT]:[TOTAL CREDITO]],3,FALSE),0))</f>
        <v>0</v>
      </c>
      <c r="R1852" s="9">
        <f>+IFERROR(VLOOKUP(Tabla3[[#This Row],[Cliente factura]],Tabla4[[NIT]:[TOTAL CREDITO]],6,FALSE),0)</f>
        <v>0</v>
      </c>
      <c r="S1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2" s="10" t="e">
        <f>VLOOKUP(Tabla3[[#This Row],[Razón social cliente factura]]&amp;Tabla3[[#This Row],[Desc. ciudad]],'Estandar de Rutas'!$C$1:$E$553,2,FALSE)</f>
        <v>#N/A</v>
      </c>
      <c r="U1852" s="130">
        <f>IFERROR(VLOOKUP(Tabla3[[#This Row],[Referencia]]&amp;Tabla3[[#This Row],[Desc detalle ext 1]],Tabla1[[Referencia-Color]:[Disponibilidad]],3,FALSE),0)</f>
        <v>0</v>
      </c>
      <c r="V1852" s="13"/>
      <c r="W1852" s="17">
        <f>+Tabla3[[#This Row],[Cant. Programada]]*Tabla3[[#This Row],[Precio unit]]</f>
        <v>0</v>
      </c>
      <c r="X1852" s="8"/>
      <c r="Y1852" s="8"/>
      <c r="Z1852" s="8" t="str">
        <f>+Tabla3[[#This Row],[Referencia]]&amp;Tabla3[[#This Row],[Desc detalle ext 1]]</f>
        <v/>
      </c>
      <c r="AA1852" s="128" t="e">
        <f>+VLOOKUP(Tabla3[[#This Row],[CODIGO2]],ESTANDAR!$B$3:$C$9,2,FALSE)</f>
        <v>#N/A</v>
      </c>
      <c r="AB1852" s="128" t="str">
        <f>+MID(Tabla3[[#This Row],['# Viaje]],10,1)</f>
        <v/>
      </c>
    </row>
    <row r="1853" spans="1:28" ht="15" hidden="1" customHeight="1">
      <c r="A1853" s="25"/>
      <c r="B1853" s="26"/>
      <c r="C1853" s="25"/>
      <c r="D1853" s="25"/>
      <c r="E1853" s="25"/>
      <c r="F1853" s="25"/>
      <c r="G1853" s="25"/>
      <c r="H1853" s="25"/>
      <c r="I1853" s="25"/>
      <c r="J1853" s="25"/>
      <c r="K1853" s="25"/>
      <c r="L1853" s="26"/>
      <c r="M1853" s="25"/>
      <c r="N1853" s="25"/>
      <c r="O1853" s="27"/>
      <c r="P1853" s="7"/>
      <c r="Q1853" s="16">
        <f>+IF(IFERROR(VLOOKUP(Tabla3[[#This Row],[Cliente factura]],Tabla4[[NIT]:[TOTAL CREDITO]],3,FALSE),0)="",0,IFERROR(VLOOKUP(Tabla3[[#This Row],[Cliente factura]],Tabla4[[NIT]:[TOTAL CREDITO]],3,FALSE),0))</f>
        <v>0</v>
      </c>
      <c r="R1853" s="9">
        <f>+IFERROR(VLOOKUP(Tabla3[[#This Row],[Cliente factura]],Tabla4[[NIT]:[TOTAL CREDITO]],6,FALSE),0)</f>
        <v>0</v>
      </c>
      <c r="S1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3" s="10" t="e">
        <f>VLOOKUP(Tabla3[[#This Row],[Razón social cliente factura]]&amp;Tabla3[[#This Row],[Desc. ciudad]],'Estandar de Rutas'!$C$1:$E$553,2,FALSE)</f>
        <v>#N/A</v>
      </c>
      <c r="U1853" s="130">
        <f>IFERROR(VLOOKUP(Tabla3[[#This Row],[Referencia]]&amp;Tabla3[[#This Row],[Desc detalle ext 1]],Tabla1[[Referencia-Color]:[Disponibilidad]],3,FALSE),0)</f>
        <v>0</v>
      </c>
      <c r="V1853" s="13"/>
      <c r="W1853" s="17">
        <f>+Tabla3[[#This Row],[Cant. Programada]]*Tabla3[[#This Row],[Precio unit]]</f>
        <v>0</v>
      </c>
      <c r="X1853" s="8"/>
      <c r="Y1853" s="8"/>
      <c r="Z1853" s="8" t="str">
        <f>+Tabla3[[#This Row],[Referencia]]&amp;Tabla3[[#This Row],[Desc detalle ext 1]]</f>
        <v/>
      </c>
      <c r="AA1853" s="128" t="e">
        <f>+VLOOKUP(Tabla3[[#This Row],[CODIGO2]],ESTANDAR!$B$3:$C$9,2,FALSE)</f>
        <v>#N/A</v>
      </c>
      <c r="AB1853" s="128" t="str">
        <f>+MID(Tabla3[[#This Row],['# Viaje]],10,1)</f>
        <v/>
      </c>
    </row>
    <row r="1854" spans="1:28" ht="15" hidden="1" customHeight="1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6"/>
      <c r="M1854" s="25"/>
      <c r="N1854" s="25"/>
      <c r="O1854" s="27"/>
      <c r="P1854" s="7"/>
      <c r="Q1854" s="16">
        <f>+IF(IFERROR(VLOOKUP(Tabla3[[#This Row],[Cliente factura]],Tabla4[[NIT]:[TOTAL CREDITO]],3,FALSE),0)="",0,IFERROR(VLOOKUP(Tabla3[[#This Row],[Cliente factura]],Tabla4[[NIT]:[TOTAL CREDITO]],3,FALSE),0))</f>
        <v>0</v>
      </c>
      <c r="R1854" s="9">
        <f>+IFERROR(VLOOKUP(Tabla3[[#This Row],[Cliente factura]],Tabla4[[NIT]:[TOTAL CREDITO]],6,FALSE),0)</f>
        <v>0</v>
      </c>
      <c r="S1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4" s="10" t="e">
        <f>VLOOKUP(Tabla3[[#This Row],[Razón social cliente factura]]&amp;Tabla3[[#This Row],[Desc. ciudad]],'Estandar de Rutas'!$C$1:$E$553,2,FALSE)</f>
        <v>#N/A</v>
      </c>
      <c r="U1854" s="130">
        <f>IFERROR(VLOOKUP(Tabla3[[#This Row],[Referencia]]&amp;Tabla3[[#This Row],[Desc detalle ext 1]],Tabla1[[Referencia-Color]:[Disponibilidad]],3,FALSE),0)</f>
        <v>0</v>
      </c>
      <c r="V1854" s="13"/>
      <c r="W1854" s="17">
        <f>+Tabla3[[#This Row],[Cant. Programada]]*Tabla3[[#This Row],[Precio unit]]</f>
        <v>0</v>
      </c>
      <c r="X1854" s="8"/>
      <c r="Y1854" s="8"/>
      <c r="Z1854" s="8" t="str">
        <f>+Tabla3[[#This Row],[Referencia]]&amp;Tabla3[[#This Row],[Desc detalle ext 1]]</f>
        <v/>
      </c>
      <c r="AA1854" s="128" t="e">
        <f>+VLOOKUP(Tabla3[[#This Row],[CODIGO2]],ESTANDAR!$B$3:$C$9,2,FALSE)</f>
        <v>#N/A</v>
      </c>
      <c r="AB1854" s="128" t="str">
        <f>+MID(Tabla3[[#This Row],['# Viaje]],10,1)</f>
        <v/>
      </c>
    </row>
    <row r="1855" spans="1:28" ht="15" hidden="1" customHeight="1">
      <c r="A1855" s="25"/>
      <c r="B1855" s="26"/>
      <c r="C1855" s="25"/>
      <c r="D1855" s="25"/>
      <c r="E1855" s="25"/>
      <c r="F1855" s="25"/>
      <c r="G1855" s="25"/>
      <c r="H1855" s="25"/>
      <c r="I1855" s="25"/>
      <c r="J1855" s="25"/>
      <c r="K1855" s="25"/>
      <c r="L1855" s="26"/>
      <c r="M1855" s="25"/>
      <c r="N1855" s="25"/>
      <c r="O1855" s="27"/>
      <c r="P1855" s="7"/>
      <c r="Q1855" s="16">
        <f>+IF(IFERROR(VLOOKUP(Tabla3[[#This Row],[Cliente factura]],Tabla4[[NIT]:[TOTAL CREDITO]],3,FALSE),0)="",0,IFERROR(VLOOKUP(Tabla3[[#This Row],[Cliente factura]],Tabla4[[NIT]:[TOTAL CREDITO]],3,FALSE),0))</f>
        <v>0</v>
      </c>
      <c r="R1855" s="9">
        <f>+IFERROR(VLOOKUP(Tabla3[[#This Row],[Cliente factura]],Tabla4[[NIT]:[TOTAL CREDITO]],6,FALSE),0)</f>
        <v>0</v>
      </c>
      <c r="S1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5" s="10" t="e">
        <f>VLOOKUP(Tabla3[[#This Row],[Razón social cliente factura]]&amp;Tabla3[[#This Row],[Desc. ciudad]],'Estandar de Rutas'!$C$1:$E$553,2,FALSE)</f>
        <v>#N/A</v>
      </c>
      <c r="U1855" s="130">
        <f>IFERROR(VLOOKUP(Tabla3[[#This Row],[Referencia]]&amp;Tabla3[[#This Row],[Desc detalle ext 1]],Tabla1[[Referencia-Color]:[Disponibilidad]],3,FALSE),0)</f>
        <v>0</v>
      </c>
      <c r="V1855" s="13"/>
      <c r="W1855" s="17">
        <f>+Tabla3[[#This Row],[Cant. Programada]]*Tabla3[[#This Row],[Precio unit]]</f>
        <v>0</v>
      </c>
      <c r="X1855" s="8"/>
      <c r="Y1855" s="8"/>
      <c r="Z1855" s="8" t="str">
        <f>+Tabla3[[#This Row],[Referencia]]&amp;Tabla3[[#This Row],[Desc detalle ext 1]]</f>
        <v/>
      </c>
      <c r="AA1855" s="128" t="e">
        <f>+VLOOKUP(Tabla3[[#This Row],[CODIGO2]],ESTANDAR!$B$3:$C$9,2,FALSE)</f>
        <v>#N/A</v>
      </c>
      <c r="AB1855" s="128" t="str">
        <f>+MID(Tabla3[[#This Row],['# Viaje]],10,1)</f>
        <v/>
      </c>
    </row>
    <row r="1856" spans="1:28" ht="15" hidden="1" customHeight="1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6"/>
      <c r="M1856" s="25"/>
      <c r="N1856" s="25"/>
      <c r="O1856" s="27"/>
      <c r="P1856" s="7"/>
      <c r="Q1856" s="16">
        <f>+IF(IFERROR(VLOOKUP(Tabla3[[#This Row],[Cliente factura]],Tabla4[[NIT]:[TOTAL CREDITO]],3,FALSE),0)="",0,IFERROR(VLOOKUP(Tabla3[[#This Row],[Cliente factura]],Tabla4[[NIT]:[TOTAL CREDITO]],3,FALSE),0))</f>
        <v>0</v>
      </c>
      <c r="R1856" s="9">
        <f>+IFERROR(VLOOKUP(Tabla3[[#This Row],[Cliente factura]],Tabla4[[NIT]:[TOTAL CREDITO]],6,FALSE),0)</f>
        <v>0</v>
      </c>
      <c r="S1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6" s="10" t="e">
        <f>VLOOKUP(Tabla3[[#This Row],[Razón social cliente factura]]&amp;Tabla3[[#This Row],[Desc. ciudad]],'Estandar de Rutas'!$C$1:$E$553,2,FALSE)</f>
        <v>#N/A</v>
      </c>
      <c r="U1856" s="130">
        <f>IFERROR(VLOOKUP(Tabla3[[#This Row],[Referencia]]&amp;Tabla3[[#This Row],[Desc detalle ext 1]],Tabla1[[Referencia-Color]:[Disponibilidad]],3,FALSE),0)</f>
        <v>0</v>
      </c>
      <c r="V1856" s="13"/>
      <c r="W1856" s="17">
        <f>+Tabla3[[#This Row],[Cant. Programada]]*Tabla3[[#This Row],[Precio unit]]</f>
        <v>0</v>
      </c>
      <c r="X1856" s="8"/>
      <c r="Y1856" s="8"/>
      <c r="Z1856" s="8" t="str">
        <f>+Tabla3[[#This Row],[Referencia]]&amp;Tabla3[[#This Row],[Desc detalle ext 1]]</f>
        <v/>
      </c>
      <c r="AA1856" s="128" t="e">
        <f>+VLOOKUP(Tabla3[[#This Row],[CODIGO2]],ESTANDAR!$B$3:$C$9,2,FALSE)</f>
        <v>#N/A</v>
      </c>
      <c r="AB1856" s="128" t="str">
        <f>+MID(Tabla3[[#This Row],['# Viaje]],10,1)</f>
        <v/>
      </c>
    </row>
    <row r="1857" spans="1:28" ht="15" hidden="1" customHeight="1">
      <c r="A1857" s="25"/>
      <c r="B1857" s="26"/>
      <c r="C1857" s="25"/>
      <c r="D1857" s="25"/>
      <c r="E1857" s="25"/>
      <c r="F1857" s="25"/>
      <c r="G1857" s="25"/>
      <c r="H1857" s="25"/>
      <c r="I1857" s="25"/>
      <c r="J1857" s="25"/>
      <c r="K1857" s="25"/>
      <c r="L1857" s="26"/>
      <c r="M1857" s="25"/>
      <c r="N1857" s="25"/>
      <c r="O1857" s="27"/>
      <c r="P1857" s="7"/>
      <c r="Q1857" s="16">
        <f>+IF(IFERROR(VLOOKUP(Tabla3[[#This Row],[Cliente factura]],Tabla4[[NIT]:[TOTAL CREDITO]],3,FALSE),0)="",0,IFERROR(VLOOKUP(Tabla3[[#This Row],[Cliente factura]],Tabla4[[NIT]:[TOTAL CREDITO]],3,FALSE),0))</f>
        <v>0</v>
      </c>
      <c r="R1857" s="9">
        <f>+IFERROR(VLOOKUP(Tabla3[[#This Row],[Cliente factura]],Tabla4[[NIT]:[TOTAL CREDITO]],6,FALSE),0)</f>
        <v>0</v>
      </c>
      <c r="S1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7" s="10" t="e">
        <f>VLOOKUP(Tabla3[[#This Row],[Razón social cliente factura]]&amp;Tabla3[[#This Row],[Desc. ciudad]],'Estandar de Rutas'!$C$1:$E$553,2,FALSE)</f>
        <v>#N/A</v>
      </c>
      <c r="U1857" s="130">
        <f>IFERROR(VLOOKUP(Tabla3[[#This Row],[Referencia]]&amp;Tabla3[[#This Row],[Desc detalle ext 1]],Tabla1[[Referencia-Color]:[Disponibilidad]],3,FALSE),0)</f>
        <v>0</v>
      </c>
      <c r="V1857" s="13"/>
      <c r="W1857" s="17">
        <f>+Tabla3[[#This Row],[Cant. Programada]]*Tabla3[[#This Row],[Precio unit]]</f>
        <v>0</v>
      </c>
      <c r="X1857" s="8"/>
      <c r="Y1857" s="8"/>
      <c r="Z1857" s="8" t="str">
        <f>+Tabla3[[#This Row],[Referencia]]&amp;Tabla3[[#This Row],[Desc detalle ext 1]]</f>
        <v/>
      </c>
      <c r="AA1857" s="128" t="e">
        <f>+VLOOKUP(Tabla3[[#This Row],[CODIGO2]],ESTANDAR!$B$3:$C$9,2,FALSE)</f>
        <v>#N/A</v>
      </c>
      <c r="AB1857" s="128" t="str">
        <f>+MID(Tabla3[[#This Row],['# Viaje]],10,1)</f>
        <v/>
      </c>
    </row>
    <row r="1858" spans="1:28" ht="15" hidden="1" customHeight="1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6"/>
      <c r="M1858" s="25"/>
      <c r="N1858" s="25"/>
      <c r="O1858" s="27"/>
      <c r="P1858" s="7"/>
      <c r="Q1858" s="16">
        <f>+IF(IFERROR(VLOOKUP(Tabla3[[#This Row],[Cliente factura]],Tabla4[[NIT]:[TOTAL CREDITO]],3,FALSE),0)="",0,IFERROR(VLOOKUP(Tabla3[[#This Row],[Cliente factura]],Tabla4[[NIT]:[TOTAL CREDITO]],3,FALSE),0))</f>
        <v>0</v>
      </c>
      <c r="R1858" s="9">
        <f>+IFERROR(VLOOKUP(Tabla3[[#This Row],[Cliente factura]],Tabla4[[NIT]:[TOTAL CREDITO]],6,FALSE),0)</f>
        <v>0</v>
      </c>
      <c r="S1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8" s="10" t="e">
        <f>VLOOKUP(Tabla3[[#This Row],[Razón social cliente factura]]&amp;Tabla3[[#This Row],[Desc. ciudad]],'Estandar de Rutas'!$C$1:$E$553,2,FALSE)</f>
        <v>#N/A</v>
      </c>
      <c r="U1858" s="130">
        <f>IFERROR(VLOOKUP(Tabla3[[#This Row],[Referencia]]&amp;Tabla3[[#This Row],[Desc detalle ext 1]],Tabla1[[Referencia-Color]:[Disponibilidad]],3,FALSE),0)</f>
        <v>0</v>
      </c>
      <c r="V1858" s="13"/>
      <c r="W1858" s="17">
        <f>+Tabla3[[#This Row],[Cant. Programada]]*Tabla3[[#This Row],[Precio unit]]</f>
        <v>0</v>
      </c>
      <c r="X1858" s="8"/>
      <c r="Y1858" s="8"/>
      <c r="Z1858" s="8" t="str">
        <f>+Tabla3[[#This Row],[Referencia]]&amp;Tabla3[[#This Row],[Desc detalle ext 1]]</f>
        <v/>
      </c>
      <c r="AA1858" s="128" t="e">
        <f>+VLOOKUP(Tabla3[[#This Row],[CODIGO2]],ESTANDAR!$B$3:$C$9,2,FALSE)</f>
        <v>#N/A</v>
      </c>
      <c r="AB1858" s="128" t="str">
        <f>+MID(Tabla3[[#This Row],['# Viaje]],10,1)</f>
        <v/>
      </c>
    </row>
    <row r="1859" spans="1:28" ht="15" hidden="1" customHeight="1">
      <c r="A1859" s="25"/>
      <c r="B1859" s="26"/>
      <c r="C1859" s="25"/>
      <c r="D1859" s="25"/>
      <c r="E1859" s="25"/>
      <c r="F1859" s="25"/>
      <c r="G1859" s="25"/>
      <c r="H1859" s="25"/>
      <c r="I1859" s="25"/>
      <c r="J1859" s="25"/>
      <c r="K1859" s="25"/>
      <c r="L1859" s="26"/>
      <c r="M1859" s="25"/>
      <c r="N1859" s="25"/>
      <c r="O1859" s="27"/>
      <c r="P1859" s="7"/>
      <c r="Q1859" s="16">
        <f>+IF(IFERROR(VLOOKUP(Tabla3[[#This Row],[Cliente factura]],Tabla4[[NIT]:[TOTAL CREDITO]],3,FALSE),0)="",0,IFERROR(VLOOKUP(Tabla3[[#This Row],[Cliente factura]],Tabla4[[NIT]:[TOTAL CREDITO]],3,FALSE),0))</f>
        <v>0</v>
      </c>
      <c r="R1859" s="9">
        <f>+IFERROR(VLOOKUP(Tabla3[[#This Row],[Cliente factura]],Tabla4[[NIT]:[TOTAL CREDITO]],6,FALSE),0)</f>
        <v>0</v>
      </c>
      <c r="S1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9" s="10" t="e">
        <f>VLOOKUP(Tabla3[[#This Row],[Razón social cliente factura]]&amp;Tabla3[[#This Row],[Desc. ciudad]],'Estandar de Rutas'!$C$1:$E$553,2,FALSE)</f>
        <v>#N/A</v>
      </c>
      <c r="U1859" s="130">
        <f>IFERROR(VLOOKUP(Tabla3[[#This Row],[Referencia]]&amp;Tabla3[[#This Row],[Desc detalle ext 1]],Tabla1[[Referencia-Color]:[Disponibilidad]],3,FALSE),0)</f>
        <v>0</v>
      </c>
      <c r="V1859" s="13"/>
      <c r="W1859" s="17">
        <f>+Tabla3[[#This Row],[Cant. Programada]]*Tabla3[[#This Row],[Precio unit]]</f>
        <v>0</v>
      </c>
      <c r="X1859" s="8"/>
      <c r="Y1859" s="8"/>
      <c r="Z1859" s="8" t="str">
        <f>+Tabla3[[#This Row],[Referencia]]&amp;Tabla3[[#This Row],[Desc detalle ext 1]]</f>
        <v/>
      </c>
      <c r="AA1859" s="128" t="e">
        <f>+VLOOKUP(Tabla3[[#This Row],[CODIGO2]],ESTANDAR!$B$3:$C$9,2,FALSE)</f>
        <v>#N/A</v>
      </c>
      <c r="AB1859" s="128" t="str">
        <f>+MID(Tabla3[[#This Row],['# Viaje]],10,1)</f>
        <v/>
      </c>
    </row>
    <row r="1860" spans="1:28" ht="15" hidden="1" customHeight="1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6"/>
      <c r="M1860" s="25"/>
      <c r="N1860" s="25"/>
      <c r="O1860" s="27"/>
      <c r="P1860" s="7"/>
      <c r="Q1860" s="16">
        <f>+IF(IFERROR(VLOOKUP(Tabla3[[#This Row],[Cliente factura]],Tabla4[[NIT]:[TOTAL CREDITO]],3,FALSE),0)="",0,IFERROR(VLOOKUP(Tabla3[[#This Row],[Cliente factura]],Tabla4[[NIT]:[TOTAL CREDITO]],3,FALSE),0))</f>
        <v>0</v>
      </c>
      <c r="R1860" s="9">
        <f>+IFERROR(VLOOKUP(Tabla3[[#This Row],[Cliente factura]],Tabla4[[NIT]:[TOTAL CREDITO]],6,FALSE),0)</f>
        <v>0</v>
      </c>
      <c r="S1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0" s="10" t="e">
        <f>VLOOKUP(Tabla3[[#This Row],[Razón social cliente factura]]&amp;Tabla3[[#This Row],[Desc. ciudad]],'Estandar de Rutas'!$C$1:$E$553,2,FALSE)</f>
        <v>#N/A</v>
      </c>
      <c r="U1860" s="130">
        <f>IFERROR(VLOOKUP(Tabla3[[#This Row],[Referencia]]&amp;Tabla3[[#This Row],[Desc detalle ext 1]],Tabla1[[Referencia-Color]:[Disponibilidad]],3,FALSE),0)</f>
        <v>0</v>
      </c>
      <c r="V1860" s="13"/>
      <c r="W1860" s="17">
        <f>+Tabla3[[#This Row],[Cant. Programada]]*Tabla3[[#This Row],[Precio unit]]</f>
        <v>0</v>
      </c>
      <c r="X1860" s="8"/>
      <c r="Y1860" s="8"/>
      <c r="Z1860" s="8" t="str">
        <f>+Tabla3[[#This Row],[Referencia]]&amp;Tabla3[[#This Row],[Desc detalle ext 1]]</f>
        <v/>
      </c>
      <c r="AA1860" s="128" t="e">
        <f>+VLOOKUP(Tabla3[[#This Row],[CODIGO2]],ESTANDAR!$B$3:$C$9,2,FALSE)</f>
        <v>#N/A</v>
      </c>
      <c r="AB1860" s="128" t="str">
        <f>+MID(Tabla3[[#This Row],['# Viaje]],10,1)</f>
        <v/>
      </c>
    </row>
    <row r="1861" spans="1:28" ht="15" hidden="1" customHeight="1">
      <c r="A1861" s="25"/>
      <c r="B1861" s="26"/>
      <c r="C1861" s="25"/>
      <c r="D1861" s="25"/>
      <c r="E1861" s="25"/>
      <c r="F1861" s="25"/>
      <c r="G1861" s="25"/>
      <c r="H1861" s="25"/>
      <c r="I1861" s="25"/>
      <c r="J1861" s="25"/>
      <c r="K1861" s="25"/>
      <c r="L1861" s="26"/>
      <c r="M1861" s="25"/>
      <c r="N1861" s="25"/>
      <c r="O1861" s="27"/>
      <c r="P1861" s="7"/>
      <c r="Q1861" s="16">
        <f>+IF(IFERROR(VLOOKUP(Tabla3[[#This Row],[Cliente factura]],Tabla4[[NIT]:[TOTAL CREDITO]],3,FALSE),0)="",0,IFERROR(VLOOKUP(Tabla3[[#This Row],[Cliente factura]],Tabla4[[NIT]:[TOTAL CREDITO]],3,FALSE),0))</f>
        <v>0</v>
      </c>
      <c r="R1861" s="9">
        <f>+IFERROR(VLOOKUP(Tabla3[[#This Row],[Cliente factura]],Tabla4[[NIT]:[TOTAL CREDITO]],6,FALSE),0)</f>
        <v>0</v>
      </c>
      <c r="S1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1" s="10" t="e">
        <f>VLOOKUP(Tabla3[[#This Row],[Razón social cliente factura]]&amp;Tabla3[[#This Row],[Desc. ciudad]],'Estandar de Rutas'!$C$1:$E$553,2,FALSE)</f>
        <v>#N/A</v>
      </c>
      <c r="U1861" s="130">
        <f>IFERROR(VLOOKUP(Tabla3[[#This Row],[Referencia]]&amp;Tabla3[[#This Row],[Desc detalle ext 1]],Tabla1[[Referencia-Color]:[Disponibilidad]],3,FALSE),0)</f>
        <v>0</v>
      </c>
      <c r="V1861" s="13"/>
      <c r="W1861" s="17">
        <f>+Tabla3[[#This Row],[Cant. Programada]]*Tabla3[[#This Row],[Precio unit]]</f>
        <v>0</v>
      </c>
      <c r="X1861" s="8"/>
      <c r="Y1861" s="8"/>
      <c r="Z1861" s="8" t="str">
        <f>+Tabla3[[#This Row],[Referencia]]&amp;Tabla3[[#This Row],[Desc detalle ext 1]]</f>
        <v/>
      </c>
      <c r="AA1861" s="128" t="e">
        <f>+VLOOKUP(Tabla3[[#This Row],[CODIGO2]],ESTANDAR!$B$3:$C$9,2,FALSE)</f>
        <v>#N/A</v>
      </c>
      <c r="AB1861" s="128" t="str">
        <f>+MID(Tabla3[[#This Row],['# Viaje]],10,1)</f>
        <v/>
      </c>
    </row>
    <row r="1862" spans="1:28" ht="15" hidden="1" customHeight="1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6"/>
      <c r="M1862" s="25"/>
      <c r="N1862" s="25"/>
      <c r="O1862" s="27"/>
      <c r="P1862" s="7"/>
      <c r="Q1862" s="16">
        <f>+IF(IFERROR(VLOOKUP(Tabla3[[#This Row],[Cliente factura]],Tabla4[[NIT]:[TOTAL CREDITO]],3,FALSE),0)="",0,IFERROR(VLOOKUP(Tabla3[[#This Row],[Cliente factura]],Tabla4[[NIT]:[TOTAL CREDITO]],3,FALSE),0))</f>
        <v>0</v>
      </c>
      <c r="R1862" s="9">
        <f>+IFERROR(VLOOKUP(Tabla3[[#This Row],[Cliente factura]],Tabla4[[NIT]:[TOTAL CREDITO]],6,FALSE),0)</f>
        <v>0</v>
      </c>
      <c r="S1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2" s="10" t="e">
        <f>VLOOKUP(Tabla3[[#This Row],[Razón social cliente factura]]&amp;Tabla3[[#This Row],[Desc. ciudad]],'Estandar de Rutas'!$C$1:$E$553,2,FALSE)</f>
        <v>#N/A</v>
      </c>
      <c r="U1862" s="130">
        <f>IFERROR(VLOOKUP(Tabla3[[#This Row],[Referencia]]&amp;Tabla3[[#This Row],[Desc detalle ext 1]],Tabla1[[Referencia-Color]:[Disponibilidad]],3,FALSE),0)</f>
        <v>0</v>
      </c>
      <c r="V1862" s="13"/>
      <c r="W1862" s="17">
        <f>+Tabla3[[#This Row],[Cant. Programada]]*Tabla3[[#This Row],[Precio unit]]</f>
        <v>0</v>
      </c>
      <c r="X1862" s="8"/>
      <c r="Y1862" s="8"/>
      <c r="Z1862" s="8" t="str">
        <f>+Tabla3[[#This Row],[Referencia]]&amp;Tabla3[[#This Row],[Desc detalle ext 1]]</f>
        <v/>
      </c>
      <c r="AA1862" s="128" t="e">
        <f>+VLOOKUP(Tabla3[[#This Row],[CODIGO2]],ESTANDAR!$B$3:$C$9,2,FALSE)</f>
        <v>#N/A</v>
      </c>
      <c r="AB1862" s="128" t="str">
        <f>+MID(Tabla3[[#This Row],['# Viaje]],10,1)</f>
        <v/>
      </c>
    </row>
    <row r="1863" spans="1:28" ht="15" hidden="1" customHeight="1">
      <c r="A1863" s="25"/>
      <c r="B1863" s="26"/>
      <c r="C1863" s="25"/>
      <c r="D1863" s="25"/>
      <c r="E1863" s="25"/>
      <c r="F1863" s="25"/>
      <c r="G1863" s="25"/>
      <c r="H1863" s="25"/>
      <c r="I1863" s="25"/>
      <c r="J1863" s="25"/>
      <c r="K1863" s="25"/>
      <c r="L1863" s="26"/>
      <c r="M1863" s="25"/>
      <c r="N1863" s="25"/>
      <c r="O1863" s="27"/>
      <c r="P1863" s="7"/>
      <c r="Q1863" s="16">
        <f>+IF(IFERROR(VLOOKUP(Tabla3[[#This Row],[Cliente factura]],Tabla4[[NIT]:[TOTAL CREDITO]],3,FALSE),0)="",0,IFERROR(VLOOKUP(Tabla3[[#This Row],[Cliente factura]],Tabla4[[NIT]:[TOTAL CREDITO]],3,FALSE),0))</f>
        <v>0</v>
      </c>
      <c r="R1863" s="9">
        <f>+IFERROR(VLOOKUP(Tabla3[[#This Row],[Cliente factura]],Tabla4[[NIT]:[TOTAL CREDITO]],6,FALSE),0)</f>
        <v>0</v>
      </c>
      <c r="S1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3" s="10" t="e">
        <f>VLOOKUP(Tabla3[[#This Row],[Razón social cliente factura]]&amp;Tabla3[[#This Row],[Desc. ciudad]],'Estandar de Rutas'!$C$1:$E$553,2,FALSE)</f>
        <v>#N/A</v>
      </c>
      <c r="U1863" s="130">
        <f>IFERROR(VLOOKUP(Tabla3[[#This Row],[Referencia]]&amp;Tabla3[[#This Row],[Desc detalle ext 1]],Tabla1[[Referencia-Color]:[Disponibilidad]],3,FALSE),0)</f>
        <v>0</v>
      </c>
      <c r="V1863" s="13"/>
      <c r="W1863" s="17">
        <f>+Tabla3[[#This Row],[Cant. Programada]]*Tabla3[[#This Row],[Precio unit]]</f>
        <v>0</v>
      </c>
      <c r="X1863" s="8"/>
      <c r="Y1863" s="8"/>
      <c r="Z1863" s="8" t="str">
        <f>+Tabla3[[#This Row],[Referencia]]&amp;Tabla3[[#This Row],[Desc detalle ext 1]]</f>
        <v/>
      </c>
      <c r="AA1863" s="128" t="e">
        <f>+VLOOKUP(Tabla3[[#This Row],[CODIGO2]],ESTANDAR!$B$3:$C$9,2,FALSE)</f>
        <v>#N/A</v>
      </c>
      <c r="AB1863" s="128" t="str">
        <f>+MID(Tabla3[[#This Row],['# Viaje]],10,1)</f>
        <v/>
      </c>
    </row>
    <row r="1864" spans="1:28" ht="15" hidden="1" customHeight="1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6"/>
      <c r="M1864" s="25"/>
      <c r="N1864" s="25"/>
      <c r="O1864" s="27"/>
      <c r="P1864" s="7"/>
      <c r="Q1864" s="16">
        <f>+IF(IFERROR(VLOOKUP(Tabla3[[#This Row],[Cliente factura]],Tabla4[[NIT]:[TOTAL CREDITO]],3,FALSE),0)="",0,IFERROR(VLOOKUP(Tabla3[[#This Row],[Cliente factura]],Tabla4[[NIT]:[TOTAL CREDITO]],3,FALSE),0))</f>
        <v>0</v>
      </c>
      <c r="R1864" s="9">
        <f>+IFERROR(VLOOKUP(Tabla3[[#This Row],[Cliente factura]],Tabla4[[NIT]:[TOTAL CREDITO]],6,FALSE),0)</f>
        <v>0</v>
      </c>
      <c r="S1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4" s="10" t="e">
        <f>VLOOKUP(Tabla3[[#This Row],[Razón social cliente factura]]&amp;Tabla3[[#This Row],[Desc. ciudad]],'Estandar de Rutas'!$C$1:$E$553,2,FALSE)</f>
        <v>#N/A</v>
      </c>
      <c r="U1864" s="130">
        <f>IFERROR(VLOOKUP(Tabla3[[#This Row],[Referencia]]&amp;Tabla3[[#This Row],[Desc detalle ext 1]],Tabla1[[Referencia-Color]:[Disponibilidad]],3,FALSE),0)</f>
        <v>0</v>
      </c>
      <c r="V1864" s="13"/>
      <c r="W1864" s="17">
        <f>+Tabla3[[#This Row],[Cant. Programada]]*Tabla3[[#This Row],[Precio unit]]</f>
        <v>0</v>
      </c>
      <c r="X1864" s="8"/>
      <c r="Y1864" s="8"/>
      <c r="Z1864" s="8" t="str">
        <f>+Tabla3[[#This Row],[Referencia]]&amp;Tabla3[[#This Row],[Desc detalle ext 1]]</f>
        <v/>
      </c>
      <c r="AA1864" s="128" t="e">
        <f>+VLOOKUP(Tabla3[[#This Row],[CODIGO2]],ESTANDAR!$B$3:$C$9,2,FALSE)</f>
        <v>#N/A</v>
      </c>
      <c r="AB1864" s="128" t="str">
        <f>+MID(Tabla3[[#This Row],['# Viaje]],10,1)</f>
        <v/>
      </c>
    </row>
    <row r="1865" spans="1:28" ht="15" hidden="1" customHeight="1">
      <c r="A1865" s="25"/>
      <c r="B1865" s="26"/>
      <c r="C1865" s="25"/>
      <c r="D1865" s="25"/>
      <c r="E1865" s="25"/>
      <c r="F1865" s="25"/>
      <c r="G1865" s="25"/>
      <c r="H1865" s="25"/>
      <c r="I1865" s="25"/>
      <c r="J1865" s="25"/>
      <c r="K1865" s="25"/>
      <c r="L1865" s="26"/>
      <c r="M1865" s="25"/>
      <c r="N1865" s="25"/>
      <c r="O1865" s="27"/>
      <c r="P1865" s="7"/>
      <c r="Q1865" s="16">
        <f>+IF(IFERROR(VLOOKUP(Tabla3[[#This Row],[Cliente factura]],Tabla4[[NIT]:[TOTAL CREDITO]],3,FALSE),0)="",0,IFERROR(VLOOKUP(Tabla3[[#This Row],[Cliente factura]],Tabla4[[NIT]:[TOTAL CREDITO]],3,FALSE),0))</f>
        <v>0</v>
      </c>
      <c r="R1865" s="9">
        <f>+IFERROR(VLOOKUP(Tabla3[[#This Row],[Cliente factura]],Tabla4[[NIT]:[TOTAL CREDITO]],6,FALSE),0)</f>
        <v>0</v>
      </c>
      <c r="S1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5" s="10" t="e">
        <f>VLOOKUP(Tabla3[[#This Row],[Razón social cliente factura]]&amp;Tabla3[[#This Row],[Desc. ciudad]],'Estandar de Rutas'!$C$1:$E$553,2,FALSE)</f>
        <v>#N/A</v>
      </c>
      <c r="U1865" s="130">
        <f>IFERROR(VLOOKUP(Tabla3[[#This Row],[Referencia]]&amp;Tabla3[[#This Row],[Desc detalle ext 1]],Tabla1[[Referencia-Color]:[Disponibilidad]],3,FALSE),0)</f>
        <v>0</v>
      </c>
      <c r="V1865" s="13"/>
      <c r="W1865" s="17">
        <f>+Tabla3[[#This Row],[Cant. Programada]]*Tabla3[[#This Row],[Precio unit]]</f>
        <v>0</v>
      </c>
      <c r="X1865" s="8"/>
      <c r="Y1865" s="8"/>
      <c r="Z1865" s="8" t="str">
        <f>+Tabla3[[#This Row],[Referencia]]&amp;Tabla3[[#This Row],[Desc detalle ext 1]]</f>
        <v/>
      </c>
      <c r="AA1865" s="128" t="e">
        <f>+VLOOKUP(Tabla3[[#This Row],[CODIGO2]],ESTANDAR!$B$3:$C$9,2,FALSE)</f>
        <v>#N/A</v>
      </c>
      <c r="AB1865" s="128" t="str">
        <f>+MID(Tabla3[[#This Row],['# Viaje]],10,1)</f>
        <v/>
      </c>
    </row>
    <row r="1866" spans="1:28" ht="15" hidden="1" customHeight="1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6"/>
      <c r="M1866" s="25"/>
      <c r="N1866" s="25"/>
      <c r="O1866" s="27"/>
      <c r="P1866" s="7"/>
      <c r="Q1866" s="16">
        <f>+IF(IFERROR(VLOOKUP(Tabla3[[#This Row],[Cliente factura]],Tabla4[[NIT]:[TOTAL CREDITO]],3,FALSE),0)="",0,IFERROR(VLOOKUP(Tabla3[[#This Row],[Cliente factura]],Tabla4[[NIT]:[TOTAL CREDITO]],3,FALSE),0))</f>
        <v>0</v>
      </c>
      <c r="R1866" s="9">
        <f>+IFERROR(VLOOKUP(Tabla3[[#This Row],[Cliente factura]],Tabla4[[NIT]:[TOTAL CREDITO]],6,FALSE),0)</f>
        <v>0</v>
      </c>
      <c r="S1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6" s="10" t="e">
        <f>VLOOKUP(Tabla3[[#This Row],[Razón social cliente factura]]&amp;Tabla3[[#This Row],[Desc. ciudad]],'Estandar de Rutas'!$C$1:$E$553,2,FALSE)</f>
        <v>#N/A</v>
      </c>
      <c r="U1866" s="130">
        <f>IFERROR(VLOOKUP(Tabla3[[#This Row],[Referencia]]&amp;Tabla3[[#This Row],[Desc detalle ext 1]],Tabla1[[Referencia-Color]:[Disponibilidad]],3,FALSE),0)</f>
        <v>0</v>
      </c>
      <c r="V1866" s="13"/>
      <c r="W1866" s="17">
        <f>+Tabla3[[#This Row],[Cant. Programada]]*Tabla3[[#This Row],[Precio unit]]</f>
        <v>0</v>
      </c>
      <c r="X1866" s="8"/>
      <c r="Y1866" s="8"/>
      <c r="Z1866" s="8" t="str">
        <f>+Tabla3[[#This Row],[Referencia]]&amp;Tabla3[[#This Row],[Desc detalle ext 1]]</f>
        <v/>
      </c>
      <c r="AA1866" s="128" t="e">
        <f>+VLOOKUP(Tabla3[[#This Row],[CODIGO2]],ESTANDAR!$B$3:$C$9,2,FALSE)</f>
        <v>#N/A</v>
      </c>
      <c r="AB1866" s="128" t="str">
        <f>+MID(Tabla3[[#This Row],['# Viaje]],10,1)</f>
        <v/>
      </c>
    </row>
    <row r="1867" spans="1:28" ht="15" hidden="1" customHeight="1">
      <c r="A1867" s="25"/>
      <c r="B1867" s="26"/>
      <c r="C1867" s="25"/>
      <c r="D1867" s="25"/>
      <c r="E1867" s="25"/>
      <c r="F1867" s="25"/>
      <c r="G1867" s="25"/>
      <c r="H1867" s="25"/>
      <c r="I1867" s="25"/>
      <c r="J1867" s="25"/>
      <c r="K1867" s="25"/>
      <c r="L1867" s="26"/>
      <c r="M1867" s="25"/>
      <c r="N1867" s="25"/>
      <c r="O1867" s="27"/>
      <c r="P1867" s="7"/>
      <c r="Q1867" s="16">
        <f>+IF(IFERROR(VLOOKUP(Tabla3[[#This Row],[Cliente factura]],Tabla4[[NIT]:[TOTAL CREDITO]],3,FALSE),0)="",0,IFERROR(VLOOKUP(Tabla3[[#This Row],[Cliente factura]],Tabla4[[NIT]:[TOTAL CREDITO]],3,FALSE),0))</f>
        <v>0</v>
      </c>
      <c r="R1867" s="9">
        <f>+IFERROR(VLOOKUP(Tabla3[[#This Row],[Cliente factura]],Tabla4[[NIT]:[TOTAL CREDITO]],6,FALSE),0)</f>
        <v>0</v>
      </c>
      <c r="S1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7" s="10" t="e">
        <f>VLOOKUP(Tabla3[[#This Row],[Razón social cliente factura]]&amp;Tabla3[[#This Row],[Desc. ciudad]],'Estandar de Rutas'!$C$1:$E$553,2,FALSE)</f>
        <v>#N/A</v>
      </c>
      <c r="U1867" s="130">
        <f>IFERROR(VLOOKUP(Tabla3[[#This Row],[Referencia]]&amp;Tabla3[[#This Row],[Desc detalle ext 1]],Tabla1[[Referencia-Color]:[Disponibilidad]],3,FALSE),0)</f>
        <v>0</v>
      </c>
      <c r="V1867" s="13"/>
      <c r="W1867" s="17">
        <f>+Tabla3[[#This Row],[Cant. Programada]]*Tabla3[[#This Row],[Precio unit]]</f>
        <v>0</v>
      </c>
      <c r="X1867" s="8"/>
      <c r="Y1867" s="8"/>
      <c r="Z1867" s="8" t="str">
        <f>+Tabla3[[#This Row],[Referencia]]&amp;Tabla3[[#This Row],[Desc detalle ext 1]]</f>
        <v/>
      </c>
      <c r="AA1867" s="128" t="e">
        <f>+VLOOKUP(Tabla3[[#This Row],[CODIGO2]],ESTANDAR!$B$3:$C$9,2,FALSE)</f>
        <v>#N/A</v>
      </c>
      <c r="AB1867" s="128" t="str">
        <f>+MID(Tabla3[[#This Row],['# Viaje]],10,1)</f>
        <v/>
      </c>
    </row>
    <row r="1868" spans="1:28" ht="15" hidden="1" customHeight="1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6"/>
      <c r="M1868" s="25"/>
      <c r="N1868" s="25"/>
      <c r="O1868" s="27"/>
      <c r="P1868" s="7"/>
      <c r="Q1868" s="16">
        <f>+IF(IFERROR(VLOOKUP(Tabla3[[#This Row],[Cliente factura]],Tabla4[[NIT]:[TOTAL CREDITO]],3,FALSE),0)="",0,IFERROR(VLOOKUP(Tabla3[[#This Row],[Cliente factura]],Tabla4[[NIT]:[TOTAL CREDITO]],3,FALSE),0))</f>
        <v>0</v>
      </c>
      <c r="R1868" s="9">
        <f>+IFERROR(VLOOKUP(Tabla3[[#This Row],[Cliente factura]],Tabla4[[NIT]:[TOTAL CREDITO]],6,FALSE),0)</f>
        <v>0</v>
      </c>
      <c r="S1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8" s="10" t="e">
        <f>VLOOKUP(Tabla3[[#This Row],[Razón social cliente factura]]&amp;Tabla3[[#This Row],[Desc. ciudad]],'Estandar de Rutas'!$C$1:$E$553,2,FALSE)</f>
        <v>#N/A</v>
      </c>
      <c r="U1868" s="130">
        <f>IFERROR(VLOOKUP(Tabla3[[#This Row],[Referencia]]&amp;Tabla3[[#This Row],[Desc detalle ext 1]],Tabla1[[Referencia-Color]:[Disponibilidad]],3,FALSE),0)</f>
        <v>0</v>
      </c>
      <c r="V1868" s="13"/>
      <c r="W1868" s="17">
        <f>+Tabla3[[#This Row],[Cant. Programada]]*Tabla3[[#This Row],[Precio unit]]</f>
        <v>0</v>
      </c>
      <c r="X1868" s="8"/>
      <c r="Y1868" s="8"/>
      <c r="Z1868" s="8" t="str">
        <f>+Tabla3[[#This Row],[Referencia]]&amp;Tabla3[[#This Row],[Desc detalle ext 1]]</f>
        <v/>
      </c>
      <c r="AA1868" s="128" t="e">
        <f>+VLOOKUP(Tabla3[[#This Row],[CODIGO2]],ESTANDAR!$B$3:$C$9,2,FALSE)</f>
        <v>#N/A</v>
      </c>
      <c r="AB1868" s="128" t="str">
        <f>+MID(Tabla3[[#This Row],['# Viaje]],10,1)</f>
        <v/>
      </c>
    </row>
    <row r="1869" spans="1:28" ht="15" hidden="1" customHeight="1">
      <c r="A1869" s="25"/>
      <c r="B1869" s="26"/>
      <c r="C1869" s="25"/>
      <c r="D1869" s="25"/>
      <c r="E1869" s="25"/>
      <c r="F1869" s="25"/>
      <c r="G1869" s="25"/>
      <c r="H1869" s="25"/>
      <c r="I1869" s="25"/>
      <c r="J1869" s="25"/>
      <c r="K1869" s="25"/>
      <c r="L1869" s="26"/>
      <c r="M1869" s="25"/>
      <c r="N1869" s="25"/>
      <c r="O1869" s="27"/>
      <c r="P1869" s="7"/>
      <c r="Q1869" s="16">
        <f>+IF(IFERROR(VLOOKUP(Tabla3[[#This Row],[Cliente factura]],Tabla4[[NIT]:[TOTAL CREDITO]],3,FALSE),0)="",0,IFERROR(VLOOKUP(Tabla3[[#This Row],[Cliente factura]],Tabla4[[NIT]:[TOTAL CREDITO]],3,FALSE),0))</f>
        <v>0</v>
      </c>
      <c r="R1869" s="9">
        <f>+IFERROR(VLOOKUP(Tabla3[[#This Row],[Cliente factura]],Tabla4[[NIT]:[TOTAL CREDITO]],6,FALSE),0)</f>
        <v>0</v>
      </c>
      <c r="S1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9" s="10" t="e">
        <f>VLOOKUP(Tabla3[[#This Row],[Razón social cliente factura]]&amp;Tabla3[[#This Row],[Desc. ciudad]],'Estandar de Rutas'!$C$1:$E$553,2,FALSE)</f>
        <v>#N/A</v>
      </c>
      <c r="U1869" s="130">
        <f>IFERROR(VLOOKUP(Tabla3[[#This Row],[Referencia]]&amp;Tabla3[[#This Row],[Desc detalle ext 1]],Tabla1[[Referencia-Color]:[Disponibilidad]],3,FALSE),0)</f>
        <v>0</v>
      </c>
      <c r="V1869" s="13"/>
      <c r="W1869" s="17">
        <f>+Tabla3[[#This Row],[Cant. Programada]]*Tabla3[[#This Row],[Precio unit]]</f>
        <v>0</v>
      </c>
      <c r="X1869" s="8"/>
      <c r="Y1869" s="8"/>
      <c r="Z1869" s="8" t="str">
        <f>+Tabla3[[#This Row],[Referencia]]&amp;Tabla3[[#This Row],[Desc detalle ext 1]]</f>
        <v/>
      </c>
      <c r="AA1869" s="128" t="e">
        <f>+VLOOKUP(Tabla3[[#This Row],[CODIGO2]],ESTANDAR!$B$3:$C$9,2,FALSE)</f>
        <v>#N/A</v>
      </c>
      <c r="AB1869" s="128" t="str">
        <f>+MID(Tabla3[[#This Row],['# Viaje]],10,1)</f>
        <v/>
      </c>
    </row>
    <row r="1870" spans="1:28" ht="15" hidden="1" customHeight="1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6"/>
      <c r="M1870" s="25"/>
      <c r="N1870" s="25"/>
      <c r="O1870" s="27"/>
      <c r="P1870" s="7"/>
      <c r="Q1870" s="16">
        <f>+IF(IFERROR(VLOOKUP(Tabla3[[#This Row],[Cliente factura]],Tabla4[[NIT]:[TOTAL CREDITO]],3,FALSE),0)="",0,IFERROR(VLOOKUP(Tabla3[[#This Row],[Cliente factura]],Tabla4[[NIT]:[TOTAL CREDITO]],3,FALSE),0))</f>
        <v>0</v>
      </c>
      <c r="R1870" s="9">
        <f>+IFERROR(VLOOKUP(Tabla3[[#This Row],[Cliente factura]],Tabla4[[NIT]:[TOTAL CREDITO]],6,FALSE),0)</f>
        <v>0</v>
      </c>
      <c r="S1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0" s="10" t="e">
        <f>VLOOKUP(Tabla3[[#This Row],[Razón social cliente factura]]&amp;Tabla3[[#This Row],[Desc. ciudad]],'Estandar de Rutas'!$C$1:$E$553,2,FALSE)</f>
        <v>#N/A</v>
      </c>
      <c r="U1870" s="130">
        <f>IFERROR(VLOOKUP(Tabla3[[#This Row],[Referencia]]&amp;Tabla3[[#This Row],[Desc detalle ext 1]],Tabla1[[Referencia-Color]:[Disponibilidad]],3,FALSE),0)</f>
        <v>0</v>
      </c>
      <c r="V1870" s="13"/>
      <c r="W1870" s="17">
        <f>+Tabla3[[#This Row],[Cant. Programada]]*Tabla3[[#This Row],[Precio unit]]</f>
        <v>0</v>
      </c>
      <c r="X1870" s="8"/>
      <c r="Y1870" s="8"/>
      <c r="Z1870" s="8" t="str">
        <f>+Tabla3[[#This Row],[Referencia]]&amp;Tabla3[[#This Row],[Desc detalle ext 1]]</f>
        <v/>
      </c>
      <c r="AA1870" s="128" t="e">
        <f>+VLOOKUP(Tabla3[[#This Row],[CODIGO2]],ESTANDAR!$B$3:$C$9,2,FALSE)</f>
        <v>#N/A</v>
      </c>
      <c r="AB1870" s="128" t="str">
        <f>+MID(Tabla3[[#This Row],['# Viaje]],10,1)</f>
        <v/>
      </c>
    </row>
    <row r="1871" spans="1:28" ht="15" hidden="1" customHeight="1">
      <c r="A1871" s="25"/>
      <c r="B1871" s="26"/>
      <c r="C1871" s="25"/>
      <c r="D1871" s="25"/>
      <c r="E1871" s="25"/>
      <c r="F1871" s="25"/>
      <c r="G1871" s="25"/>
      <c r="H1871" s="25"/>
      <c r="I1871" s="25"/>
      <c r="J1871" s="25"/>
      <c r="K1871" s="25"/>
      <c r="L1871" s="26"/>
      <c r="M1871" s="25"/>
      <c r="N1871" s="25"/>
      <c r="O1871" s="27"/>
      <c r="P1871" s="7"/>
      <c r="Q1871" s="16">
        <f>+IF(IFERROR(VLOOKUP(Tabla3[[#This Row],[Cliente factura]],Tabla4[[NIT]:[TOTAL CREDITO]],3,FALSE),0)="",0,IFERROR(VLOOKUP(Tabla3[[#This Row],[Cliente factura]],Tabla4[[NIT]:[TOTAL CREDITO]],3,FALSE),0))</f>
        <v>0</v>
      </c>
      <c r="R1871" s="9">
        <f>+IFERROR(VLOOKUP(Tabla3[[#This Row],[Cliente factura]],Tabla4[[NIT]:[TOTAL CREDITO]],6,FALSE),0)</f>
        <v>0</v>
      </c>
      <c r="S1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1" s="10" t="e">
        <f>VLOOKUP(Tabla3[[#This Row],[Razón social cliente factura]]&amp;Tabla3[[#This Row],[Desc. ciudad]],'Estandar de Rutas'!$C$1:$E$553,2,FALSE)</f>
        <v>#N/A</v>
      </c>
      <c r="U1871" s="130">
        <f>IFERROR(VLOOKUP(Tabla3[[#This Row],[Referencia]]&amp;Tabla3[[#This Row],[Desc detalle ext 1]],Tabla1[[Referencia-Color]:[Disponibilidad]],3,FALSE),0)</f>
        <v>0</v>
      </c>
      <c r="V1871" s="13"/>
      <c r="W1871" s="17">
        <f>+Tabla3[[#This Row],[Cant. Programada]]*Tabla3[[#This Row],[Precio unit]]</f>
        <v>0</v>
      </c>
      <c r="X1871" s="8"/>
      <c r="Y1871" s="8"/>
      <c r="Z1871" s="8" t="str">
        <f>+Tabla3[[#This Row],[Referencia]]&amp;Tabla3[[#This Row],[Desc detalle ext 1]]</f>
        <v/>
      </c>
      <c r="AA1871" s="128" t="e">
        <f>+VLOOKUP(Tabla3[[#This Row],[CODIGO2]],ESTANDAR!$B$3:$C$9,2,FALSE)</f>
        <v>#N/A</v>
      </c>
      <c r="AB1871" s="128" t="str">
        <f>+MID(Tabla3[[#This Row],['# Viaje]],10,1)</f>
        <v/>
      </c>
    </row>
    <row r="1872" spans="1:28" ht="15" hidden="1" customHeight="1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6"/>
      <c r="M1872" s="25"/>
      <c r="N1872" s="25"/>
      <c r="O1872" s="27"/>
      <c r="P1872" s="7"/>
      <c r="Q1872" s="16">
        <f>+IF(IFERROR(VLOOKUP(Tabla3[[#This Row],[Cliente factura]],Tabla4[[NIT]:[TOTAL CREDITO]],3,FALSE),0)="",0,IFERROR(VLOOKUP(Tabla3[[#This Row],[Cliente factura]],Tabla4[[NIT]:[TOTAL CREDITO]],3,FALSE),0))</f>
        <v>0</v>
      </c>
      <c r="R1872" s="9">
        <f>+IFERROR(VLOOKUP(Tabla3[[#This Row],[Cliente factura]],Tabla4[[NIT]:[TOTAL CREDITO]],6,FALSE),0)</f>
        <v>0</v>
      </c>
      <c r="S1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2" s="10" t="e">
        <f>VLOOKUP(Tabla3[[#This Row],[Razón social cliente factura]]&amp;Tabla3[[#This Row],[Desc. ciudad]],'Estandar de Rutas'!$C$1:$E$553,2,FALSE)</f>
        <v>#N/A</v>
      </c>
      <c r="U1872" s="130">
        <f>IFERROR(VLOOKUP(Tabla3[[#This Row],[Referencia]]&amp;Tabla3[[#This Row],[Desc detalle ext 1]],Tabla1[[Referencia-Color]:[Disponibilidad]],3,FALSE),0)</f>
        <v>0</v>
      </c>
      <c r="V1872" s="13"/>
      <c r="W1872" s="17">
        <f>+Tabla3[[#This Row],[Cant. Programada]]*Tabla3[[#This Row],[Precio unit]]</f>
        <v>0</v>
      </c>
      <c r="X1872" s="8"/>
      <c r="Y1872" s="8"/>
      <c r="Z1872" s="8" t="str">
        <f>+Tabla3[[#This Row],[Referencia]]&amp;Tabla3[[#This Row],[Desc detalle ext 1]]</f>
        <v/>
      </c>
      <c r="AA1872" s="128" t="e">
        <f>+VLOOKUP(Tabla3[[#This Row],[CODIGO2]],ESTANDAR!$B$3:$C$9,2,FALSE)</f>
        <v>#N/A</v>
      </c>
      <c r="AB1872" s="128" t="str">
        <f>+MID(Tabla3[[#This Row],['# Viaje]],10,1)</f>
        <v/>
      </c>
    </row>
    <row r="1873" spans="1:28" ht="15" hidden="1" customHeight="1">
      <c r="A1873" s="25"/>
      <c r="B1873" s="26"/>
      <c r="C1873" s="25"/>
      <c r="D1873" s="25"/>
      <c r="E1873" s="25"/>
      <c r="F1873" s="25"/>
      <c r="G1873" s="25"/>
      <c r="H1873" s="25"/>
      <c r="I1873" s="25"/>
      <c r="J1873" s="25"/>
      <c r="K1873" s="25"/>
      <c r="L1873" s="26"/>
      <c r="M1873" s="25"/>
      <c r="N1873" s="25"/>
      <c r="O1873" s="27"/>
      <c r="P1873" s="7"/>
      <c r="Q1873" s="16">
        <f>+IF(IFERROR(VLOOKUP(Tabla3[[#This Row],[Cliente factura]],Tabla4[[NIT]:[TOTAL CREDITO]],3,FALSE),0)="",0,IFERROR(VLOOKUP(Tabla3[[#This Row],[Cliente factura]],Tabla4[[NIT]:[TOTAL CREDITO]],3,FALSE),0))</f>
        <v>0</v>
      </c>
      <c r="R1873" s="9">
        <f>+IFERROR(VLOOKUP(Tabla3[[#This Row],[Cliente factura]],Tabla4[[NIT]:[TOTAL CREDITO]],6,FALSE),0)</f>
        <v>0</v>
      </c>
      <c r="S1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3" s="10" t="e">
        <f>VLOOKUP(Tabla3[[#This Row],[Razón social cliente factura]]&amp;Tabla3[[#This Row],[Desc. ciudad]],'Estandar de Rutas'!$C$1:$E$553,2,FALSE)</f>
        <v>#N/A</v>
      </c>
      <c r="U1873" s="130">
        <f>IFERROR(VLOOKUP(Tabla3[[#This Row],[Referencia]]&amp;Tabla3[[#This Row],[Desc detalle ext 1]],Tabla1[[Referencia-Color]:[Disponibilidad]],3,FALSE),0)</f>
        <v>0</v>
      </c>
      <c r="V1873" s="13"/>
      <c r="W1873" s="17">
        <f>+Tabla3[[#This Row],[Cant. Programada]]*Tabla3[[#This Row],[Precio unit]]</f>
        <v>0</v>
      </c>
      <c r="X1873" s="8"/>
      <c r="Y1873" s="8"/>
      <c r="Z1873" s="8" t="str">
        <f>+Tabla3[[#This Row],[Referencia]]&amp;Tabla3[[#This Row],[Desc detalle ext 1]]</f>
        <v/>
      </c>
      <c r="AA1873" s="128" t="e">
        <f>+VLOOKUP(Tabla3[[#This Row],[CODIGO2]],ESTANDAR!$B$3:$C$9,2,FALSE)</f>
        <v>#N/A</v>
      </c>
      <c r="AB1873" s="128" t="str">
        <f>+MID(Tabla3[[#This Row],['# Viaje]],10,1)</f>
        <v/>
      </c>
    </row>
    <row r="1874" spans="1:28" ht="15" hidden="1" customHeight="1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6"/>
      <c r="M1874" s="25"/>
      <c r="N1874" s="25"/>
      <c r="O1874" s="27"/>
      <c r="P1874" s="7"/>
      <c r="Q1874" s="16">
        <f>+IF(IFERROR(VLOOKUP(Tabla3[[#This Row],[Cliente factura]],Tabla4[[NIT]:[TOTAL CREDITO]],3,FALSE),0)="",0,IFERROR(VLOOKUP(Tabla3[[#This Row],[Cliente factura]],Tabla4[[NIT]:[TOTAL CREDITO]],3,FALSE),0))</f>
        <v>0</v>
      </c>
      <c r="R1874" s="9">
        <f>+IFERROR(VLOOKUP(Tabla3[[#This Row],[Cliente factura]],Tabla4[[NIT]:[TOTAL CREDITO]],6,FALSE),0)</f>
        <v>0</v>
      </c>
      <c r="S1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4" s="10" t="e">
        <f>VLOOKUP(Tabla3[[#This Row],[Razón social cliente factura]]&amp;Tabla3[[#This Row],[Desc. ciudad]],'Estandar de Rutas'!$C$1:$E$553,2,FALSE)</f>
        <v>#N/A</v>
      </c>
      <c r="U1874" s="130">
        <f>IFERROR(VLOOKUP(Tabla3[[#This Row],[Referencia]]&amp;Tabla3[[#This Row],[Desc detalle ext 1]],Tabla1[[Referencia-Color]:[Disponibilidad]],3,FALSE),0)</f>
        <v>0</v>
      </c>
      <c r="V1874" s="13"/>
      <c r="W1874" s="17">
        <f>+Tabla3[[#This Row],[Cant. Programada]]*Tabla3[[#This Row],[Precio unit]]</f>
        <v>0</v>
      </c>
      <c r="X1874" s="8"/>
      <c r="Y1874" s="8"/>
      <c r="Z1874" s="8" t="str">
        <f>+Tabla3[[#This Row],[Referencia]]&amp;Tabla3[[#This Row],[Desc detalle ext 1]]</f>
        <v/>
      </c>
      <c r="AA1874" s="128" t="e">
        <f>+VLOOKUP(Tabla3[[#This Row],[CODIGO2]],ESTANDAR!$B$3:$C$9,2,FALSE)</f>
        <v>#N/A</v>
      </c>
      <c r="AB1874" s="128" t="str">
        <f>+MID(Tabla3[[#This Row],['# Viaje]],10,1)</f>
        <v/>
      </c>
    </row>
    <row r="1875" spans="1:28" ht="15" hidden="1" customHeight="1">
      <c r="A1875" s="25"/>
      <c r="B1875" s="26"/>
      <c r="C1875" s="25"/>
      <c r="D1875" s="25"/>
      <c r="E1875" s="25"/>
      <c r="F1875" s="25"/>
      <c r="G1875" s="25"/>
      <c r="H1875" s="25"/>
      <c r="I1875" s="25"/>
      <c r="J1875" s="25"/>
      <c r="K1875" s="25"/>
      <c r="L1875" s="26"/>
      <c r="M1875" s="25"/>
      <c r="N1875" s="25"/>
      <c r="O1875" s="27"/>
      <c r="P1875" s="7"/>
      <c r="Q1875" s="16">
        <f>+IF(IFERROR(VLOOKUP(Tabla3[[#This Row],[Cliente factura]],Tabla4[[NIT]:[TOTAL CREDITO]],3,FALSE),0)="",0,IFERROR(VLOOKUP(Tabla3[[#This Row],[Cliente factura]],Tabla4[[NIT]:[TOTAL CREDITO]],3,FALSE),0))</f>
        <v>0</v>
      </c>
      <c r="R1875" s="9">
        <f>+IFERROR(VLOOKUP(Tabla3[[#This Row],[Cliente factura]],Tabla4[[NIT]:[TOTAL CREDITO]],6,FALSE),0)</f>
        <v>0</v>
      </c>
      <c r="S1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5" s="10" t="e">
        <f>VLOOKUP(Tabla3[[#This Row],[Razón social cliente factura]]&amp;Tabla3[[#This Row],[Desc. ciudad]],'Estandar de Rutas'!$C$1:$E$553,2,FALSE)</f>
        <v>#N/A</v>
      </c>
      <c r="U1875" s="130">
        <f>IFERROR(VLOOKUP(Tabla3[[#This Row],[Referencia]]&amp;Tabla3[[#This Row],[Desc detalle ext 1]],Tabla1[[Referencia-Color]:[Disponibilidad]],3,FALSE),0)</f>
        <v>0</v>
      </c>
      <c r="V1875" s="13"/>
      <c r="W1875" s="17">
        <f>+Tabla3[[#This Row],[Cant. Programada]]*Tabla3[[#This Row],[Precio unit]]</f>
        <v>0</v>
      </c>
      <c r="X1875" s="8"/>
      <c r="Y1875" s="8"/>
      <c r="Z1875" s="8" t="str">
        <f>+Tabla3[[#This Row],[Referencia]]&amp;Tabla3[[#This Row],[Desc detalle ext 1]]</f>
        <v/>
      </c>
      <c r="AA1875" s="128" t="e">
        <f>+VLOOKUP(Tabla3[[#This Row],[CODIGO2]],ESTANDAR!$B$3:$C$9,2,FALSE)</f>
        <v>#N/A</v>
      </c>
      <c r="AB1875" s="128" t="str">
        <f>+MID(Tabla3[[#This Row],['# Viaje]],10,1)</f>
        <v/>
      </c>
    </row>
    <row r="1876" spans="1:28" ht="15" hidden="1" customHeight="1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6"/>
      <c r="M1876" s="25"/>
      <c r="N1876" s="25"/>
      <c r="O1876" s="27"/>
      <c r="P1876" s="7"/>
      <c r="Q1876" s="16">
        <f>+IF(IFERROR(VLOOKUP(Tabla3[[#This Row],[Cliente factura]],Tabla4[[NIT]:[TOTAL CREDITO]],3,FALSE),0)="",0,IFERROR(VLOOKUP(Tabla3[[#This Row],[Cliente factura]],Tabla4[[NIT]:[TOTAL CREDITO]],3,FALSE),0))</f>
        <v>0</v>
      </c>
      <c r="R1876" s="9">
        <f>+IFERROR(VLOOKUP(Tabla3[[#This Row],[Cliente factura]],Tabla4[[NIT]:[TOTAL CREDITO]],6,FALSE),0)</f>
        <v>0</v>
      </c>
      <c r="S1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6" s="10" t="e">
        <f>VLOOKUP(Tabla3[[#This Row],[Razón social cliente factura]]&amp;Tabla3[[#This Row],[Desc. ciudad]],'Estandar de Rutas'!$C$1:$E$553,2,FALSE)</f>
        <v>#N/A</v>
      </c>
      <c r="U1876" s="130">
        <f>IFERROR(VLOOKUP(Tabla3[[#This Row],[Referencia]]&amp;Tabla3[[#This Row],[Desc detalle ext 1]],Tabla1[[Referencia-Color]:[Disponibilidad]],3,FALSE),0)</f>
        <v>0</v>
      </c>
      <c r="V1876" s="13"/>
      <c r="W1876" s="17">
        <f>+Tabla3[[#This Row],[Cant. Programada]]*Tabla3[[#This Row],[Precio unit]]</f>
        <v>0</v>
      </c>
      <c r="X1876" s="8"/>
      <c r="Y1876" s="8"/>
      <c r="Z1876" s="8" t="str">
        <f>+Tabla3[[#This Row],[Referencia]]&amp;Tabla3[[#This Row],[Desc detalle ext 1]]</f>
        <v/>
      </c>
      <c r="AA1876" s="128" t="e">
        <f>+VLOOKUP(Tabla3[[#This Row],[CODIGO2]],ESTANDAR!$B$3:$C$9,2,FALSE)</f>
        <v>#N/A</v>
      </c>
      <c r="AB1876" s="128" t="str">
        <f>+MID(Tabla3[[#This Row],['# Viaje]],10,1)</f>
        <v/>
      </c>
    </row>
    <row r="1877" spans="1:28" ht="15" hidden="1" customHeight="1">
      <c r="A1877" s="25"/>
      <c r="B1877" s="26"/>
      <c r="C1877" s="25"/>
      <c r="D1877" s="25"/>
      <c r="E1877" s="25"/>
      <c r="F1877" s="25"/>
      <c r="G1877" s="25"/>
      <c r="H1877" s="25"/>
      <c r="I1877" s="25"/>
      <c r="J1877" s="25"/>
      <c r="K1877" s="25"/>
      <c r="L1877" s="26"/>
      <c r="M1877" s="25"/>
      <c r="N1877" s="25"/>
      <c r="O1877" s="27"/>
      <c r="P1877" s="7"/>
      <c r="Q1877" s="16">
        <f>+IF(IFERROR(VLOOKUP(Tabla3[[#This Row],[Cliente factura]],Tabla4[[NIT]:[TOTAL CREDITO]],3,FALSE),0)="",0,IFERROR(VLOOKUP(Tabla3[[#This Row],[Cliente factura]],Tabla4[[NIT]:[TOTAL CREDITO]],3,FALSE),0))</f>
        <v>0</v>
      </c>
      <c r="R1877" s="9">
        <f>+IFERROR(VLOOKUP(Tabla3[[#This Row],[Cliente factura]],Tabla4[[NIT]:[TOTAL CREDITO]],6,FALSE),0)</f>
        <v>0</v>
      </c>
      <c r="S1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7" s="10" t="e">
        <f>VLOOKUP(Tabla3[[#This Row],[Razón social cliente factura]]&amp;Tabla3[[#This Row],[Desc. ciudad]],'Estandar de Rutas'!$C$1:$E$553,2,FALSE)</f>
        <v>#N/A</v>
      </c>
      <c r="U1877" s="130">
        <f>IFERROR(VLOOKUP(Tabla3[[#This Row],[Referencia]]&amp;Tabla3[[#This Row],[Desc detalle ext 1]],Tabla1[[Referencia-Color]:[Disponibilidad]],3,FALSE),0)</f>
        <v>0</v>
      </c>
      <c r="V1877" s="13"/>
      <c r="W1877" s="17">
        <f>+Tabla3[[#This Row],[Cant. Programada]]*Tabla3[[#This Row],[Precio unit]]</f>
        <v>0</v>
      </c>
      <c r="X1877" s="8"/>
      <c r="Y1877" s="8"/>
      <c r="Z1877" s="8" t="str">
        <f>+Tabla3[[#This Row],[Referencia]]&amp;Tabla3[[#This Row],[Desc detalle ext 1]]</f>
        <v/>
      </c>
      <c r="AA1877" s="128" t="e">
        <f>+VLOOKUP(Tabla3[[#This Row],[CODIGO2]],ESTANDAR!$B$3:$C$9,2,FALSE)</f>
        <v>#N/A</v>
      </c>
      <c r="AB1877" s="128" t="str">
        <f>+MID(Tabla3[[#This Row],['# Viaje]],10,1)</f>
        <v/>
      </c>
    </row>
    <row r="1878" spans="1:28" ht="15" hidden="1" customHeight="1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6"/>
      <c r="M1878" s="25"/>
      <c r="N1878" s="25"/>
      <c r="O1878" s="27"/>
      <c r="P1878" s="7"/>
      <c r="Q1878" s="16">
        <f>+IF(IFERROR(VLOOKUP(Tabla3[[#This Row],[Cliente factura]],Tabla4[[NIT]:[TOTAL CREDITO]],3,FALSE),0)="",0,IFERROR(VLOOKUP(Tabla3[[#This Row],[Cliente factura]],Tabla4[[NIT]:[TOTAL CREDITO]],3,FALSE),0))</f>
        <v>0</v>
      </c>
      <c r="R1878" s="9">
        <f>+IFERROR(VLOOKUP(Tabla3[[#This Row],[Cliente factura]],Tabla4[[NIT]:[TOTAL CREDITO]],6,FALSE),0)</f>
        <v>0</v>
      </c>
      <c r="S1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8" s="10" t="e">
        <f>VLOOKUP(Tabla3[[#This Row],[Razón social cliente factura]]&amp;Tabla3[[#This Row],[Desc. ciudad]],'Estandar de Rutas'!$C$1:$E$553,2,FALSE)</f>
        <v>#N/A</v>
      </c>
      <c r="U1878" s="130">
        <f>IFERROR(VLOOKUP(Tabla3[[#This Row],[Referencia]]&amp;Tabla3[[#This Row],[Desc detalle ext 1]],Tabla1[[Referencia-Color]:[Disponibilidad]],3,FALSE),0)</f>
        <v>0</v>
      </c>
      <c r="V1878" s="13"/>
      <c r="W1878" s="17">
        <f>+Tabla3[[#This Row],[Cant. Programada]]*Tabla3[[#This Row],[Precio unit]]</f>
        <v>0</v>
      </c>
      <c r="X1878" s="8"/>
      <c r="Y1878" s="8"/>
      <c r="Z1878" s="8" t="str">
        <f>+Tabla3[[#This Row],[Referencia]]&amp;Tabla3[[#This Row],[Desc detalle ext 1]]</f>
        <v/>
      </c>
      <c r="AA1878" s="128" t="e">
        <f>+VLOOKUP(Tabla3[[#This Row],[CODIGO2]],ESTANDAR!$B$3:$C$9,2,FALSE)</f>
        <v>#N/A</v>
      </c>
      <c r="AB1878" s="128" t="str">
        <f>+MID(Tabla3[[#This Row],['# Viaje]],10,1)</f>
        <v/>
      </c>
    </row>
    <row r="1879" spans="1:28" ht="15" hidden="1" customHeight="1">
      <c r="A1879" s="25"/>
      <c r="B1879" s="26"/>
      <c r="C1879" s="25"/>
      <c r="D1879" s="25"/>
      <c r="E1879" s="25"/>
      <c r="F1879" s="25"/>
      <c r="G1879" s="25"/>
      <c r="H1879" s="25"/>
      <c r="I1879" s="25"/>
      <c r="J1879" s="25"/>
      <c r="K1879" s="25"/>
      <c r="L1879" s="26"/>
      <c r="M1879" s="25"/>
      <c r="N1879" s="25"/>
      <c r="O1879" s="27"/>
      <c r="P1879" s="7"/>
      <c r="Q1879" s="16">
        <f>+IF(IFERROR(VLOOKUP(Tabla3[[#This Row],[Cliente factura]],Tabla4[[NIT]:[TOTAL CREDITO]],3,FALSE),0)="",0,IFERROR(VLOOKUP(Tabla3[[#This Row],[Cliente factura]],Tabla4[[NIT]:[TOTAL CREDITO]],3,FALSE),0))</f>
        <v>0</v>
      </c>
      <c r="R1879" s="9">
        <f>+IFERROR(VLOOKUP(Tabla3[[#This Row],[Cliente factura]],Tabla4[[NIT]:[TOTAL CREDITO]],6,FALSE),0)</f>
        <v>0</v>
      </c>
      <c r="S1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9" s="10" t="e">
        <f>VLOOKUP(Tabla3[[#This Row],[Razón social cliente factura]]&amp;Tabla3[[#This Row],[Desc. ciudad]],'Estandar de Rutas'!$C$1:$E$553,2,FALSE)</f>
        <v>#N/A</v>
      </c>
      <c r="U1879" s="130">
        <f>IFERROR(VLOOKUP(Tabla3[[#This Row],[Referencia]]&amp;Tabla3[[#This Row],[Desc detalle ext 1]],Tabla1[[Referencia-Color]:[Disponibilidad]],3,FALSE),0)</f>
        <v>0</v>
      </c>
      <c r="V1879" s="13"/>
      <c r="W1879" s="17">
        <f>+Tabla3[[#This Row],[Cant. Programada]]*Tabla3[[#This Row],[Precio unit]]</f>
        <v>0</v>
      </c>
      <c r="X1879" s="8"/>
      <c r="Y1879" s="8"/>
      <c r="Z1879" s="8" t="str">
        <f>+Tabla3[[#This Row],[Referencia]]&amp;Tabla3[[#This Row],[Desc detalle ext 1]]</f>
        <v/>
      </c>
      <c r="AA1879" s="128" t="e">
        <f>+VLOOKUP(Tabla3[[#This Row],[CODIGO2]],ESTANDAR!$B$3:$C$9,2,FALSE)</f>
        <v>#N/A</v>
      </c>
      <c r="AB1879" s="128" t="str">
        <f>+MID(Tabla3[[#This Row],['# Viaje]],10,1)</f>
        <v/>
      </c>
    </row>
    <row r="1880" spans="1:28" ht="15" hidden="1" customHeight="1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6"/>
      <c r="M1880" s="25"/>
      <c r="N1880" s="25"/>
      <c r="O1880" s="27"/>
      <c r="P1880" s="7"/>
      <c r="Q1880" s="16">
        <f>+IF(IFERROR(VLOOKUP(Tabla3[[#This Row],[Cliente factura]],Tabla4[[NIT]:[TOTAL CREDITO]],3,FALSE),0)="",0,IFERROR(VLOOKUP(Tabla3[[#This Row],[Cliente factura]],Tabla4[[NIT]:[TOTAL CREDITO]],3,FALSE),0))</f>
        <v>0</v>
      </c>
      <c r="R1880" s="9">
        <f>+IFERROR(VLOOKUP(Tabla3[[#This Row],[Cliente factura]],Tabla4[[NIT]:[TOTAL CREDITO]],6,FALSE),0)</f>
        <v>0</v>
      </c>
      <c r="S1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0" s="10" t="e">
        <f>VLOOKUP(Tabla3[[#This Row],[Razón social cliente factura]]&amp;Tabla3[[#This Row],[Desc. ciudad]],'Estandar de Rutas'!$C$1:$E$553,2,FALSE)</f>
        <v>#N/A</v>
      </c>
      <c r="U1880" s="130">
        <f>IFERROR(VLOOKUP(Tabla3[[#This Row],[Referencia]]&amp;Tabla3[[#This Row],[Desc detalle ext 1]],Tabla1[[Referencia-Color]:[Disponibilidad]],3,FALSE),0)</f>
        <v>0</v>
      </c>
      <c r="V1880" s="13"/>
      <c r="W1880" s="17">
        <f>+Tabla3[[#This Row],[Cant. Programada]]*Tabla3[[#This Row],[Precio unit]]</f>
        <v>0</v>
      </c>
      <c r="X1880" s="8"/>
      <c r="Y1880" s="8"/>
      <c r="Z1880" s="8" t="str">
        <f>+Tabla3[[#This Row],[Referencia]]&amp;Tabla3[[#This Row],[Desc detalle ext 1]]</f>
        <v/>
      </c>
      <c r="AA1880" s="128" t="e">
        <f>+VLOOKUP(Tabla3[[#This Row],[CODIGO2]],ESTANDAR!$B$3:$C$9,2,FALSE)</f>
        <v>#N/A</v>
      </c>
      <c r="AB1880" s="128" t="str">
        <f>+MID(Tabla3[[#This Row],['# Viaje]],10,1)</f>
        <v/>
      </c>
    </row>
    <row r="1881" spans="1:28" ht="15" hidden="1" customHeight="1">
      <c r="A1881" s="25"/>
      <c r="B1881" s="26"/>
      <c r="C1881" s="25"/>
      <c r="D1881" s="25"/>
      <c r="E1881" s="25"/>
      <c r="F1881" s="25"/>
      <c r="G1881" s="25"/>
      <c r="H1881" s="25"/>
      <c r="I1881" s="25"/>
      <c r="J1881" s="25"/>
      <c r="K1881" s="25"/>
      <c r="L1881" s="26"/>
      <c r="M1881" s="25"/>
      <c r="N1881" s="25"/>
      <c r="O1881" s="27"/>
      <c r="P1881" s="7"/>
      <c r="Q1881" s="16">
        <f>+IF(IFERROR(VLOOKUP(Tabla3[[#This Row],[Cliente factura]],Tabla4[[NIT]:[TOTAL CREDITO]],3,FALSE),0)="",0,IFERROR(VLOOKUP(Tabla3[[#This Row],[Cliente factura]],Tabla4[[NIT]:[TOTAL CREDITO]],3,FALSE),0))</f>
        <v>0</v>
      </c>
      <c r="R1881" s="9">
        <f>+IFERROR(VLOOKUP(Tabla3[[#This Row],[Cliente factura]],Tabla4[[NIT]:[TOTAL CREDITO]],6,FALSE),0)</f>
        <v>0</v>
      </c>
      <c r="S1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1" s="10" t="e">
        <f>VLOOKUP(Tabla3[[#This Row],[Razón social cliente factura]]&amp;Tabla3[[#This Row],[Desc. ciudad]],'Estandar de Rutas'!$C$1:$E$553,2,FALSE)</f>
        <v>#N/A</v>
      </c>
      <c r="U1881" s="130">
        <f>IFERROR(VLOOKUP(Tabla3[[#This Row],[Referencia]]&amp;Tabla3[[#This Row],[Desc detalle ext 1]],Tabla1[[Referencia-Color]:[Disponibilidad]],3,FALSE),0)</f>
        <v>0</v>
      </c>
      <c r="V1881" s="13"/>
      <c r="W1881" s="17">
        <f>+Tabla3[[#This Row],[Cant. Programada]]*Tabla3[[#This Row],[Precio unit]]</f>
        <v>0</v>
      </c>
      <c r="X1881" s="8"/>
      <c r="Y1881" s="8"/>
      <c r="Z1881" s="8" t="str">
        <f>+Tabla3[[#This Row],[Referencia]]&amp;Tabla3[[#This Row],[Desc detalle ext 1]]</f>
        <v/>
      </c>
      <c r="AA1881" s="128" t="e">
        <f>+VLOOKUP(Tabla3[[#This Row],[CODIGO2]],ESTANDAR!$B$3:$C$9,2,FALSE)</f>
        <v>#N/A</v>
      </c>
      <c r="AB1881" s="128" t="str">
        <f>+MID(Tabla3[[#This Row],['# Viaje]],10,1)</f>
        <v/>
      </c>
    </row>
    <row r="1882" spans="1:28" ht="15" hidden="1" customHeight="1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6"/>
      <c r="M1882" s="25"/>
      <c r="N1882" s="25"/>
      <c r="O1882" s="27"/>
      <c r="P1882" s="7"/>
      <c r="Q1882" s="16">
        <f>+IF(IFERROR(VLOOKUP(Tabla3[[#This Row],[Cliente factura]],Tabla4[[NIT]:[TOTAL CREDITO]],3,FALSE),0)="",0,IFERROR(VLOOKUP(Tabla3[[#This Row],[Cliente factura]],Tabla4[[NIT]:[TOTAL CREDITO]],3,FALSE),0))</f>
        <v>0</v>
      </c>
      <c r="R1882" s="9">
        <f>+IFERROR(VLOOKUP(Tabla3[[#This Row],[Cliente factura]],Tabla4[[NIT]:[TOTAL CREDITO]],6,FALSE),0)</f>
        <v>0</v>
      </c>
      <c r="S1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2" s="10" t="e">
        <f>VLOOKUP(Tabla3[[#This Row],[Razón social cliente factura]]&amp;Tabla3[[#This Row],[Desc. ciudad]],'Estandar de Rutas'!$C$1:$E$553,2,FALSE)</f>
        <v>#N/A</v>
      </c>
      <c r="U1882" s="130">
        <f>IFERROR(VLOOKUP(Tabla3[[#This Row],[Referencia]]&amp;Tabla3[[#This Row],[Desc detalle ext 1]],Tabla1[[Referencia-Color]:[Disponibilidad]],3,FALSE),0)</f>
        <v>0</v>
      </c>
      <c r="V1882" s="13"/>
      <c r="W1882" s="17">
        <f>+Tabla3[[#This Row],[Cant. Programada]]*Tabla3[[#This Row],[Precio unit]]</f>
        <v>0</v>
      </c>
      <c r="X1882" s="8"/>
      <c r="Y1882" s="8"/>
      <c r="Z1882" s="8" t="str">
        <f>+Tabla3[[#This Row],[Referencia]]&amp;Tabla3[[#This Row],[Desc detalle ext 1]]</f>
        <v/>
      </c>
      <c r="AA1882" s="128" t="e">
        <f>+VLOOKUP(Tabla3[[#This Row],[CODIGO2]],ESTANDAR!$B$3:$C$9,2,FALSE)</f>
        <v>#N/A</v>
      </c>
      <c r="AB1882" s="128" t="str">
        <f>+MID(Tabla3[[#This Row],['# Viaje]],10,1)</f>
        <v/>
      </c>
    </row>
    <row r="1883" spans="1:28" ht="15" hidden="1" customHeight="1">
      <c r="A1883" s="25"/>
      <c r="B1883" s="26"/>
      <c r="C1883" s="25"/>
      <c r="D1883" s="25"/>
      <c r="E1883" s="25"/>
      <c r="F1883" s="25"/>
      <c r="G1883" s="25"/>
      <c r="H1883" s="25"/>
      <c r="I1883" s="25"/>
      <c r="J1883" s="25"/>
      <c r="K1883" s="25"/>
      <c r="L1883" s="26"/>
      <c r="M1883" s="25"/>
      <c r="N1883" s="25"/>
      <c r="O1883" s="27"/>
      <c r="P1883" s="7"/>
      <c r="Q1883" s="16">
        <f>+IF(IFERROR(VLOOKUP(Tabla3[[#This Row],[Cliente factura]],Tabla4[[NIT]:[TOTAL CREDITO]],3,FALSE),0)="",0,IFERROR(VLOOKUP(Tabla3[[#This Row],[Cliente factura]],Tabla4[[NIT]:[TOTAL CREDITO]],3,FALSE),0))</f>
        <v>0</v>
      </c>
      <c r="R1883" s="9">
        <f>+IFERROR(VLOOKUP(Tabla3[[#This Row],[Cliente factura]],Tabla4[[NIT]:[TOTAL CREDITO]],6,FALSE),0)</f>
        <v>0</v>
      </c>
      <c r="S1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3" s="10" t="e">
        <f>VLOOKUP(Tabla3[[#This Row],[Razón social cliente factura]]&amp;Tabla3[[#This Row],[Desc. ciudad]],'Estandar de Rutas'!$C$1:$E$553,2,FALSE)</f>
        <v>#N/A</v>
      </c>
      <c r="U1883" s="130">
        <f>IFERROR(VLOOKUP(Tabla3[[#This Row],[Referencia]]&amp;Tabla3[[#This Row],[Desc detalle ext 1]],Tabla1[[Referencia-Color]:[Disponibilidad]],3,FALSE),0)</f>
        <v>0</v>
      </c>
      <c r="V1883" s="13"/>
      <c r="W1883" s="17">
        <f>+Tabla3[[#This Row],[Cant. Programada]]*Tabla3[[#This Row],[Precio unit]]</f>
        <v>0</v>
      </c>
      <c r="X1883" s="8"/>
      <c r="Y1883" s="8"/>
      <c r="Z1883" s="8" t="str">
        <f>+Tabla3[[#This Row],[Referencia]]&amp;Tabla3[[#This Row],[Desc detalle ext 1]]</f>
        <v/>
      </c>
      <c r="AA1883" s="128" t="e">
        <f>+VLOOKUP(Tabla3[[#This Row],[CODIGO2]],ESTANDAR!$B$3:$C$9,2,FALSE)</f>
        <v>#N/A</v>
      </c>
      <c r="AB1883" s="128" t="str">
        <f>+MID(Tabla3[[#This Row],['# Viaje]],10,1)</f>
        <v/>
      </c>
    </row>
    <row r="1884" spans="1:28" ht="15" hidden="1" customHeight="1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6"/>
      <c r="M1884" s="25"/>
      <c r="N1884" s="25"/>
      <c r="O1884" s="27"/>
      <c r="P1884" s="7"/>
      <c r="Q1884" s="16">
        <f>+IF(IFERROR(VLOOKUP(Tabla3[[#This Row],[Cliente factura]],Tabla4[[NIT]:[TOTAL CREDITO]],3,FALSE),0)="",0,IFERROR(VLOOKUP(Tabla3[[#This Row],[Cliente factura]],Tabla4[[NIT]:[TOTAL CREDITO]],3,FALSE),0))</f>
        <v>0</v>
      </c>
      <c r="R1884" s="9">
        <f>+IFERROR(VLOOKUP(Tabla3[[#This Row],[Cliente factura]],Tabla4[[NIT]:[TOTAL CREDITO]],6,FALSE),0)</f>
        <v>0</v>
      </c>
      <c r="S1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4" s="10" t="e">
        <f>VLOOKUP(Tabla3[[#This Row],[Razón social cliente factura]]&amp;Tabla3[[#This Row],[Desc. ciudad]],'Estandar de Rutas'!$C$1:$E$553,2,FALSE)</f>
        <v>#N/A</v>
      </c>
      <c r="U1884" s="130">
        <f>IFERROR(VLOOKUP(Tabla3[[#This Row],[Referencia]]&amp;Tabla3[[#This Row],[Desc detalle ext 1]],Tabla1[[Referencia-Color]:[Disponibilidad]],3,FALSE),0)</f>
        <v>0</v>
      </c>
      <c r="V1884" s="13"/>
      <c r="W1884" s="17">
        <f>+Tabla3[[#This Row],[Cant. Programada]]*Tabla3[[#This Row],[Precio unit]]</f>
        <v>0</v>
      </c>
      <c r="X1884" s="8"/>
      <c r="Y1884" s="8"/>
      <c r="Z1884" s="8" t="str">
        <f>+Tabla3[[#This Row],[Referencia]]&amp;Tabla3[[#This Row],[Desc detalle ext 1]]</f>
        <v/>
      </c>
      <c r="AA1884" s="128" t="e">
        <f>+VLOOKUP(Tabla3[[#This Row],[CODIGO2]],ESTANDAR!$B$3:$C$9,2,FALSE)</f>
        <v>#N/A</v>
      </c>
      <c r="AB1884" s="128" t="str">
        <f>+MID(Tabla3[[#This Row],['# Viaje]],10,1)</f>
        <v/>
      </c>
    </row>
    <row r="1885" spans="1:28" ht="15" hidden="1" customHeight="1">
      <c r="A1885" s="25"/>
      <c r="B1885" s="26"/>
      <c r="C1885" s="25"/>
      <c r="D1885" s="25"/>
      <c r="E1885" s="25"/>
      <c r="F1885" s="25"/>
      <c r="G1885" s="25"/>
      <c r="H1885" s="25"/>
      <c r="I1885" s="25"/>
      <c r="J1885" s="25"/>
      <c r="K1885" s="25"/>
      <c r="L1885" s="26"/>
      <c r="M1885" s="25"/>
      <c r="N1885" s="25"/>
      <c r="O1885" s="27"/>
      <c r="P1885" s="7"/>
      <c r="Q1885" s="16">
        <f>+IF(IFERROR(VLOOKUP(Tabla3[[#This Row],[Cliente factura]],Tabla4[[NIT]:[TOTAL CREDITO]],3,FALSE),0)="",0,IFERROR(VLOOKUP(Tabla3[[#This Row],[Cliente factura]],Tabla4[[NIT]:[TOTAL CREDITO]],3,FALSE),0))</f>
        <v>0</v>
      </c>
      <c r="R1885" s="9">
        <f>+IFERROR(VLOOKUP(Tabla3[[#This Row],[Cliente factura]],Tabla4[[NIT]:[TOTAL CREDITO]],6,FALSE),0)</f>
        <v>0</v>
      </c>
      <c r="S1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5" s="10" t="e">
        <f>VLOOKUP(Tabla3[[#This Row],[Razón social cliente factura]]&amp;Tabla3[[#This Row],[Desc. ciudad]],'Estandar de Rutas'!$C$1:$E$553,2,FALSE)</f>
        <v>#N/A</v>
      </c>
      <c r="U1885" s="130">
        <f>IFERROR(VLOOKUP(Tabla3[[#This Row],[Referencia]]&amp;Tabla3[[#This Row],[Desc detalle ext 1]],Tabla1[[Referencia-Color]:[Disponibilidad]],3,FALSE),0)</f>
        <v>0</v>
      </c>
      <c r="V1885" s="13"/>
      <c r="W1885" s="17">
        <f>+Tabla3[[#This Row],[Cant. Programada]]*Tabla3[[#This Row],[Precio unit]]</f>
        <v>0</v>
      </c>
      <c r="X1885" s="8"/>
      <c r="Y1885" s="8"/>
      <c r="Z1885" s="8" t="str">
        <f>+Tabla3[[#This Row],[Referencia]]&amp;Tabla3[[#This Row],[Desc detalle ext 1]]</f>
        <v/>
      </c>
      <c r="AA1885" s="128" t="e">
        <f>+VLOOKUP(Tabla3[[#This Row],[CODIGO2]],ESTANDAR!$B$3:$C$9,2,FALSE)</f>
        <v>#N/A</v>
      </c>
      <c r="AB1885" s="128" t="str">
        <f>+MID(Tabla3[[#This Row],['# Viaje]],10,1)</f>
        <v/>
      </c>
    </row>
    <row r="1886" spans="1:28" ht="15" hidden="1" customHeight="1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6"/>
      <c r="M1886" s="25"/>
      <c r="N1886" s="25"/>
      <c r="O1886" s="27"/>
      <c r="P1886" s="7"/>
      <c r="Q1886" s="16">
        <f>+IF(IFERROR(VLOOKUP(Tabla3[[#This Row],[Cliente factura]],Tabla4[[NIT]:[TOTAL CREDITO]],3,FALSE),0)="",0,IFERROR(VLOOKUP(Tabla3[[#This Row],[Cliente factura]],Tabla4[[NIT]:[TOTAL CREDITO]],3,FALSE),0))</f>
        <v>0</v>
      </c>
      <c r="R1886" s="9">
        <f>+IFERROR(VLOOKUP(Tabla3[[#This Row],[Cliente factura]],Tabla4[[NIT]:[TOTAL CREDITO]],6,FALSE),0)</f>
        <v>0</v>
      </c>
      <c r="S1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6" s="10" t="e">
        <f>VLOOKUP(Tabla3[[#This Row],[Razón social cliente factura]]&amp;Tabla3[[#This Row],[Desc. ciudad]],'Estandar de Rutas'!$C$1:$E$553,2,FALSE)</f>
        <v>#N/A</v>
      </c>
      <c r="U1886" s="130">
        <f>IFERROR(VLOOKUP(Tabla3[[#This Row],[Referencia]]&amp;Tabla3[[#This Row],[Desc detalle ext 1]],Tabla1[[Referencia-Color]:[Disponibilidad]],3,FALSE),0)</f>
        <v>0</v>
      </c>
      <c r="V1886" s="13"/>
      <c r="W1886" s="17">
        <f>+Tabla3[[#This Row],[Cant. Programada]]*Tabla3[[#This Row],[Precio unit]]</f>
        <v>0</v>
      </c>
      <c r="X1886" s="8"/>
      <c r="Y1886" s="8"/>
      <c r="Z1886" s="8" t="str">
        <f>+Tabla3[[#This Row],[Referencia]]&amp;Tabla3[[#This Row],[Desc detalle ext 1]]</f>
        <v/>
      </c>
      <c r="AA1886" s="128" t="e">
        <f>+VLOOKUP(Tabla3[[#This Row],[CODIGO2]],ESTANDAR!$B$3:$C$9,2,FALSE)</f>
        <v>#N/A</v>
      </c>
      <c r="AB1886" s="128" t="str">
        <f>+MID(Tabla3[[#This Row],['# Viaje]],10,1)</f>
        <v/>
      </c>
    </row>
    <row r="1887" spans="1:28" ht="15" hidden="1" customHeight="1">
      <c r="A1887" s="25"/>
      <c r="B1887" s="26"/>
      <c r="C1887" s="25"/>
      <c r="D1887" s="25"/>
      <c r="E1887" s="25"/>
      <c r="F1887" s="25"/>
      <c r="G1887" s="25"/>
      <c r="H1887" s="25"/>
      <c r="I1887" s="25"/>
      <c r="J1887" s="25"/>
      <c r="K1887" s="25"/>
      <c r="L1887" s="26"/>
      <c r="M1887" s="25"/>
      <c r="N1887" s="25"/>
      <c r="O1887" s="27"/>
      <c r="P1887" s="7"/>
      <c r="Q1887" s="16">
        <f>+IF(IFERROR(VLOOKUP(Tabla3[[#This Row],[Cliente factura]],Tabla4[[NIT]:[TOTAL CREDITO]],3,FALSE),0)="",0,IFERROR(VLOOKUP(Tabla3[[#This Row],[Cliente factura]],Tabla4[[NIT]:[TOTAL CREDITO]],3,FALSE),0))</f>
        <v>0</v>
      </c>
      <c r="R1887" s="9">
        <f>+IFERROR(VLOOKUP(Tabla3[[#This Row],[Cliente factura]],Tabla4[[NIT]:[TOTAL CREDITO]],6,FALSE),0)</f>
        <v>0</v>
      </c>
      <c r="S1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7" s="10" t="e">
        <f>VLOOKUP(Tabla3[[#This Row],[Razón social cliente factura]]&amp;Tabla3[[#This Row],[Desc. ciudad]],'Estandar de Rutas'!$C$1:$E$553,2,FALSE)</f>
        <v>#N/A</v>
      </c>
      <c r="U1887" s="130">
        <f>IFERROR(VLOOKUP(Tabla3[[#This Row],[Referencia]]&amp;Tabla3[[#This Row],[Desc detalle ext 1]],Tabla1[[Referencia-Color]:[Disponibilidad]],3,FALSE),0)</f>
        <v>0</v>
      </c>
      <c r="V1887" s="13"/>
      <c r="W1887" s="17">
        <f>+Tabla3[[#This Row],[Cant. Programada]]*Tabla3[[#This Row],[Precio unit]]</f>
        <v>0</v>
      </c>
      <c r="X1887" s="8"/>
      <c r="Y1887" s="8"/>
      <c r="Z1887" s="8" t="str">
        <f>+Tabla3[[#This Row],[Referencia]]&amp;Tabla3[[#This Row],[Desc detalle ext 1]]</f>
        <v/>
      </c>
      <c r="AA1887" s="128" t="e">
        <f>+VLOOKUP(Tabla3[[#This Row],[CODIGO2]],ESTANDAR!$B$3:$C$9,2,FALSE)</f>
        <v>#N/A</v>
      </c>
      <c r="AB1887" s="128" t="str">
        <f>+MID(Tabla3[[#This Row],['# Viaje]],10,1)</f>
        <v/>
      </c>
    </row>
    <row r="1888" spans="1:28" ht="15" hidden="1" customHeight="1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6"/>
      <c r="M1888" s="25"/>
      <c r="N1888" s="25"/>
      <c r="O1888" s="27"/>
      <c r="P1888" s="7"/>
      <c r="Q1888" s="16">
        <f>+IF(IFERROR(VLOOKUP(Tabla3[[#This Row],[Cliente factura]],Tabla4[[NIT]:[TOTAL CREDITO]],3,FALSE),0)="",0,IFERROR(VLOOKUP(Tabla3[[#This Row],[Cliente factura]],Tabla4[[NIT]:[TOTAL CREDITO]],3,FALSE),0))</f>
        <v>0</v>
      </c>
      <c r="R1888" s="9">
        <f>+IFERROR(VLOOKUP(Tabla3[[#This Row],[Cliente factura]],Tabla4[[NIT]:[TOTAL CREDITO]],6,FALSE),0)</f>
        <v>0</v>
      </c>
      <c r="S1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8" s="10" t="e">
        <f>VLOOKUP(Tabla3[[#This Row],[Razón social cliente factura]]&amp;Tabla3[[#This Row],[Desc. ciudad]],'Estandar de Rutas'!$C$1:$E$553,2,FALSE)</f>
        <v>#N/A</v>
      </c>
      <c r="U1888" s="130">
        <f>IFERROR(VLOOKUP(Tabla3[[#This Row],[Referencia]]&amp;Tabla3[[#This Row],[Desc detalle ext 1]],Tabla1[[Referencia-Color]:[Disponibilidad]],3,FALSE),0)</f>
        <v>0</v>
      </c>
      <c r="V1888" s="13"/>
      <c r="W1888" s="17">
        <f>+Tabla3[[#This Row],[Cant. Programada]]*Tabla3[[#This Row],[Precio unit]]</f>
        <v>0</v>
      </c>
      <c r="X1888" s="8"/>
      <c r="Y1888" s="8"/>
      <c r="Z1888" s="8" t="str">
        <f>+Tabla3[[#This Row],[Referencia]]&amp;Tabla3[[#This Row],[Desc detalle ext 1]]</f>
        <v/>
      </c>
      <c r="AA1888" s="128" t="e">
        <f>+VLOOKUP(Tabla3[[#This Row],[CODIGO2]],ESTANDAR!$B$3:$C$9,2,FALSE)</f>
        <v>#N/A</v>
      </c>
      <c r="AB1888" s="128" t="str">
        <f>+MID(Tabla3[[#This Row],['# Viaje]],10,1)</f>
        <v/>
      </c>
    </row>
    <row r="1889" spans="1:28" ht="15" hidden="1" customHeight="1">
      <c r="A1889" s="25"/>
      <c r="B1889" s="26"/>
      <c r="C1889" s="25"/>
      <c r="D1889" s="25"/>
      <c r="E1889" s="25"/>
      <c r="F1889" s="25"/>
      <c r="G1889" s="25"/>
      <c r="H1889" s="25"/>
      <c r="I1889" s="25"/>
      <c r="J1889" s="25"/>
      <c r="K1889" s="25"/>
      <c r="L1889" s="26"/>
      <c r="M1889" s="25"/>
      <c r="N1889" s="25"/>
      <c r="O1889" s="27"/>
      <c r="P1889" s="7"/>
      <c r="Q1889" s="16">
        <f>+IF(IFERROR(VLOOKUP(Tabla3[[#This Row],[Cliente factura]],Tabla4[[NIT]:[TOTAL CREDITO]],3,FALSE),0)="",0,IFERROR(VLOOKUP(Tabla3[[#This Row],[Cliente factura]],Tabla4[[NIT]:[TOTAL CREDITO]],3,FALSE),0))</f>
        <v>0</v>
      </c>
      <c r="R1889" s="9">
        <f>+IFERROR(VLOOKUP(Tabla3[[#This Row],[Cliente factura]],Tabla4[[NIT]:[TOTAL CREDITO]],6,FALSE),0)</f>
        <v>0</v>
      </c>
      <c r="S1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9" s="10" t="e">
        <f>VLOOKUP(Tabla3[[#This Row],[Razón social cliente factura]]&amp;Tabla3[[#This Row],[Desc. ciudad]],'Estandar de Rutas'!$C$1:$E$553,2,FALSE)</f>
        <v>#N/A</v>
      </c>
      <c r="U1889" s="130">
        <f>IFERROR(VLOOKUP(Tabla3[[#This Row],[Referencia]]&amp;Tabla3[[#This Row],[Desc detalle ext 1]],Tabla1[[Referencia-Color]:[Disponibilidad]],3,FALSE),0)</f>
        <v>0</v>
      </c>
      <c r="V1889" s="13"/>
      <c r="W1889" s="17">
        <f>+Tabla3[[#This Row],[Cant. Programada]]*Tabla3[[#This Row],[Precio unit]]</f>
        <v>0</v>
      </c>
      <c r="X1889" s="8"/>
      <c r="Y1889" s="8"/>
      <c r="Z1889" s="8" t="str">
        <f>+Tabla3[[#This Row],[Referencia]]&amp;Tabla3[[#This Row],[Desc detalle ext 1]]</f>
        <v/>
      </c>
      <c r="AA1889" s="128" t="e">
        <f>+VLOOKUP(Tabla3[[#This Row],[CODIGO2]],ESTANDAR!$B$3:$C$9,2,FALSE)</f>
        <v>#N/A</v>
      </c>
      <c r="AB1889" s="128" t="str">
        <f>+MID(Tabla3[[#This Row],['# Viaje]],10,1)</f>
        <v/>
      </c>
    </row>
    <row r="1890" spans="1:28" ht="15" hidden="1" customHeight="1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6"/>
      <c r="M1890" s="25"/>
      <c r="N1890" s="25"/>
      <c r="O1890" s="27"/>
      <c r="P1890" s="7"/>
      <c r="Q1890" s="16">
        <f>+IF(IFERROR(VLOOKUP(Tabla3[[#This Row],[Cliente factura]],Tabla4[[NIT]:[TOTAL CREDITO]],3,FALSE),0)="",0,IFERROR(VLOOKUP(Tabla3[[#This Row],[Cliente factura]],Tabla4[[NIT]:[TOTAL CREDITO]],3,FALSE),0))</f>
        <v>0</v>
      </c>
      <c r="R1890" s="9">
        <f>+IFERROR(VLOOKUP(Tabla3[[#This Row],[Cliente factura]],Tabla4[[NIT]:[TOTAL CREDITO]],6,FALSE),0)</f>
        <v>0</v>
      </c>
      <c r="S1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0" s="10" t="e">
        <f>VLOOKUP(Tabla3[[#This Row],[Razón social cliente factura]]&amp;Tabla3[[#This Row],[Desc. ciudad]],'Estandar de Rutas'!$C$1:$E$553,2,FALSE)</f>
        <v>#N/A</v>
      </c>
      <c r="U1890" s="130">
        <f>IFERROR(VLOOKUP(Tabla3[[#This Row],[Referencia]]&amp;Tabla3[[#This Row],[Desc detalle ext 1]],Tabla1[[Referencia-Color]:[Disponibilidad]],3,FALSE),0)</f>
        <v>0</v>
      </c>
      <c r="V1890" s="13"/>
      <c r="W1890" s="17">
        <f>+Tabla3[[#This Row],[Cant. Programada]]*Tabla3[[#This Row],[Precio unit]]</f>
        <v>0</v>
      </c>
      <c r="X1890" s="8"/>
      <c r="Y1890" s="8"/>
      <c r="Z1890" s="8" t="str">
        <f>+Tabla3[[#This Row],[Referencia]]&amp;Tabla3[[#This Row],[Desc detalle ext 1]]</f>
        <v/>
      </c>
      <c r="AA1890" s="128" t="e">
        <f>+VLOOKUP(Tabla3[[#This Row],[CODIGO2]],ESTANDAR!$B$3:$C$9,2,FALSE)</f>
        <v>#N/A</v>
      </c>
      <c r="AB1890" s="128" t="str">
        <f>+MID(Tabla3[[#This Row],['# Viaje]],10,1)</f>
        <v/>
      </c>
    </row>
    <row r="1891" spans="1:28" ht="15" hidden="1" customHeight="1">
      <c r="A1891" s="25"/>
      <c r="B1891" s="26"/>
      <c r="C1891" s="25"/>
      <c r="D1891" s="25"/>
      <c r="E1891" s="25"/>
      <c r="F1891" s="25"/>
      <c r="G1891" s="25"/>
      <c r="H1891" s="25"/>
      <c r="I1891" s="25"/>
      <c r="J1891" s="25"/>
      <c r="K1891" s="25"/>
      <c r="L1891" s="26"/>
      <c r="M1891" s="25"/>
      <c r="N1891" s="25"/>
      <c r="O1891" s="27"/>
      <c r="P1891" s="7"/>
      <c r="Q1891" s="16">
        <f>+IF(IFERROR(VLOOKUP(Tabla3[[#This Row],[Cliente factura]],Tabla4[[NIT]:[TOTAL CREDITO]],3,FALSE),0)="",0,IFERROR(VLOOKUP(Tabla3[[#This Row],[Cliente factura]],Tabla4[[NIT]:[TOTAL CREDITO]],3,FALSE),0))</f>
        <v>0</v>
      </c>
      <c r="R1891" s="9">
        <f>+IFERROR(VLOOKUP(Tabla3[[#This Row],[Cliente factura]],Tabla4[[NIT]:[TOTAL CREDITO]],6,FALSE),0)</f>
        <v>0</v>
      </c>
      <c r="S1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1" s="10" t="e">
        <f>VLOOKUP(Tabla3[[#This Row],[Razón social cliente factura]]&amp;Tabla3[[#This Row],[Desc. ciudad]],'Estandar de Rutas'!$C$1:$E$553,2,FALSE)</f>
        <v>#N/A</v>
      </c>
      <c r="U1891" s="130">
        <f>IFERROR(VLOOKUP(Tabla3[[#This Row],[Referencia]]&amp;Tabla3[[#This Row],[Desc detalle ext 1]],Tabla1[[Referencia-Color]:[Disponibilidad]],3,FALSE),0)</f>
        <v>0</v>
      </c>
      <c r="V1891" s="13"/>
      <c r="W1891" s="17">
        <f>+Tabla3[[#This Row],[Cant. Programada]]*Tabla3[[#This Row],[Precio unit]]</f>
        <v>0</v>
      </c>
      <c r="X1891" s="8"/>
      <c r="Y1891" s="8"/>
      <c r="Z1891" s="8" t="str">
        <f>+Tabla3[[#This Row],[Referencia]]&amp;Tabla3[[#This Row],[Desc detalle ext 1]]</f>
        <v/>
      </c>
      <c r="AA1891" s="128" t="e">
        <f>+VLOOKUP(Tabla3[[#This Row],[CODIGO2]],ESTANDAR!$B$3:$C$9,2,FALSE)</f>
        <v>#N/A</v>
      </c>
      <c r="AB1891" s="128" t="str">
        <f>+MID(Tabla3[[#This Row],['# Viaje]],10,1)</f>
        <v/>
      </c>
    </row>
    <row r="1892" spans="1:28" ht="15" hidden="1" customHeight="1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6"/>
      <c r="M1892" s="25"/>
      <c r="N1892" s="25"/>
      <c r="O1892" s="27"/>
      <c r="P1892" s="7"/>
      <c r="Q1892" s="16">
        <f>+IF(IFERROR(VLOOKUP(Tabla3[[#This Row],[Cliente factura]],Tabla4[[NIT]:[TOTAL CREDITO]],3,FALSE),0)="",0,IFERROR(VLOOKUP(Tabla3[[#This Row],[Cliente factura]],Tabla4[[NIT]:[TOTAL CREDITO]],3,FALSE),0))</f>
        <v>0</v>
      </c>
      <c r="R1892" s="9">
        <f>+IFERROR(VLOOKUP(Tabla3[[#This Row],[Cliente factura]],Tabla4[[NIT]:[TOTAL CREDITO]],6,FALSE),0)</f>
        <v>0</v>
      </c>
      <c r="S1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2" s="10" t="e">
        <f>VLOOKUP(Tabla3[[#This Row],[Razón social cliente factura]]&amp;Tabla3[[#This Row],[Desc. ciudad]],'Estandar de Rutas'!$C$1:$E$553,2,FALSE)</f>
        <v>#N/A</v>
      </c>
      <c r="U1892" s="130">
        <f>IFERROR(VLOOKUP(Tabla3[[#This Row],[Referencia]]&amp;Tabla3[[#This Row],[Desc detalle ext 1]],Tabla1[[Referencia-Color]:[Disponibilidad]],3,FALSE),0)</f>
        <v>0</v>
      </c>
      <c r="V1892" s="13"/>
      <c r="W1892" s="17">
        <f>+Tabla3[[#This Row],[Cant. Programada]]*Tabla3[[#This Row],[Precio unit]]</f>
        <v>0</v>
      </c>
      <c r="X1892" s="8"/>
      <c r="Y1892" s="8"/>
      <c r="Z1892" s="8" t="str">
        <f>+Tabla3[[#This Row],[Referencia]]&amp;Tabla3[[#This Row],[Desc detalle ext 1]]</f>
        <v/>
      </c>
      <c r="AA1892" s="128" t="e">
        <f>+VLOOKUP(Tabla3[[#This Row],[CODIGO2]],ESTANDAR!$B$3:$C$9,2,FALSE)</f>
        <v>#N/A</v>
      </c>
      <c r="AB1892" s="128" t="str">
        <f>+MID(Tabla3[[#This Row],['# Viaje]],10,1)</f>
        <v/>
      </c>
    </row>
    <row r="1893" spans="1:28" ht="15" hidden="1" customHeight="1">
      <c r="A1893" s="25"/>
      <c r="B1893" s="26"/>
      <c r="C1893" s="25"/>
      <c r="D1893" s="25"/>
      <c r="E1893" s="25"/>
      <c r="F1893" s="25"/>
      <c r="G1893" s="25"/>
      <c r="H1893" s="25"/>
      <c r="I1893" s="25"/>
      <c r="J1893" s="25"/>
      <c r="K1893" s="25"/>
      <c r="L1893" s="26"/>
      <c r="M1893" s="25"/>
      <c r="N1893" s="25"/>
      <c r="O1893" s="27"/>
      <c r="P1893" s="7"/>
      <c r="Q1893" s="16">
        <f>+IF(IFERROR(VLOOKUP(Tabla3[[#This Row],[Cliente factura]],Tabla4[[NIT]:[TOTAL CREDITO]],3,FALSE),0)="",0,IFERROR(VLOOKUP(Tabla3[[#This Row],[Cliente factura]],Tabla4[[NIT]:[TOTAL CREDITO]],3,FALSE),0))</f>
        <v>0</v>
      </c>
      <c r="R1893" s="9">
        <f>+IFERROR(VLOOKUP(Tabla3[[#This Row],[Cliente factura]],Tabla4[[NIT]:[TOTAL CREDITO]],6,FALSE),0)</f>
        <v>0</v>
      </c>
      <c r="S1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3" s="10" t="e">
        <f>VLOOKUP(Tabla3[[#This Row],[Razón social cliente factura]]&amp;Tabla3[[#This Row],[Desc. ciudad]],'Estandar de Rutas'!$C$1:$E$553,2,FALSE)</f>
        <v>#N/A</v>
      </c>
      <c r="U1893" s="130">
        <f>IFERROR(VLOOKUP(Tabla3[[#This Row],[Referencia]]&amp;Tabla3[[#This Row],[Desc detalle ext 1]],Tabla1[[Referencia-Color]:[Disponibilidad]],3,FALSE),0)</f>
        <v>0</v>
      </c>
      <c r="V1893" s="13"/>
      <c r="W1893" s="17">
        <f>+Tabla3[[#This Row],[Cant. Programada]]*Tabla3[[#This Row],[Precio unit]]</f>
        <v>0</v>
      </c>
      <c r="X1893" s="8"/>
      <c r="Y1893" s="8"/>
      <c r="Z1893" s="8" t="str">
        <f>+Tabla3[[#This Row],[Referencia]]&amp;Tabla3[[#This Row],[Desc detalle ext 1]]</f>
        <v/>
      </c>
      <c r="AA1893" s="128" t="e">
        <f>+VLOOKUP(Tabla3[[#This Row],[CODIGO2]],ESTANDAR!$B$3:$C$9,2,FALSE)</f>
        <v>#N/A</v>
      </c>
      <c r="AB1893" s="128" t="str">
        <f>+MID(Tabla3[[#This Row],['# Viaje]],10,1)</f>
        <v/>
      </c>
    </row>
    <row r="1894" spans="1:28" ht="15" hidden="1" customHeight="1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6"/>
      <c r="M1894" s="25"/>
      <c r="N1894" s="25"/>
      <c r="O1894" s="27"/>
      <c r="P1894" s="7"/>
      <c r="Q1894" s="16">
        <f>+IF(IFERROR(VLOOKUP(Tabla3[[#This Row],[Cliente factura]],Tabla4[[NIT]:[TOTAL CREDITO]],3,FALSE),0)="",0,IFERROR(VLOOKUP(Tabla3[[#This Row],[Cliente factura]],Tabla4[[NIT]:[TOTAL CREDITO]],3,FALSE),0))</f>
        <v>0</v>
      </c>
      <c r="R1894" s="9">
        <f>+IFERROR(VLOOKUP(Tabla3[[#This Row],[Cliente factura]],Tabla4[[NIT]:[TOTAL CREDITO]],6,FALSE),0)</f>
        <v>0</v>
      </c>
      <c r="S1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4" s="10" t="e">
        <f>VLOOKUP(Tabla3[[#This Row],[Razón social cliente factura]]&amp;Tabla3[[#This Row],[Desc. ciudad]],'Estandar de Rutas'!$C$1:$E$553,2,FALSE)</f>
        <v>#N/A</v>
      </c>
      <c r="U1894" s="130">
        <f>IFERROR(VLOOKUP(Tabla3[[#This Row],[Referencia]]&amp;Tabla3[[#This Row],[Desc detalle ext 1]],Tabla1[[Referencia-Color]:[Disponibilidad]],3,FALSE),0)</f>
        <v>0</v>
      </c>
      <c r="V1894" s="13"/>
      <c r="W1894" s="17">
        <f>+Tabla3[[#This Row],[Cant. Programada]]*Tabla3[[#This Row],[Precio unit]]</f>
        <v>0</v>
      </c>
      <c r="X1894" s="8"/>
      <c r="Y1894" s="8"/>
      <c r="Z1894" s="8" t="str">
        <f>+Tabla3[[#This Row],[Referencia]]&amp;Tabla3[[#This Row],[Desc detalle ext 1]]</f>
        <v/>
      </c>
      <c r="AA1894" s="128" t="e">
        <f>+VLOOKUP(Tabla3[[#This Row],[CODIGO2]],ESTANDAR!$B$3:$C$9,2,FALSE)</f>
        <v>#N/A</v>
      </c>
      <c r="AB1894" s="128" t="str">
        <f>+MID(Tabla3[[#This Row],['# Viaje]],10,1)</f>
        <v/>
      </c>
    </row>
    <row r="1895" spans="1:28" ht="15" hidden="1" customHeight="1">
      <c r="A1895" s="25"/>
      <c r="B1895" s="26"/>
      <c r="C1895" s="25"/>
      <c r="D1895" s="25"/>
      <c r="E1895" s="25"/>
      <c r="F1895" s="25"/>
      <c r="G1895" s="25"/>
      <c r="H1895" s="25"/>
      <c r="I1895" s="25"/>
      <c r="J1895" s="25"/>
      <c r="K1895" s="25"/>
      <c r="L1895" s="26"/>
      <c r="M1895" s="25"/>
      <c r="N1895" s="25"/>
      <c r="O1895" s="27"/>
      <c r="P1895" s="7"/>
      <c r="Q1895" s="16">
        <f>+IF(IFERROR(VLOOKUP(Tabla3[[#This Row],[Cliente factura]],Tabla4[[NIT]:[TOTAL CREDITO]],3,FALSE),0)="",0,IFERROR(VLOOKUP(Tabla3[[#This Row],[Cliente factura]],Tabla4[[NIT]:[TOTAL CREDITO]],3,FALSE),0))</f>
        <v>0</v>
      </c>
      <c r="R1895" s="9">
        <f>+IFERROR(VLOOKUP(Tabla3[[#This Row],[Cliente factura]],Tabla4[[NIT]:[TOTAL CREDITO]],6,FALSE),0)</f>
        <v>0</v>
      </c>
      <c r="S1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5" s="10" t="e">
        <f>VLOOKUP(Tabla3[[#This Row],[Razón social cliente factura]]&amp;Tabla3[[#This Row],[Desc. ciudad]],'Estandar de Rutas'!$C$1:$E$553,2,FALSE)</f>
        <v>#N/A</v>
      </c>
      <c r="U1895" s="130">
        <f>IFERROR(VLOOKUP(Tabla3[[#This Row],[Referencia]]&amp;Tabla3[[#This Row],[Desc detalle ext 1]],Tabla1[[Referencia-Color]:[Disponibilidad]],3,FALSE),0)</f>
        <v>0</v>
      </c>
      <c r="V1895" s="13"/>
      <c r="W1895" s="17">
        <f>+Tabla3[[#This Row],[Cant. Programada]]*Tabla3[[#This Row],[Precio unit]]</f>
        <v>0</v>
      </c>
      <c r="X1895" s="8"/>
      <c r="Y1895" s="8"/>
      <c r="Z1895" s="8" t="str">
        <f>+Tabla3[[#This Row],[Referencia]]&amp;Tabla3[[#This Row],[Desc detalle ext 1]]</f>
        <v/>
      </c>
      <c r="AA1895" s="128" t="e">
        <f>+VLOOKUP(Tabla3[[#This Row],[CODIGO2]],ESTANDAR!$B$3:$C$9,2,FALSE)</f>
        <v>#N/A</v>
      </c>
      <c r="AB1895" s="128" t="str">
        <f>+MID(Tabla3[[#This Row],['# Viaje]],10,1)</f>
        <v/>
      </c>
    </row>
    <row r="1896" spans="1:28" ht="15" hidden="1" customHeight="1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6"/>
      <c r="M1896" s="25"/>
      <c r="N1896" s="25"/>
      <c r="O1896" s="27"/>
      <c r="P1896" s="7"/>
      <c r="Q1896" s="16">
        <f>+IF(IFERROR(VLOOKUP(Tabla3[[#This Row],[Cliente factura]],Tabla4[[NIT]:[TOTAL CREDITO]],3,FALSE),0)="",0,IFERROR(VLOOKUP(Tabla3[[#This Row],[Cliente factura]],Tabla4[[NIT]:[TOTAL CREDITO]],3,FALSE),0))</f>
        <v>0</v>
      </c>
      <c r="R1896" s="9">
        <f>+IFERROR(VLOOKUP(Tabla3[[#This Row],[Cliente factura]],Tabla4[[NIT]:[TOTAL CREDITO]],6,FALSE),0)</f>
        <v>0</v>
      </c>
      <c r="S1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6" s="10" t="e">
        <f>VLOOKUP(Tabla3[[#This Row],[Razón social cliente factura]]&amp;Tabla3[[#This Row],[Desc. ciudad]],'Estandar de Rutas'!$C$1:$E$553,2,FALSE)</f>
        <v>#N/A</v>
      </c>
      <c r="U1896" s="130">
        <f>IFERROR(VLOOKUP(Tabla3[[#This Row],[Referencia]]&amp;Tabla3[[#This Row],[Desc detalle ext 1]],Tabla1[[Referencia-Color]:[Disponibilidad]],3,FALSE),0)</f>
        <v>0</v>
      </c>
      <c r="V1896" s="13"/>
      <c r="W1896" s="17">
        <f>+Tabla3[[#This Row],[Cant. Programada]]*Tabla3[[#This Row],[Precio unit]]</f>
        <v>0</v>
      </c>
      <c r="X1896" s="8"/>
      <c r="Y1896" s="8"/>
      <c r="Z1896" s="8" t="str">
        <f>+Tabla3[[#This Row],[Referencia]]&amp;Tabla3[[#This Row],[Desc detalle ext 1]]</f>
        <v/>
      </c>
      <c r="AA1896" s="128" t="e">
        <f>+VLOOKUP(Tabla3[[#This Row],[CODIGO2]],ESTANDAR!$B$3:$C$9,2,FALSE)</f>
        <v>#N/A</v>
      </c>
      <c r="AB1896" s="128" t="str">
        <f>+MID(Tabla3[[#This Row],['# Viaje]],10,1)</f>
        <v/>
      </c>
    </row>
    <row r="1897" spans="1:28" ht="15" hidden="1" customHeight="1">
      <c r="A1897" s="25"/>
      <c r="B1897" s="26"/>
      <c r="C1897" s="25"/>
      <c r="D1897" s="25"/>
      <c r="E1897" s="25"/>
      <c r="F1897" s="25"/>
      <c r="G1897" s="25"/>
      <c r="H1897" s="25"/>
      <c r="I1897" s="25"/>
      <c r="J1897" s="25"/>
      <c r="K1897" s="25"/>
      <c r="L1897" s="26"/>
      <c r="M1897" s="25"/>
      <c r="N1897" s="25"/>
      <c r="O1897" s="27"/>
      <c r="P1897" s="7"/>
      <c r="Q1897" s="16">
        <f>+IF(IFERROR(VLOOKUP(Tabla3[[#This Row],[Cliente factura]],Tabla4[[NIT]:[TOTAL CREDITO]],3,FALSE),0)="",0,IFERROR(VLOOKUP(Tabla3[[#This Row],[Cliente factura]],Tabla4[[NIT]:[TOTAL CREDITO]],3,FALSE),0))</f>
        <v>0</v>
      </c>
      <c r="R1897" s="9">
        <f>+IFERROR(VLOOKUP(Tabla3[[#This Row],[Cliente factura]],Tabla4[[NIT]:[TOTAL CREDITO]],6,FALSE),0)</f>
        <v>0</v>
      </c>
      <c r="S1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7" s="10" t="e">
        <f>VLOOKUP(Tabla3[[#This Row],[Razón social cliente factura]]&amp;Tabla3[[#This Row],[Desc. ciudad]],'Estandar de Rutas'!$C$1:$E$553,2,FALSE)</f>
        <v>#N/A</v>
      </c>
      <c r="U1897" s="130">
        <f>IFERROR(VLOOKUP(Tabla3[[#This Row],[Referencia]]&amp;Tabla3[[#This Row],[Desc detalle ext 1]],Tabla1[[Referencia-Color]:[Disponibilidad]],3,FALSE),0)</f>
        <v>0</v>
      </c>
      <c r="V1897" s="13"/>
      <c r="W1897" s="17">
        <f>+Tabla3[[#This Row],[Cant. Programada]]*Tabla3[[#This Row],[Precio unit]]</f>
        <v>0</v>
      </c>
      <c r="X1897" s="8"/>
      <c r="Y1897" s="8"/>
      <c r="Z1897" s="8" t="str">
        <f>+Tabla3[[#This Row],[Referencia]]&amp;Tabla3[[#This Row],[Desc detalle ext 1]]</f>
        <v/>
      </c>
      <c r="AA1897" s="128" t="e">
        <f>+VLOOKUP(Tabla3[[#This Row],[CODIGO2]],ESTANDAR!$B$3:$C$9,2,FALSE)</f>
        <v>#N/A</v>
      </c>
      <c r="AB1897" s="128" t="str">
        <f>+MID(Tabla3[[#This Row],['# Viaje]],10,1)</f>
        <v/>
      </c>
    </row>
    <row r="1898" spans="1:28" ht="15" hidden="1" customHeight="1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6"/>
      <c r="M1898" s="25"/>
      <c r="N1898" s="25"/>
      <c r="O1898" s="27"/>
      <c r="P1898" s="7"/>
      <c r="Q1898" s="16">
        <f>+IF(IFERROR(VLOOKUP(Tabla3[[#This Row],[Cliente factura]],Tabla4[[NIT]:[TOTAL CREDITO]],3,FALSE),0)="",0,IFERROR(VLOOKUP(Tabla3[[#This Row],[Cliente factura]],Tabla4[[NIT]:[TOTAL CREDITO]],3,FALSE),0))</f>
        <v>0</v>
      </c>
      <c r="R1898" s="9">
        <f>+IFERROR(VLOOKUP(Tabla3[[#This Row],[Cliente factura]],Tabla4[[NIT]:[TOTAL CREDITO]],6,FALSE),0)</f>
        <v>0</v>
      </c>
      <c r="S1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8" s="10" t="e">
        <f>VLOOKUP(Tabla3[[#This Row],[Razón social cliente factura]]&amp;Tabla3[[#This Row],[Desc. ciudad]],'Estandar de Rutas'!$C$1:$E$553,2,FALSE)</f>
        <v>#N/A</v>
      </c>
      <c r="U1898" s="130">
        <f>IFERROR(VLOOKUP(Tabla3[[#This Row],[Referencia]]&amp;Tabla3[[#This Row],[Desc detalle ext 1]],Tabla1[[Referencia-Color]:[Disponibilidad]],3,FALSE),0)</f>
        <v>0</v>
      </c>
      <c r="V1898" s="13"/>
      <c r="W1898" s="17">
        <f>+Tabla3[[#This Row],[Cant. Programada]]*Tabla3[[#This Row],[Precio unit]]</f>
        <v>0</v>
      </c>
      <c r="X1898" s="8"/>
      <c r="Y1898" s="8"/>
      <c r="Z1898" s="8" t="str">
        <f>+Tabla3[[#This Row],[Referencia]]&amp;Tabla3[[#This Row],[Desc detalle ext 1]]</f>
        <v/>
      </c>
      <c r="AA1898" s="128" t="e">
        <f>+VLOOKUP(Tabla3[[#This Row],[CODIGO2]],ESTANDAR!$B$3:$C$9,2,FALSE)</f>
        <v>#N/A</v>
      </c>
      <c r="AB1898" s="128" t="str">
        <f>+MID(Tabla3[[#This Row],['# Viaje]],10,1)</f>
        <v/>
      </c>
    </row>
    <row r="1899" spans="1:28" ht="15" hidden="1" customHeight="1">
      <c r="A1899" s="25"/>
      <c r="B1899" s="26"/>
      <c r="C1899" s="25"/>
      <c r="D1899" s="25"/>
      <c r="E1899" s="25"/>
      <c r="F1899" s="25"/>
      <c r="G1899" s="25"/>
      <c r="H1899" s="25"/>
      <c r="I1899" s="25"/>
      <c r="J1899" s="25"/>
      <c r="K1899" s="25"/>
      <c r="L1899" s="26"/>
      <c r="M1899" s="25"/>
      <c r="N1899" s="25"/>
      <c r="O1899" s="27"/>
      <c r="P1899" s="7"/>
      <c r="Q1899" s="16">
        <f>+IF(IFERROR(VLOOKUP(Tabla3[[#This Row],[Cliente factura]],Tabla4[[NIT]:[TOTAL CREDITO]],3,FALSE),0)="",0,IFERROR(VLOOKUP(Tabla3[[#This Row],[Cliente factura]],Tabla4[[NIT]:[TOTAL CREDITO]],3,FALSE),0))</f>
        <v>0</v>
      </c>
      <c r="R1899" s="9">
        <f>+IFERROR(VLOOKUP(Tabla3[[#This Row],[Cliente factura]],Tabla4[[NIT]:[TOTAL CREDITO]],6,FALSE),0)</f>
        <v>0</v>
      </c>
      <c r="S1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9" s="10" t="e">
        <f>VLOOKUP(Tabla3[[#This Row],[Razón social cliente factura]]&amp;Tabla3[[#This Row],[Desc. ciudad]],'Estandar de Rutas'!$C$1:$E$553,2,FALSE)</f>
        <v>#N/A</v>
      </c>
      <c r="U1899" s="130">
        <f>IFERROR(VLOOKUP(Tabla3[[#This Row],[Referencia]]&amp;Tabla3[[#This Row],[Desc detalle ext 1]],Tabla1[[Referencia-Color]:[Disponibilidad]],3,FALSE),0)</f>
        <v>0</v>
      </c>
      <c r="V1899" s="13"/>
      <c r="W1899" s="17">
        <f>+Tabla3[[#This Row],[Cant. Programada]]*Tabla3[[#This Row],[Precio unit]]</f>
        <v>0</v>
      </c>
      <c r="X1899" s="8"/>
      <c r="Y1899" s="8"/>
      <c r="Z1899" s="8" t="str">
        <f>+Tabla3[[#This Row],[Referencia]]&amp;Tabla3[[#This Row],[Desc detalle ext 1]]</f>
        <v/>
      </c>
      <c r="AA1899" s="128" t="e">
        <f>+VLOOKUP(Tabla3[[#This Row],[CODIGO2]],ESTANDAR!$B$3:$C$9,2,FALSE)</f>
        <v>#N/A</v>
      </c>
      <c r="AB1899" s="128" t="str">
        <f>+MID(Tabla3[[#This Row],['# Viaje]],10,1)</f>
        <v/>
      </c>
    </row>
    <row r="1900" spans="1:28" ht="15" hidden="1" customHeight="1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6"/>
      <c r="M1900" s="25"/>
      <c r="N1900" s="25"/>
      <c r="O1900" s="27"/>
      <c r="P1900" s="7"/>
      <c r="Q1900" s="16">
        <f>+IF(IFERROR(VLOOKUP(Tabla3[[#This Row],[Cliente factura]],Tabla4[[NIT]:[TOTAL CREDITO]],3,FALSE),0)="",0,IFERROR(VLOOKUP(Tabla3[[#This Row],[Cliente factura]],Tabla4[[NIT]:[TOTAL CREDITO]],3,FALSE),0))</f>
        <v>0</v>
      </c>
      <c r="R1900" s="9">
        <f>+IFERROR(VLOOKUP(Tabla3[[#This Row],[Cliente factura]],Tabla4[[NIT]:[TOTAL CREDITO]],6,FALSE),0)</f>
        <v>0</v>
      </c>
      <c r="S1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0" s="10" t="e">
        <f>VLOOKUP(Tabla3[[#This Row],[Razón social cliente factura]]&amp;Tabla3[[#This Row],[Desc. ciudad]],'Estandar de Rutas'!$C$1:$E$553,2,FALSE)</f>
        <v>#N/A</v>
      </c>
      <c r="U1900" s="130">
        <f>IFERROR(VLOOKUP(Tabla3[[#This Row],[Referencia]]&amp;Tabla3[[#This Row],[Desc detalle ext 1]],Tabla1[[Referencia-Color]:[Disponibilidad]],3,FALSE),0)</f>
        <v>0</v>
      </c>
      <c r="V1900" s="13"/>
      <c r="W1900" s="17">
        <f>+Tabla3[[#This Row],[Cant. Programada]]*Tabla3[[#This Row],[Precio unit]]</f>
        <v>0</v>
      </c>
      <c r="X1900" s="8"/>
      <c r="Y1900" s="8"/>
      <c r="Z1900" s="8" t="str">
        <f>+Tabla3[[#This Row],[Referencia]]&amp;Tabla3[[#This Row],[Desc detalle ext 1]]</f>
        <v/>
      </c>
      <c r="AA1900" s="128" t="e">
        <f>+VLOOKUP(Tabla3[[#This Row],[CODIGO2]],ESTANDAR!$B$3:$C$9,2,FALSE)</f>
        <v>#N/A</v>
      </c>
      <c r="AB1900" s="128" t="str">
        <f>+MID(Tabla3[[#This Row],['# Viaje]],10,1)</f>
        <v/>
      </c>
    </row>
    <row r="1901" spans="1:28" ht="15" hidden="1" customHeight="1">
      <c r="A1901" s="25"/>
      <c r="B1901" s="26"/>
      <c r="C1901" s="25"/>
      <c r="D1901" s="25"/>
      <c r="E1901" s="25"/>
      <c r="F1901" s="25"/>
      <c r="G1901" s="25"/>
      <c r="H1901" s="25"/>
      <c r="I1901" s="25"/>
      <c r="J1901" s="25"/>
      <c r="K1901" s="25"/>
      <c r="L1901" s="26"/>
      <c r="M1901" s="25"/>
      <c r="N1901" s="25"/>
      <c r="O1901" s="27"/>
      <c r="P1901" s="7"/>
      <c r="Q1901" s="16">
        <f>+IF(IFERROR(VLOOKUP(Tabla3[[#This Row],[Cliente factura]],Tabla4[[NIT]:[TOTAL CREDITO]],3,FALSE),0)="",0,IFERROR(VLOOKUP(Tabla3[[#This Row],[Cliente factura]],Tabla4[[NIT]:[TOTAL CREDITO]],3,FALSE),0))</f>
        <v>0</v>
      </c>
      <c r="R1901" s="9">
        <f>+IFERROR(VLOOKUP(Tabla3[[#This Row],[Cliente factura]],Tabla4[[NIT]:[TOTAL CREDITO]],6,FALSE),0)</f>
        <v>0</v>
      </c>
      <c r="S1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1" s="10" t="e">
        <f>VLOOKUP(Tabla3[[#This Row],[Razón social cliente factura]]&amp;Tabla3[[#This Row],[Desc. ciudad]],'Estandar de Rutas'!$C$1:$E$553,2,FALSE)</f>
        <v>#N/A</v>
      </c>
      <c r="U1901" s="130">
        <f>IFERROR(VLOOKUP(Tabla3[[#This Row],[Referencia]]&amp;Tabla3[[#This Row],[Desc detalle ext 1]],Tabla1[[Referencia-Color]:[Disponibilidad]],3,FALSE),0)</f>
        <v>0</v>
      </c>
      <c r="V1901" s="13"/>
      <c r="W1901" s="17">
        <f>+Tabla3[[#This Row],[Cant. Programada]]*Tabla3[[#This Row],[Precio unit]]</f>
        <v>0</v>
      </c>
      <c r="X1901" s="8"/>
      <c r="Y1901" s="8"/>
      <c r="Z1901" s="8" t="str">
        <f>+Tabla3[[#This Row],[Referencia]]&amp;Tabla3[[#This Row],[Desc detalle ext 1]]</f>
        <v/>
      </c>
      <c r="AA1901" s="128" t="e">
        <f>+VLOOKUP(Tabla3[[#This Row],[CODIGO2]],ESTANDAR!$B$3:$C$9,2,FALSE)</f>
        <v>#N/A</v>
      </c>
      <c r="AB1901" s="128" t="str">
        <f>+MID(Tabla3[[#This Row],['# Viaje]],10,1)</f>
        <v/>
      </c>
    </row>
    <row r="1902" spans="1:28" ht="15" hidden="1" customHeight="1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6"/>
      <c r="M1902" s="25"/>
      <c r="N1902" s="25"/>
      <c r="O1902" s="27"/>
      <c r="P1902" s="7"/>
      <c r="Q1902" s="16">
        <f>+IF(IFERROR(VLOOKUP(Tabla3[[#This Row],[Cliente factura]],Tabla4[[NIT]:[TOTAL CREDITO]],3,FALSE),0)="",0,IFERROR(VLOOKUP(Tabla3[[#This Row],[Cliente factura]],Tabla4[[NIT]:[TOTAL CREDITO]],3,FALSE),0))</f>
        <v>0</v>
      </c>
      <c r="R1902" s="9">
        <f>+IFERROR(VLOOKUP(Tabla3[[#This Row],[Cliente factura]],Tabla4[[NIT]:[TOTAL CREDITO]],6,FALSE),0)</f>
        <v>0</v>
      </c>
      <c r="S1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2" s="10" t="e">
        <f>VLOOKUP(Tabla3[[#This Row],[Razón social cliente factura]]&amp;Tabla3[[#This Row],[Desc. ciudad]],'Estandar de Rutas'!$C$1:$E$553,2,FALSE)</f>
        <v>#N/A</v>
      </c>
      <c r="U1902" s="130">
        <f>IFERROR(VLOOKUP(Tabla3[[#This Row],[Referencia]]&amp;Tabla3[[#This Row],[Desc detalle ext 1]],Tabla1[[Referencia-Color]:[Disponibilidad]],3,FALSE),0)</f>
        <v>0</v>
      </c>
      <c r="V1902" s="13"/>
      <c r="W1902" s="17">
        <f>+Tabla3[[#This Row],[Cant. Programada]]*Tabla3[[#This Row],[Precio unit]]</f>
        <v>0</v>
      </c>
      <c r="X1902" s="8"/>
      <c r="Y1902" s="8"/>
      <c r="Z1902" s="8" t="str">
        <f>+Tabla3[[#This Row],[Referencia]]&amp;Tabla3[[#This Row],[Desc detalle ext 1]]</f>
        <v/>
      </c>
      <c r="AA1902" s="128" t="e">
        <f>+VLOOKUP(Tabla3[[#This Row],[CODIGO2]],ESTANDAR!$B$3:$C$9,2,FALSE)</f>
        <v>#N/A</v>
      </c>
      <c r="AB1902" s="128" t="str">
        <f>+MID(Tabla3[[#This Row],['# Viaje]],10,1)</f>
        <v/>
      </c>
    </row>
    <row r="1903" spans="1:28" ht="15" hidden="1" customHeight="1">
      <c r="A1903" s="25"/>
      <c r="B1903" s="26"/>
      <c r="C1903" s="25"/>
      <c r="D1903" s="25"/>
      <c r="E1903" s="25"/>
      <c r="F1903" s="25"/>
      <c r="G1903" s="25"/>
      <c r="H1903" s="25"/>
      <c r="I1903" s="25"/>
      <c r="J1903" s="25"/>
      <c r="K1903" s="25"/>
      <c r="L1903" s="26"/>
      <c r="M1903" s="25"/>
      <c r="N1903" s="25"/>
      <c r="O1903" s="27"/>
      <c r="P1903" s="7"/>
      <c r="Q1903" s="16">
        <f>+IF(IFERROR(VLOOKUP(Tabla3[[#This Row],[Cliente factura]],Tabla4[[NIT]:[TOTAL CREDITO]],3,FALSE),0)="",0,IFERROR(VLOOKUP(Tabla3[[#This Row],[Cliente factura]],Tabla4[[NIT]:[TOTAL CREDITO]],3,FALSE),0))</f>
        <v>0</v>
      </c>
      <c r="R1903" s="9">
        <f>+IFERROR(VLOOKUP(Tabla3[[#This Row],[Cliente factura]],Tabla4[[NIT]:[TOTAL CREDITO]],6,FALSE),0)</f>
        <v>0</v>
      </c>
      <c r="S1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3" s="10" t="e">
        <f>VLOOKUP(Tabla3[[#This Row],[Razón social cliente factura]]&amp;Tabla3[[#This Row],[Desc. ciudad]],'Estandar de Rutas'!$C$1:$E$553,2,FALSE)</f>
        <v>#N/A</v>
      </c>
      <c r="U1903" s="130">
        <f>IFERROR(VLOOKUP(Tabla3[[#This Row],[Referencia]]&amp;Tabla3[[#This Row],[Desc detalle ext 1]],Tabla1[[Referencia-Color]:[Disponibilidad]],3,FALSE),0)</f>
        <v>0</v>
      </c>
      <c r="V1903" s="13"/>
      <c r="W1903" s="17">
        <f>+Tabla3[[#This Row],[Cant. Programada]]*Tabla3[[#This Row],[Precio unit]]</f>
        <v>0</v>
      </c>
      <c r="X1903" s="8"/>
      <c r="Y1903" s="8"/>
      <c r="Z1903" s="8" t="str">
        <f>+Tabla3[[#This Row],[Referencia]]&amp;Tabla3[[#This Row],[Desc detalle ext 1]]</f>
        <v/>
      </c>
      <c r="AA1903" s="128" t="e">
        <f>+VLOOKUP(Tabla3[[#This Row],[CODIGO2]],ESTANDAR!$B$3:$C$9,2,FALSE)</f>
        <v>#N/A</v>
      </c>
      <c r="AB1903" s="128" t="str">
        <f>+MID(Tabla3[[#This Row],['# Viaje]],10,1)</f>
        <v/>
      </c>
    </row>
    <row r="1904" spans="1:28" ht="15" hidden="1" customHeight="1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6"/>
      <c r="M1904" s="25"/>
      <c r="N1904" s="25"/>
      <c r="O1904" s="27"/>
      <c r="P1904" s="7"/>
      <c r="Q1904" s="16">
        <f>+IF(IFERROR(VLOOKUP(Tabla3[[#This Row],[Cliente factura]],Tabla4[[NIT]:[TOTAL CREDITO]],3,FALSE),0)="",0,IFERROR(VLOOKUP(Tabla3[[#This Row],[Cliente factura]],Tabla4[[NIT]:[TOTAL CREDITO]],3,FALSE),0))</f>
        <v>0</v>
      </c>
      <c r="R1904" s="9">
        <f>+IFERROR(VLOOKUP(Tabla3[[#This Row],[Cliente factura]],Tabla4[[NIT]:[TOTAL CREDITO]],6,FALSE),0)</f>
        <v>0</v>
      </c>
      <c r="S1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4" s="10" t="e">
        <f>VLOOKUP(Tabla3[[#This Row],[Razón social cliente factura]]&amp;Tabla3[[#This Row],[Desc. ciudad]],'Estandar de Rutas'!$C$1:$E$553,2,FALSE)</f>
        <v>#N/A</v>
      </c>
      <c r="U1904" s="130">
        <f>IFERROR(VLOOKUP(Tabla3[[#This Row],[Referencia]]&amp;Tabla3[[#This Row],[Desc detalle ext 1]],Tabla1[[Referencia-Color]:[Disponibilidad]],3,FALSE),0)</f>
        <v>0</v>
      </c>
      <c r="V1904" s="13"/>
      <c r="W1904" s="17">
        <f>+Tabla3[[#This Row],[Cant. Programada]]*Tabla3[[#This Row],[Precio unit]]</f>
        <v>0</v>
      </c>
      <c r="X1904" s="8"/>
      <c r="Y1904" s="8"/>
      <c r="Z1904" s="8" t="str">
        <f>+Tabla3[[#This Row],[Referencia]]&amp;Tabla3[[#This Row],[Desc detalle ext 1]]</f>
        <v/>
      </c>
      <c r="AA1904" s="128" t="e">
        <f>+VLOOKUP(Tabla3[[#This Row],[CODIGO2]],ESTANDAR!$B$3:$C$9,2,FALSE)</f>
        <v>#N/A</v>
      </c>
      <c r="AB1904" s="128" t="str">
        <f>+MID(Tabla3[[#This Row],['# Viaje]],10,1)</f>
        <v/>
      </c>
    </row>
    <row r="1905" spans="1:28" ht="15" hidden="1" customHeight="1">
      <c r="A1905" s="25"/>
      <c r="B1905" s="26"/>
      <c r="C1905" s="25"/>
      <c r="D1905" s="25"/>
      <c r="E1905" s="25"/>
      <c r="F1905" s="25"/>
      <c r="G1905" s="25"/>
      <c r="H1905" s="25"/>
      <c r="I1905" s="25"/>
      <c r="J1905" s="25"/>
      <c r="K1905" s="25"/>
      <c r="L1905" s="26"/>
      <c r="M1905" s="25"/>
      <c r="N1905" s="25"/>
      <c r="O1905" s="27"/>
      <c r="P1905" s="7"/>
      <c r="Q1905" s="16">
        <f>+IF(IFERROR(VLOOKUP(Tabla3[[#This Row],[Cliente factura]],Tabla4[[NIT]:[TOTAL CREDITO]],3,FALSE),0)="",0,IFERROR(VLOOKUP(Tabla3[[#This Row],[Cliente factura]],Tabla4[[NIT]:[TOTAL CREDITO]],3,FALSE),0))</f>
        <v>0</v>
      </c>
      <c r="R1905" s="9">
        <f>+IFERROR(VLOOKUP(Tabla3[[#This Row],[Cliente factura]],Tabla4[[NIT]:[TOTAL CREDITO]],6,FALSE),0)</f>
        <v>0</v>
      </c>
      <c r="S1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5" s="10" t="e">
        <f>VLOOKUP(Tabla3[[#This Row],[Razón social cliente factura]]&amp;Tabla3[[#This Row],[Desc. ciudad]],'Estandar de Rutas'!$C$1:$E$553,2,FALSE)</f>
        <v>#N/A</v>
      </c>
      <c r="U1905" s="130">
        <f>IFERROR(VLOOKUP(Tabla3[[#This Row],[Referencia]]&amp;Tabla3[[#This Row],[Desc detalle ext 1]],Tabla1[[Referencia-Color]:[Disponibilidad]],3,FALSE),0)</f>
        <v>0</v>
      </c>
      <c r="V1905" s="13"/>
      <c r="W1905" s="17">
        <f>+Tabla3[[#This Row],[Cant. Programada]]*Tabla3[[#This Row],[Precio unit]]</f>
        <v>0</v>
      </c>
      <c r="X1905" s="8"/>
      <c r="Y1905" s="8"/>
      <c r="Z1905" s="8" t="str">
        <f>+Tabla3[[#This Row],[Referencia]]&amp;Tabla3[[#This Row],[Desc detalle ext 1]]</f>
        <v/>
      </c>
      <c r="AA1905" s="128" t="e">
        <f>+VLOOKUP(Tabla3[[#This Row],[CODIGO2]],ESTANDAR!$B$3:$C$9,2,FALSE)</f>
        <v>#N/A</v>
      </c>
      <c r="AB1905" s="128" t="str">
        <f>+MID(Tabla3[[#This Row],['# Viaje]],10,1)</f>
        <v/>
      </c>
    </row>
    <row r="1906" spans="1:28" ht="15" hidden="1" customHeight="1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6"/>
      <c r="M1906" s="25"/>
      <c r="N1906" s="25"/>
      <c r="O1906" s="27"/>
      <c r="P1906" s="7"/>
      <c r="Q1906" s="16">
        <f>+IF(IFERROR(VLOOKUP(Tabla3[[#This Row],[Cliente factura]],Tabla4[[NIT]:[TOTAL CREDITO]],3,FALSE),0)="",0,IFERROR(VLOOKUP(Tabla3[[#This Row],[Cliente factura]],Tabla4[[NIT]:[TOTAL CREDITO]],3,FALSE),0))</f>
        <v>0</v>
      </c>
      <c r="R1906" s="9">
        <f>+IFERROR(VLOOKUP(Tabla3[[#This Row],[Cliente factura]],Tabla4[[NIT]:[TOTAL CREDITO]],6,FALSE),0)</f>
        <v>0</v>
      </c>
      <c r="S1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6" s="10" t="e">
        <f>VLOOKUP(Tabla3[[#This Row],[Razón social cliente factura]]&amp;Tabla3[[#This Row],[Desc. ciudad]],'Estandar de Rutas'!$C$1:$E$553,2,FALSE)</f>
        <v>#N/A</v>
      </c>
      <c r="U1906" s="130">
        <f>IFERROR(VLOOKUP(Tabla3[[#This Row],[Referencia]]&amp;Tabla3[[#This Row],[Desc detalle ext 1]],Tabla1[[Referencia-Color]:[Disponibilidad]],3,FALSE),0)</f>
        <v>0</v>
      </c>
      <c r="V1906" s="13"/>
      <c r="W1906" s="17">
        <f>+Tabla3[[#This Row],[Cant. Programada]]*Tabla3[[#This Row],[Precio unit]]</f>
        <v>0</v>
      </c>
      <c r="X1906" s="8"/>
      <c r="Y1906" s="8"/>
      <c r="Z1906" s="8" t="str">
        <f>+Tabla3[[#This Row],[Referencia]]&amp;Tabla3[[#This Row],[Desc detalle ext 1]]</f>
        <v/>
      </c>
      <c r="AA1906" s="128" t="e">
        <f>+VLOOKUP(Tabla3[[#This Row],[CODIGO2]],ESTANDAR!$B$3:$C$9,2,FALSE)</f>
        <v>#N/A</v>
      </c>
      <c r="AB1906" s="128" t="str">
        <f>+MID(Tabla3[[#This Row],['# Viaje]],10,1)</f>
        <v/>
      </c>
    </row>
    <row r="1907" spans="1:28" ht="15" hidden="1" customHeight="1">
      <c r="A1907" s="25"/>
      <c r="B1907" s="26"/>
      <c r="C1907" s="25"/>
      <c r="D1907" s="25"/>
      <c r="E1907" s="25"/>
      <c r="F1907" s="25"/>
      <c r="G1907" s="25"/>
      <c r="H1907" s="25"/>
      <c r="I1907" s="25"/>
      <c r="J1907" s="25"/>
      <c r="K1907" s="25"/>
      <c r="L1907" s="26"/>
      <c r="M1907" s="25"/>
      <c r="N1907" s="25"/>
      <c r="O1907" s="27"/>
      <c r="P1907" s="7"/>
      <c r="Q1907" s="16">
        <f>+IF(IFERROR(VLOOKUP(Tabla3[[#This Row],[Cliente factura]],Tabla4[[NIT]:[TOTAL CREDITO]],3,FALSE),0)="",0,IFERROR(VLOOKUP(Tabla3[[#This Row],[Cliente factura]],Tabla4[[NIT]:[TOTAL CREDITO]],3,FALSE),0))</f>
        <v>0</v>
      </c>
      <c r="R1907" s="9">
        <f>+IFERROR(VLOOKUP(Tabla3[[#This Row],[Cliente factura]],Tabla4[[NIT]:[TOTAL CREDITO]],6,FALSE),0)</f>
        <v>0</v>
      </c>
      <c r="S1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7" s="10" t="e">
        <f>VLOOKUP(Tabla3[[#This Row],[Razón social cliente factura]]&amp;Tabla3[[#This Row],[Desc. ciudad]],'Estandar de Rutas'!$C$1:$E$553,2,FALSE)</f>
        <v>#N/A</v>
      </c>
      <c r="U1907" s="130">
        <f>IFERROR(VLOOKUP(Tabla3[[#This Row],[Referencia]]&amp;Tabla3[[#This Row],[Desc detalle ext 1]],Tabla1[[Referencia-Color]:[Disponibilidad]],3,FALSE),0)</f>
        <v>0</v>
      </c>
      <c r="V1907" s="13"/>
      <c r="W1907" s="17">
        <f>+Tabla3[[#This Row],[Cant. Programada]]*Tabla3[[#This Row],[Precio unit]]</f>
        <v>0</v>
      </c>
      <c r="X1907" s="8"/>
      <c r="Y1907" s="8"/>
      <c r="Z1907" s="8" t="str">
        <f>+Tabla3[[#This Row],[Referencia]]&amp;Tabla3[[#This Row],[Desc detalle ext 1]]</f>
        <v/>
      </c>
      <c r="AA1907" s="128" t="e">
        <f>+VLOOKUP(Tabla3[[#This Row],[CODIGO2]],ESTANDAR!$B$3:$C$9,2,FALSE)</f>
        <v>#N/A</v>
      </c>
      <c r="AB1907" s="128" t="str">
        <f>+MID(Tabla3[[#This Row],['# Viaje]],10,1)</f>
        <v/>
      </c>
    </row>
    <row r="1908" spans="1:28" ht="15" hidden="1" customHeight="1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6"/>
      <c r="M1908" s="25"/>
      <c r="N1908" s="25"/>
      <c r="O1908" s="27"/>
      <c r="P1908" s="7"/>
      <c r="Q1908" s="16">
        <f>+IF(IFERROR(VLOOKUP(Tabla3[[#This Row],[Cliente factura]],Tabla4[[NIT]:[TOTAL CREDITO]],3,FALSE),0)="",0,IFERROR(VLOOKUP(Tabla3[[#This Row],[Cliente factura]],Tabla4[[NIT]:[TOTAL CREDITO]],3,FALSE),0))</f>
        <v>0</v>
      </c>
      <c r="R1908" s="9">
        <f>+IFERROR(VLOOKUP(Tabla3[[#This Row],[Cliente factura]],Tabla4[[NIT]:[TOTAL CREDITO]],6,FALSE),0)</f>
        <v>0</v>
      </c>
      <c r="S1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8" s="10" t="e">
        <f>VLOOKUP(Tabla3[[#This Row],[Razón social cliente factura]]&amp;Tabla3[[#This Row],[Desc. ciudad]],'Estandar de Rutas'!$C$1:$E$553,2,FALSE)</f>
        <v>#N/A</v>
      </c>
      <c r="U1908" s="130">
        <f>IFERROR(VLOOKUP(Tabla3[[#This Row],[Referencia]]&amp;Tabla3[[#This Row],[Desc detalle ext 1]],Tabla1[[Referencia-Color]:[Disponibilidad]],3,FALSE),0)</f>
        <v>0</v>
      </c>
      <c r="V1908" s="13"/>
      <c r="W1908" s="17">
        <f>+Tabla3[[#This Row],[Cant. Programada]]*Tabla3[[#This Row],[Precio unit]]</f>
        <v>0</v>
      </c>
      <c r="X1908" s="8"/>
      <c r="Y1908" s="8"/>
      <c r="Z1908" s="8" t="str">
        <f>+Tabla3[[#This Row],[Referencia]]&amp;Tabla3[[#This Row],[Desc detalle ext 1]]</f>
        <v/>
      </c>
      <c r="AA1908" s="128" t="e">
        <f>+VLOOKUP(Tabla3[[#This Row],[CODIGO2]],ESTANDAR!$B$3:$C$9,2,FALSE)</f>
        <v>#N/A</v>
      </c>
      <c r="AB1908" s="128" t="str">
        <f>+MID(Tabla3[[#This Row],['# Viaje]],10,1)</f>
        <v/>
      </c>
    </row>
    <row r="1909" spans="1:28" ht="15" hidden="1" customHeight="1">
      <c r="A1909" s="25"/>
      <c r="B1909" s="26"/>
      <c r="C1909" s="25"/>
      <c r="D1909" s="25"/>
      <c r="E1909" s="25"/>
      <c r="F1909" s="25"/>
      <c r="G1909" s="25"/>
      <c r="H1909" s="25"/>
      <c r="I1909" s="25"/>
      <c r="J1909" s="25"/>
      <c r="K1909" s="25"/>
      <c r="L1909" s="26"/>
      <c r="M1909" s="25"/>
      <c r="N1909" s="25"/>
      <c r="O1909" s="27"/>
      <c r="P1909" s="7"/>
      <c r="Q1909" s="16">
        <f>+IF(IFERROR(VLOOKUP(Tabla3[[#This Row],[Cliente factura]],Tabla4[[NIT]:[TOTAL CREDITO]],3,FALSE),0)="",0,IFERROR(VLOOKUP(Tabla3[[#This Row],[Cliente factura]],Tabla4[[NIT]:[TOTAL CREDITO]],3,FALSE),0))</f>
        <v>0</v>
      </c>
      <c r="R1909" s="9">
        <f>+IFERROR(VLOOKUP(Tabla3[[#This Row],[Cliente factura]],Tabla4[[NIT]:[TOTAL CREDITO]],6,FALSE),0)</f>
        <v>0</v>
      </c>
      <c r="S1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9" s="10" t="e">
        <f>VLOOKUP(Tabla3[[#This Row],[Razón social cliente factura]]&amp;Tabla3[[#This Row],[Desc. ciudad]],'Estandar de Rutas'!$C$1:$E$553,2,FALSE)</f>
        <v>#N/A</v>
      </c>
      <c r="U1909" s="130">
        <f>IFERROR(VLOOKUP(Tabla3[[#This Row],[Referencia]]&amp;Tabla3[[#This Row],[Desc detalle ext 1]],Tabla1[[Referencia-Color]:[Disponibilidad]],3,FALSE),0)</f>
        <v>0</v>
      </c>
      <c r="V1909" s="13"/>
      <c r="W1909" s="17">
        <f>+Tabla3[[#This Row],[Cant. Programada]]*Tabla3[[#This Row],[Precio unit]]</f>
        <v>0</v>
      </c>
      <c r="X1909" s="8"/>
      <c r="Y1909" s="8"/>
      <c r="Z1909" s="8" t="str">
        <f>+Tabla3[[#This Row],[Referencia]]&amp;Tabla3[[#This Row],[Desc detalle ext 1]]</f>
        <v/>
      </c>
      <c r="AA1909" s="128" t="e">
        <f>+VLOOKUP(Tabla3[[#This Row],[CODIGO2]],ESTANDAR!$B$3:$C$9,2,FALSE)</f>
        <v>#N/A</v>
      </c>
      <c r="AB1909" s="128" t="str">
        <f>+MID(Tabla3[[#This Row],['# Viaje]],10,1)</f>
        <v/>
      </c>
    </row>
    <row r="1910" spans="1:28" ht="15" hidden="1" customHeight="1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6"/>
      <c r="M1910" s="25"/>
      <c r="N1910" s="25"/>
      <c r="O1910" s="27"/>
      <c r="P1910" s="7"/>
      <c r="Q1910" s="16">
        <f>+IF(IFERROR(VLOOKUP(Tabla3[[#This Row],[Cliente factura]],Tabla4[[NIT]:[TOTAL CREDITO]],3,FALSE),0)="",0,IFERROR(VLOOKUP(Tabla3[[#This Row],[Cliente factura]],Tabla4[[NIT]:[TOTAL CREDITO]],3,FALSE),0))</f>
        <v>0</v>
      </c>
      <c r="R1910" s="9">
        <f>+IFERROR(VLOOKUP(Tabla3[[#This Row],[Cliente factura]],Tabla4[[NIT]:[TOTAL CREDITO]],6,FALSE),0)</f>
        <v>0</v>
      </c>
      <c r="S1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0" s="10" t="e">
        <f>VLOOKUP(Tabla3[[#This Row],[Razón social cliente factura]]&amp;Tabla3[[#This Row],[Desc. ciudad]],'Estandar de Rutas'!$C$1:$E$553,2,FALSE)</f>
        <v>#N/A</v>
      </c>
      <c r="U1910" s="130">
        <f>IFERROR(VLOOKUP(Tabla3[[#This Row],[Referencia]]&amp;Tabla3[[#This Row],[Desc detalle ext 1]],Tabla1[[Referencia-Color]:[Disponibilidad]],3,FALSE),0)</f>
        <v>0</v>
      </c>
      <c r="V1910" s="13"/>
      <c r="W1910" s="17">
        <f>+Tabla3[[#This Row],[Cant. Programada]]*Tabla3[[#This Row],[Precio unit]]</f>
        <v>0</v>
      </c>
      <c r="X1910" s="8"/>
      <c r="Y1910" s="8"/>
      <c r="Z1910" s="8" t="str">
        <f>+Tabla3[[#This Row],[Referencia]]&amp;Tabla3[[#This Row],[Desc detalle ext 1]]</f>
        <v/>
      </c>
      <c r="AA1910" s="128" t="e">
        <f>+VLOOKUP(Tabla3[[#This Row],[CODIGO2]],ESTANDAR!$B$3:$C$9,2,FALSE)</f>
        <v>#N/A</v>
      </c>
      <c r="AB1910" s="128" t="str">
        <f>+MID(Tabla3[[#This Row],['# Viaje]],10,1)</f>
        <v/>
      </c>
    </row>
    <row r="1911" spans="1:28" ht="15" hidden="1" customHeight="1">
      <c r="A1911" s="25"/>
      <c r="B1911" s="26"/>
      <c r="C1911" s="25"/>
      <c r="D1911" s="25"/>
      <c r="E1911" s="25"/>
      <c r="F1911" s="25"/>
      <c r="G1911" s="25"/>
      <c r="H1911" s="25"/>
      <c r="I1911" s="25"/>
      <c r="J1911" s="25"/>
      <c r="K1911" s="25"/>
      <c r="L1911" s="26"/>
      <c r="M1911" s="25"/>
      <c r="N1911" s="25"/>
      <c r="O1911" s="27"/>
      <c r="P1911" s="7"/>
      <c r="Q1911" s="16">
        <f>+IF(IFERROR(VLOOKUP(Tabla3[[#This Row],[Cliente factura]],Tabla4[[NIT]:[TOTAL CREDITO]],3,FALSE),0)="",0,IFERROR(VLOOKUP(Tabla3[[#This Row],[Cliente factura]],Tabla4[[NIT]:[TOTAL CREDITO]],3,FALSE),0))</f>
        <v>0</v>
      </c>
      <c r="R1911" s="9">
        <f>+IFERROR(VLOOKUP(Tabla3[[#This Row],[Cliente factura]],Tabla4[[NIT]:[TOTAL CREDITO]],6,FALSE),0)</f>
        <v>0</v>
      </c>
      <c r="S1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1" s="10" t="e">
        <f>VLOOKUP(Tabla3[[#This Row],[Razón social cliente factura]]&amp;Tabla3[[#This Row],[Desc. ciudad]],'Estandar de Rutas'!$C$1:$E$553,2,FALSE)</f>
        <v>#N/A</v>
      </c>
      <c r="U1911" s="130">
        <f>IFERROR(VLOOKUP(Tabla3[[#This Row],[Referencia]]&amp;Tabla3[[#This Row],[Desc detalle ext 1]],Tabla1[[Referencia-Color]:[Disponibilidad]],3,FALSE),0)</f>
        <v>0</v>
      </c>
      <c r="V1911" s="13"/>
      <c r="W1911" s="17">
        <f>+Tabla3[[#This Row],[Cant. Programada]]*Tabla3[[#This Row],[Precio unit]]</f>
        <v>0</v>
      </c>
      <c r="X1911" s="8"/>
      <c r="Y1911" s="8"/>
      <c r="Z1911" s="8" t="str">
        <f>+Tabla3[[#This Row],[Referencia]]&amp;Tabla3[[#This Row],[Desc detalle ext 1]]</f>
        <v/>
      </c>
      <c r="AA1911" s="128" t="e">
        <f>+VLOOKUP(Tabla3[[#This Row],[CODIGO2]],ESTANDAR!$B$3:$C$9,2,FALSE)</f>
        <v>#N/A</v>
      </c>
      <c r="AB1911" s="128" t="str">
        <f>+MID(Tabla3[[#This Row],['# Viaje]],10,1)</f>
        <v/>
      </c>
    </row>
    <row r="1912" spans="1:28" ht="15" hidden="1" customHeight="1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6"/>
      <c r="M1912" s="25"/>
      <c r="N1912" s="25"/>
      <c r="O1912" s="27"/>
      <c r="P1912" s="7"/>
      <c r="Q1912" s="16">
        <f>+IF(IFERROR(VLOOKUP(Tabla3[[#This Row],[Cliente factura]],Tabla4[[NIT]:[TOTAL CREDITO]],3,FALSE),0)="",0,IFERROR(VLOOKUP(Tabla3[[#This Row],[Cliente factura]],Tabla4[[NIT]:[TOTAL CREDITO]],3,FALSE),0))</f>
        <v>0</v>
      </c>
      <c r="R1912" s="9">
        <f>+IFERROR(VLOOKUP(Tabla3[[#This Row],[Cliente factura]],Tabla4[[NIT]:[TOTAL CREDITO]],6,FALSE),0)</f>
        <v>0</v>
      </c>
      <c r="S1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2" s="10" t="e">
        <f>VLOOKUP(Tabla3[[#This Row],[Razón social cliente factura]]&amp;Tabla3[[#This Row],[Desc. ciudad]],'Estandar de Rutas'!$C$1:$E$553,2,FALSE)</f>
        <v>#N/A</v>
      </c>
      <c r="U1912" s="130">
        <f>IFERROR(VLOOKUP(Tabla3[[#This Row],[Referencia]]&amp;Tabla3[[#This Row],[Desc detalle ext 1]],Tabla1[[Referencia-Color]:[Disponibilidad]],3,FALSE),0)</f>
        <v>0</v>
      </c>
      <c r="V1912" s="13"/>
      <c r="W1912" s="17">
        <f>+Tabla3[[#This Row],[Cant. Programada]]*Tabla3[[#This Row],[Precio unit]]</f>
        <v>0</v>
      </c>
      <c r="X1912" s="8"/>
      <c r="Y1912" s="8"/>
      <c r="Z1912" s="8" t="str">
        <f>+Tabla3[[#This Row],[Referencia]]&amp;Tabla3[[#This Row],[Desc detalle ext 1]]</f>
        <v/>
      </c>
      <c r="AA1912" s="128" t="e">
        <f>+VLOOKUP(Tabla3[[#This Row],[CODIGO2]],ESTANDAR!$B$3:$C$9,2,FALSE)</f>
        <v>#N/A</v>
      </c>
      <c r="AB1912" s="128" t="str">
        <f>+MID(Tabla3[[#This Row],['# Viaje]],10,1)</f>
        <v/>
      </c>
    </row>
    <row r="1913" spans="1:28" ht="15" hidden="1" customHeight="1">
      <c r="A1913" s="25"/>
      <c r="B1913" s="26"/>
      <c r="C1913" s="25"/>
      <c r="D1913" s="25"/>
      <c r="E1913" s="25"/>
      <c r="F1913" s="25"/>
      <c r="G1913" s="25"/>
      <c r="H1913" s="25"/>
      <c r="I1913" s="25"/>
      <c r="J1913" s="25"/>
      <c r="K1913" s="25"/>
      <c r="L1913" s="26"/>
      <c r="M1913" s="25"/>
      <c r="N1913" s="25"/>
      <c r="O1913" s="27"/>
      <c r="P1913" s="7"/>
      <c r="Q1913" s="16">
        <f>+IF(IFERROR(VLOOKUP(Tabla3[[#This Row],[Cliente factura]],Tabla4[[NIT]:[TOTAL CREDITO]],3,FALSE),0)="",0,IFERROR(VLOOKUP(Tabla3[[#This Row],[Cliente factura]],Tabla4[[NIT]:[TOTAL CREDITO]],3,FALSE),0))</f>
        <v>0</v>
      </c>
      <c r="R1913" s="9">
        <f>+IFERROR(VLOOKUP(Tabla3[[#This Row],[Cliente factura]],Tabla4[[NIT]:[TOTAL CREDITO]],6,FALSE),0)</f>
        <v>0</v>
      </c>
      <c r="S1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3" s="10" t="e">
        <f>VLOOKUP(Tabla3[[#This Row],[Razón social cliente factura]]&amp;Tabla3[[#This Row],[Desc. ciudad]],'Estandar de Rutas'!$C$1:$E$553,2,FALSE)</f>
        <v>#N/A</v>
      </c>
      <c r="U1913" s="130">
        <f>IFERROR(VLOOKUP(Tabla3[[#This Row],[Referencia]]&amp;Tabla3[[#This Row],[Desc detalle ext 1]],Tabla1[[Referencia-Color]:[Disponibilidad]],3,FALSE),0)</f>
        <v>0</v>
      </c>
      <c r="V1913" s="13"/>
      <c r="W1913" s="17">
        <f>+Tabla3[[#This Row],[Cant. Programada]]*Tabla3[[#This Row],[Precio unit]]</f>
        <v>0</v>
      </c>
      <c r="X1913" s="8"/>
      <c r="Y1913" s="8"/>
      <c r="Z1913" s="8" t="str">
        <f>+Tabla3[[#This Row],[Referencia]]&amp;Tabla3[[#This Row],[Desc detalle ext 1]]</f>
        <v/>
      </c>
      <c r="AA1913" s="128" t="e">
        <f>+VLOOKUP(Tabla3[[#This Row],[CODIGO2]],ESTANDAR!$B$3:$C$9,2,FALSE)</f>
        <v>#N/A</v>
      </c>
      <c r="AB1913" s="128" t="str">
        <f>+MID(Tabla3[[#This Row],['# Viaje]],10,1)</f>
        <v/>
      </c>
    </row>
    <row r="1914" spans="1:28" ht="15" hidden="1" customHeight="1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6"/>
      <c r="M1914" s="25"/>
      <c r="N1914" s="25"/>
      <c r="O1914" s="27"/>
      <c r="P1914" s="7"/>
      <c r="Q1914" s="16">
        <f>+IF(IFERROR(VLOOKUP(Tabla3[[#This Row],[Cliente factura]],Tabla4[[NIT]:[TOTAL CREDITO]],3,FALSE),0)="",0,IFERROR(VLOOKUP(Tabla3[[#This Row],[Cliente factura]],Tabla4[[NIT]:[TOTAL CREDITO]],3,FALSE),0))</f>
        <v>0</v>
      </c>
      <c r="R1914" s="9">
        <f>+IFERROR(VLOOKUP(Tabla3[[#This Row],[Cliente factura]],Tabla4[[NIT]:[TOTAL CREDITO]],6,FALSE),0)</f>
        <v>0</v>
      </c>
      <c r="S1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4" s="10" t="e">
        <f>VLOOKUP(Tabla3[[#This Row],[Razón social cliente factura]]&amp;Tabla3[[#This Row],[Desc. ciudad]],'Estandar de Rutas'!$C$1:$E$553,2,FALSE)</f>
        <v>#N/A</v>
      </c>
      <c r="U1914" s="130">
        <f>IFERROR(VLOOKUP(Tabla3[[#This Row],[Referencia]]&amp;Tabla3[[#This Row],[Desc detalle ext 1]],Tabla1[[Referencia-Color]:[Disponibilidad]],3,FALSE),0)</f>
        <v>0</v>
      </c>
      <c r="V1914" s="13"/>
      <c r="W1914" s="17">
        <f>+Tabla3[[#This Row],[Cant. Programada]]*Tabla3[[#This Row],[Precio unit]]</f>
        <v>0</v>
      </c>
      <c r="X1914" s="8"/>
      <c r="Y1914" s="8"/>
      <c r="Z1914" s="8" t="str">
        <f>+Tabla3[[#This Row],[Referencia]]&amp;Tabla3[[#This Row],[Desc detalle ext 1]]</f>
        <v/>
      </c>
      <c r="AA1914" s="128" t="e">
        <f>+VLOOKUP(Tabla3[[#This Row],[CODIGO2]],ESTANDAR!$B$3:$C$9,2,FALSE)</f>
        <v>#N/A</v>
      </c>
      <c r="AB1914" s="128" t="str">
        <f>+MID(Tabla3[[#This Row],['# Viaje]],10,1)</f>
        <v/>
      </c>
    </row>
    <row r="1915" spans="1:28" ht="15" hidden="1" customHeight="1">
      <c r="A1915" s="25"/>
      <c r="B1915" s="26"/>
      <c r="C1915" s="25"/>
      <c r="D1915" s="25"/>
      <c r="E1915" s="25"/>
      <c r="F1915" s="25"/>
      <c r="G1915" s="25"/>
      <c r="H1915" s="25"/>
      <c r="I1915" s="25"/>
      <c r="J1915" s="25"/>
      <c r="K1915" s="25"/>
      <c r="L1915" s="26"/>
      <c r="M1915" s="25"/>
      <c r="N1915" s="25"/>
      <c r="O1915" s="27"/>
      <c r="P1915" s="7"/>
      <c r="Q1915" s="16">
        <f>+IF(IFERROR(VLOOKUP(Tabla3[[#This Row],[Cliente factura]],Tabla4[[NIT]:[TOTAL CREDITO]],3,FALSE),0)="",0,IFERROR(VLOOKUP(Tabla3[[#This Row],[Cliente factura]],Tabla4[[NIT]:[TOTAL CREDITO]],3,FALSE),0))</f>
        <v>0</v>
      </c>
      <c r="R1915" s="9">
        <f>+IFERROR(VLOOKUP(Tabla3[[#This Row],[Cliente factura]],Tabla4[[NIT]:[TOTAL CREDITO]],6,FALSE),0)</f>
        <v>0</v>
      </c>
      <c r="S1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5" s="10" t="e">
        <f>VLOOKUP(Tabla3[[#This Row],[Razón social cliente factura]]&amp;Tabla3[[#This Row],[Desc. ciudad]],'Estandar de Rutas'!$C$1:$E$553,2,FALSE)</f>
        <v>#N/A</v>
      </c>
      <c r="U1915" s="130">
        <f>IFERROR(VLOOKUP(Tabla3[[#This Row],[Referencia]]&amp;Tabla3[[#This Row],[Desc detalle ext 1]],Tabla1[[Referencia-Color]:[Disponibilidad]],3,FALSE),0)</f>
        <v>0</v>
      </c>
      <c r="V1915" s="13"/>
      <c r="W1915" s="17">
        <f>+Tabla3[[#This Row],[Cant. Programada]]*Tabla3[[#This Row],[Precio unit]]</f>
        <v>0</v>
      </c>
      <c r="X1915" s="8"/>
      <c r="Y1915" s="8"/>
      <c r="Z1915" s="8" t="str">
        <f>+Tabla3[[#This Row],[Referencia]]&amp;Tabla3[[#This Row],[Desc detalle ext 1]]</f>
        <v/>
      </c>
      <c r="AA1915" s="128" t="e">
        <f>+VLOOKUP(Tabla3[[#This Row],[CODIGO2]],ESTANDAR!$B$3:$C$9,2,FALSE)</f>
        <v>#N/A</v>
      </c>
      <c r="AB1915" s="128" t="str">
        <f>+MID(Tabla3[[#This Row],['# Viaje]],10,1)</f>
        <v/>
      </c>
    </row>
    <row r="1916" spans="1:28" ht="15" hidden="1" customHeight="1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6"/>
      <c r="M1916" s="25"/>
      <c r="N1916" s="25"/>
      <c r="O1916" s="27"/>
      <c r="P1916" s="7"/>
      <c r="Q1916" s="16">
        <f>+IF(IFERROR(VLOOKUP(Tabla3[[#This Row],[Cliente factura]],Tabla4[[NIT]:[TOTAL CREDITO]],3,FALSE),0)="",0,IFERROR(VLOOKUP(Tabla3[[#This Row],[Cliente factura]],Tabla4[[NIT]:[TOTAL CREDITO]],3,FALSE),0))</f>
        <v>0</v>
      </c>
      <c r="R1916" s="9">
        <f>+IFERROR(VLOOKUP(Tabla3[[#This Row],[Cliente factura]],Tabla4[[NIT]:[TOTAL CREDITO]],6,FALSE),0)</f>
        <v>0</v>
      </c>
      <c r="S1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6" s="10" t="e">
        <f>VLOOKUP(Tabla3[[#This Row],[Razón social cliente factura]]&amp;Tabla3[[#This Row],[Desc. ciudad]],'Estandar de Rutas'!$C$1:$E$553,2,FALSE)</f>
        <v>#N/A</v>
      </c>
      <c r="U1916" s="130">
        <f>IFERROR(VLOOKUP(Tabla3[[#This Row],[Referencia]]&amp;Tabla3[[#This Row],[Desc detalle ext 1]],Tabla1[[Referencia-Color]:[Disponibilidad]],3,FALSE),0)</f>
        <v>0</v>
      </c>
      <c r="V1916" s="13"/>
      <c r="W1916" s="17">
        <f>+Tabla3[[#This Row],[Cant. Programada]]*Tabla3[[#This Row],[Precio unit]]</f>
        <v>0</v>
      </c>
      <c r="X1916" s="8"/>
      <c r="Y1916" s="8"/>
      <c r="Z1916" s="8" t="str">
        <f>+Tabla3[[#This Row],[Referencia]]&amp;Tabla3[[#This Row],[Desc detalle ext 1]]</f>
        <v/>
      </c>
      <c r="AA1916" s="128" t="e">
        <f>+VLOOKUP(Tabla3[[#This Row],[CODIGO2]],ESTANDAR!$B$3:$C$9,2,FALSE)</f>
        <v>#N/A</v>
      </c>
      <c r="AB1916" s="128" t="str">
        <f>+MID(Tabla3[[#This Row],['# Viaje]],10,1)</f>
        <v/>
      </c>
    </row>
    <row r="1917" spans="1:28" ht="15" hidden="1" customHeight="1">
      <c r="A1917" s="25"/>
      <c r="B1917" s="26"/>
      <c r="C1917" s="25"/>
      <c r="D1917" s="25"/>
      <c r="E1917" s="25"/>
      <c r="F1917" s="25"/>
      <c r="G1917" s="25"/>
      <c r="H1917" s="25"/>
      <c r="I1917" s="25"/>
      <c r="J1917" s="25"/>
      <c r="K1917" s="25"/>
      <c r="L1917" s="26"/>
      <c r="M1917" s="25"/>
      <c r="N1917" s="25"/>
      <c r="O1917" s="27"/>
      <c r="P1917" s="7"/>
      <c r="Q1917" s="16">
        <f>+IF(IFERROR(VLOOKUP(Tabla3[[#This Row],[Cliente factura]],Tabla4[[NIT]:[TOTAL CREDITO]],3,FALSE),0)="",0,IFERROR(VLOOKUP(Tabla3[[#This Row],[Cliente factura]],Tabla4[[NIT]:[TOTAL CREDITO]],3,FALSE),0))</f>
        <v>0</v>
      </c>
      <c r="R1917" s="9">
        <f>+IFERROR(VLOOKUP(Tabla3[[#This Row],[Cliente factura]],Tabla4[[NIT]:[TOTAL CREDITO]],6,FALSE),0)</f>
        <v>0</v>
      </c>
      <c r="S1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7" s="10" t="e">
        <f>VLOOKUP(Tabla3[[#This Row],[Razón social cliente factura]]&amp;Tabla3[[#This Row],[Desc. ciudad]],'Estandar de Rutas'!$C$1:$E$553,2,FALSE)</f>
        <v>#N/A</v>
      </c>
      <c r="U1917" s="130">
        <f>IFERROR(VLOOKUP(Tabla3[[#This Row],[Referencia]]&amp;Tabla3[[#This Row],[Desc detalle ext 1]],Tabla1[[Referencia-Color]:[Disponibilidad]],3,FALSE),0)</f>
        <v>0</v>
      </c>
      <c r="V1917" s="13"/>
      <c r="W1917" s="17">
        <f>+Tabla3[[#This Row],[Cant. Programada]]*Tabla3[[#This Row],[Precio unit]]</f>
        <v>0</v>
      </c>
      <c r="X1917" s="8"/>
      <c r="Y1917" s="8"/>
      <c r="Z1917" s="8" t="str">
        <f>+Tabla3[[#This Row],[Referencia]]&amp;Tabla3[[#This Row],[Desc detalle ext 1]]</f>
        <v/>
      </c>
      <c r="AA1917" s="128" t="e">
        <f>+VLOOKUP(Tabla3[[#This Row],[CODIGO2]],ESTANDAR!$B$3:$C$9,2,FALSE)</f>
        <v>#N/A</v>
      </c>
      <c r="AB1917" s="128" t="str">
        <f>+MID(Tabla3[[#This Row],['# Viaje]],10,1)</f>
        <v/>
      </c>
    </row>
    <row r="1918" spans="1:28" ht="15" hidden="1" customHeight="1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6"/>
      <c r="M1918" s="25"/>
      <c r="N1918" s="25"/>
      <c r="O1918" s="27"/>
      <c r="P1918" s="7"/>
      <c r="Q1918" s="16">
        <f>+IF(IFERROR(VLOOKUP(Tabla3[[#This Row],[Cliente factura]],Tabla4[[NIT]:[TOTAL CREDITO]],3,FALSE),0)="",0,IFERROR(VLOOKUP(Tabla3[[#This Row],[Cliente factura]],Tabla4[[NIT]:[TOTAL CREDITO]],3,FALSE),0))</f>
        <v>0</v>
      </c>
      <c r="R1918" s="9">
        <f>+IFERROR(VLOOKUP(Tabla3[[#This Row],[Cliente factura]],Tabla4[[NIT]:[TOTAL CREDITO]],6,FALSE),0)</f>
        <v>0</v>
      </c>
      <c r="S1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8" s="10" t="e">
        <f>VLOOKUP(Tabla3[[#This Row],[Razón social cliente factura]]&amp;Tabla3[[#This Row],[Desc. ciudad]],'Estandar de Rutas'!$C$1:$E$553,2,FALSE)</f>
        <v>#N/A</v>
      </c>
      <c r="U1918" s="130">
        <f>IFERROR(VLOOKUP(Tabla3[[#This Row],[Referencia]]&amp;Tabla3[[#This Row],[Desc detalle ext 1]],Tabla1[[Referencia-Color]:[Disponibilidad]],3,FALSE),0)</f>
        <v>0</v>
      </c>
      <c r="V1918" s="13"/>
      <c r="W1918" s="17">
        <f>+Tabla3[[#This Row],[Cant. Programada]]*Tabla3[[#This Row],[Precio unit]]</f>
        <v>0</v>
      </c>
      <c r="X1918" s="8"/>
      <c r="Y1918" s="8"/>
      <c r="Z1918" s="8" t="str">
        <f>+Tabla3[[#This Row],[Referencia]]&amp;Tabla3[[#This Row],[Desc detalle ext 1]]</f>
        <v/>
      </c>
      <c r="AA1918" s="128" t="e">
        <f>+VLOOKUP(Tabla3[[#This Row],[CODIGO2]],ESTANDAR!$B$3:$C$9,2,FALSE)</f>
        <v>#N/A</v>
      </c>
      <c r="AB1918" s="128" t="str">
        <f>+MID(Tabla3[[#This Row],['# Viaje]],10,1)</f>
        <v/>
      </c>
    </row>
    <row r="1919" spans="1:28" ht="15" hidden="1" customHeight="1">
      <c r="A1919" s="25"/>
      <c r="B1919" s="26"/>
      <c r="C1919" s="25"/>
      <c r="D1919" s="25"/>
      <c r="E1919" s="25"/>
      <c r="F1919" s="25"/>
      <c r="G1919" s="25"/>
      <c r="H1919" s="25"/>
      <c r="I1919" s="25"/>
      <c r="J1919" s="25"/>
      <c r="K1919" s="25"/>
      <c r="L1919" s="26"/>
      <c r="M1919" s="25"/>
      <c r="N1919" s="25"/>
      <c r="O1919" s="27"/>
      <c r="P1919" s="7"/>
      <c r="Q1919" s="16">
        <f>+IF(IFERROR(VLOOKUP(Tabla3[[#This Row],[Cliente factura]],Tabla4[[NIT]:[TOTAL CREDITO]],3,FALSE),0)="",0,IFERROR(VLOOKUP(Tabla3[[#This Row],[Cliente factura]],Tabla4[[NIT]:[TOTAL CREDITO]],3,FALSE),0))</f>
        <v>0</v>
      </c>
      <c r="R1919" s="9">
        <f>+IFERROR(VLOOKUP(Tabla3[[#This Row],[Cliente factura]],Tabla4[[NIT]:[TOTAL CREDITO]],6,FALSE),0)</f>
        <v>0</v>
      </c>
      <c r="S1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9" s="10" t="e">
        <f>VLOOKUP(Tabla3[[#This Row],[Razón social cliente factura]]&amp;Tabla3[[#This Row],[Desc. ciudad]],'Estandar de Rutas'!$C$1:$E$553,2,FALSE)</f>
        <v>#N/A</v>
      </c>
      <c r="U1919" s="130">
        <f>IFERROR(VLOOKUP(Tabla3[[#This Row],[Referencia]]&amp;Tabla3[[#This Row],[Desc detalle ext 1]],Tabla1[[Referencia-Color]:[Disponibilidad]],3,FALSE),0)</f>
        <v>0</v>
      </c>
      <c r="V1919" s="13"/>
      <c r="W1919" s="17">
        <f>+Tabla3[[#This Row],[Cant. Programada]]*Tabla3[[#This Row],[Precio unit]]</f>
        <v>0</v>
      </c>
      <c r="X1919" s="8"/>
      <c r="Y1919" s="8"/>
      <c r="Z1919" s="8" t="str">
        <f>+Tabla3[[#This Row],[Referencia]]&amp;Tabla3[[#This Row],[Desc detalle ext 1]]</f>
        <v/>
      </c>
      <c r="AA1919" s="128" t="e">
        <f>+VLOOKUP(Tabla3[[#This Row],[CODIGO2]],ESTANDAR!$B$3:$C$9,2,FALSE)</f>
        <v>#N/A</v>
      </c>
      <c r="AB1919" s="128" t="str">
        <f>+MID(Tabla3[[#This Row],['# Viaje]],10,1)</f>
        <v/>
      </c>
    </row>
    <row r="1920" spans="1:28" ht="15" hidden="1" customHeight="1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6"/>
      <c r="M1920" s="25"/>
      <c r="N1920" s="25"/>
      <c r="O1920" s="27"/>
      <c r="P1920" s="7"/>
      <c r="Q1920" s="16">
        <f>+IF(IFERROR(VLOOKUP(Tabla3[[#This Row],[Cliente factura]],Tabla4[[NIT]:[TOTAL CREDITO]],3,FALSE),0)="",0,IFERROR(VLOOKUP(Tabla3[[#This Row],[Cliente factura]],Tabla4[[NIT]:[TOTAL CREDITO]],3,FALSE),0))</f>
        <v>0</v>
      </c>
      <c r="R1920" s="9">
        <f>+IFERROR(VLOOKUP(Tabla3[[#This Row],[Cliente factura]],Tabla4[[NIT]:[TOTAL CREDITO]],6,FALSE),0)</f>
        <v>0</v>
      </c>
      <c r="S1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0" s="10" t="e">
        <f>VLOOKUP(Tabla3[[#This Row],[Razón social cliente factura]]&amp;Tabla3[[#This Row],[Desc. ciudad]],'Estandar de Rutas'!$C$1:$E$553,2,FALSE)</f>
        <v>#N/A</v>
      </c>
      <c r="U1920" s="130">
        <f>IFERROR(VLOOKUP(Tabla3[[#This Row],[Referencia]]&amp;Tabla3[[#This Row],[Desc detalle ext 1]],Tabla1[[Referencia-Color]:[Disponibilidad]],3,FALSE),0)</f>
        <v>0</v>
      </c>
      <c r="V1920" s="13"/>
      <c r="W1920" s="17">
        <f>+Tabla3[[#This Row],[Cant. Programada]]*Tabla3[[#This Row],[Precio unit]]</f>
        <v>0</v>
      </c>
      <c r="X1920" s="8"/>
      <c r="Y1920" s="8"/>
      <c r="Z1920" s="8" t="str">
        <f>+Tabla3[[#This Row],[Referencia]]&amp;Tabla3[[#This Row],[Desc detalle ext 1]]</f>
        <v/>
      </c>
      <c r="AA1920" s="128" t="e">
        <f>+VLOOKUP(Tabla3[[#This Row],[CODIGO2]],ESTANDAR!$B$3:$C$9,2,FALSE)</f>
        <v>#N/A</v>
      </c>
      <c r="AB1920" s="128" t="str">
        <f>+MID(Tabla3[[#This Row],['# Viaje]],10,1)</f>
        <v/>
      </c>
    </row>
    <row r="1921" spans="1:28" ht="15" hidden="1" customHeight="1">
      <c r="A1921" s="25"/>
      <c r="B1921" s="26"/>
      <c r="C1921" s="25"/>
      <c r="D1921" s="25"/>
      <c r="E1921" s="25"/>
      <c r="F1921" s="25"/>
      <c r="G1921" s="25"/>
      <c r="H1921" s="25"/>
      <c r="I1921" s="25"/>
      <c r="J1921" s="25"/>
      <c r="K1921" s="25"/>
      <c r="L1921" s="26"/>
      <c r="M1921" s="25"/>
      <c r="N1921" s="25"/>
      <c r="O1921" s="27"/>
      <c r="P1921" s="7"/>
      <c r="Q1921" s="16">
        <f>+IF(IFERROR(VLOOKUP(Tabla3[[#This Row],[Cliente factura]],Tabla4[[NIT]:[TOTAL CREDITO]],3,FALSE),0)="",0,IFERROR(VLOOKUP(Tabla3[[#This Row],[Cliente factura]],Tabla4[[NIT]:[TOTAL CREDITO]],3,FALSE),0))</f>
        <v>0</v>
      </c>
      <c r="R1921" s="9">
        <f>+IFERROR(VLOOKUP(Tabla3[[#This Row],[Cliente factura]],Tabla4[[NIT]:[TOTAL CREDITO]],6,FALSE),0)</f>
        <v>0</v>
      </c>
      <c r="S1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1" s="10" t="e">
        <f>VLOOKUP(Tabla3[[#This Row],[Razón social cliente factura]]&amp;Tabla3[[#This Row],[Desc. ciudad]],'Estandar de Rutas'!$C$1:$E$553,2,FALSE)</f>
        <v>#N/A</v>
      </c>
      <c r="U1921" s="130">
        <f>IFERROR(VLOOKUP(Tabla3[[#This Row],[Referencia]]&amp;Tabla3[[#This Row],[Desc detalle ext 1]],Tabla1[[Referencia-Color]:[Disponibilidad]],3,FALSE),0)</f>
        <v>0</v>
      </c>
      <c r="V1921" s="13"/>
      <c r="W1921" s="17">
        <f>+Tabla3[[#This Row],[Cant. Programada]]*Tabla3[[#This Row],[Precio unit]]</f>
        <v>0</v>
      </c>
      <c r="X1921" s="8"/>
      <c r="Y1921" s="8"/>
      <c r="Z1921" s="8" t="str">
        <f>+Tabla3[[#This Row],[Referencia]]&amp;Tabla3[[#This Row],[Desc detalle ext 1]]</f>
        <v/>
      </c>
      <c r="AA1921" s="128" t="e">
        <f>+VLOOKUP(Tabla3[[#This Row],[CODIGO2]],ESTANDAR!$B$3:$C$9,2,FALSE)</f>
        <v>#N/A</v>
      </c>
      <c r="AB1921" s="128" t="str">
        <f>+MID(Tabla3[[#This Row],['# Viaje]],10,1)</f>
        <v/>
      </c>
    </row>
    <row r="1922" spans="1:28" ht="15" hidden="1" customHeight="1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6"/>
      <c r="M1922" s="25"/>
      <c r="N1922" s="25"/>
      <c r="O1922" s="27"/>
      <c r="P1922" s="7"/>
      <c r="Q1922" s="16">
        <f>+IF(IFERROR(VLOOKUP(Tabla3[[#This Row],[Cliente factura]],Tabla4[[NIT]:[TOTAL CREDITO]],3,FALSE),0)="",0,IFERROR(VLOOKUP(Tabla3[[#This Row],[Cliente factura]],Tabla4[[NIT]:[TOTAL CREDITO]],3,FALSE),0))</f>
        <v>0</v>
      </c>
      <c r="R1922" s="9">
        <f>+IFERROR(VLOOKUP(Tabla3[[#This Row],[Cliente factura]],Tabla4[[NIT]:[TOTAL CREDITO]],6,FALSE),0)</f>
        <v>0</v>
      </c>
      <c r="S1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2" s="10" t="e">
        <f>VLOOKUP(Tabla3[[#This Row],[Razón social cliente factura]]&amp;Tabla3[[#This Row],[Desc. ciudad]],'Estandar de Rutas'!$C$1:$E$553,2,FALSE)</f>
        <v>#N/A</v>
      </c>
      <c r="U1922" s="130">
        <f>IFERROR(VLOOKUP(Tabla3[[#This Row],[Referencia]]&amp;Tabla3[[#This Row],[Desc detalle ext 1]],Tabla1[[Referencia-Color]:[Disponibilidad]],3,FALSE),0)</f>
        <v>0</v>
      </c>
      <c r="V1922" s="13"/>
      <c r="W1922" s="17">
        <f>+Tabla3[[#This Row],[Cant. Programada]]*Tabla3[[#This Row],[Precio unit]]</f>
        <v>0</v>
      </c>
      <c r="X1922" s="8"/>
      <c r="Y1922" s="8"/>
      <c r="Z1922" s="8" t="str">
        <f>+Tabla3[[#This Row],[Referencia]]&amp;Tabla3[[#This Row],[Desc detalle ext 1]]</f>
        <v/>
      </c>
      <c r="AA1922" s="128" t="e">
        <f>+VLOOKUP(Tabla3[[#This Row],[CODIGO2]],ESTANDAR!$B$3:$C$9,2,FALSE)</f>
        <v>#N/A</v>
      </c>
      <c r="AB1922" s="128" t="str">
        <f>+MID(Tabla3[[#This Row],['# Viaje]],10,1)</f>
        <v/>
      </c>
    </row>
    <row r="1923" spans="1:28" ht="15" hidden="1" customHeight="1">
      <c r="A1923" s="25"/>
      <c r="B1923" s="26"/>
      <c r="C1923" s="25"/>
      <c r="D1923" s="25"/>
      <c r="E1923" s="25"/>
      <c r="F1923" s="25"/>
      <c r="G1923" s="25"/>
      <c r="H1923" s="25"/>
      <c r="I1923" s="25"/>
      <c r="J1923" s="25"/>
      <c r="K1923" s="25"/>
      <c r="L1923" s="26"/>
      <c r="M1923" s="25"/>
      <c r="N1923" s="25"/>
      <c r="O1923" s="27"/>
      <c r="P1923" s="7"/>
      <c r="Q1923" s="16">
        <f>+IF(IFERROR(VLOOKUP(Tabla3[[#This Row],[Cliente factura]],Tabla4[[NIT]:[TOTAL CREDITO]],3,FALSE),0)="",0,IFERROR(VLOOKUP(Tabla3[[#This Row],[Cliente factura]],Tabla4[[NIT]:[TOTAL CREDITO]],3,FALSE),0))</f>
        <v>0</v>
      </c>
      <c r="R1923" s="9">
        <f>+IFERROR(VLOOKUP(Tabla3[[#This Row],[Cliente factura]],Tabla4[[NIT]:[TOTAL CREDITO]],6,FALSE),0)</f>
        <v>0</v>
      </c>
      <c r="S1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3" s="10" t="e">
        <f>VLOOKUP(Tabla3[[#This Row],[Razón social cliente factura]]&amp;Tabla3[[#This Row],[Desc. ciudad]],'Estandar de Rutas'!$C$1:$E$553,2,FALSE)</f>
        <v>#N/A</v>
      </c>
      <c r="U1923" s="130">
        <f>IFERROR(VLOOKUP(Tabla3[[#This Row],[Referencia]]&amp;Tabla3[[#This Row],[Desc detalle ext 1]],Tabla1[[Referencia-Color]:[Disponibilidad]],3,FALSE),0)</f>
        <v>0</v>
      </c>
      <c r="V1923" s="13"/>
      <c r="W1923" s="17">
        <f>+Tabla3[[#This Row],[Cant. Programada]]*Tabla3[[#This Row],[Precio unit]]</f>
        <v>0</v>
      </c>
      <c r="X1923" s="8"/>
      <c r="Y1923" s="8"/>
      <c r="Z1923" s="8" t="str">
        <f>+Tabla3[[#This Row],[Referencia]]&amp;Tabla3[[#This Row],[Desc detalle ext 1]]</f>
        <v/>
      </c>
      <c r="AA1923" s="128" t="e">
        <f>+VLOOKUP(Tabla3[[#This Row],[CODIGO2]],ESTANDAR!$B$3:$C$9,2,FALSE)</f>
        <v>#N/A</v>
      </c>
      <c r="AB1923" s="128" t="str">
        <f>+MID(Tabla3[[#This Row],['# Viaje]],10,1)</f>
        <v/>
      </c>
    </row>
    <row r="1924" spans="1:28" ht="15" hidden="1" customHeight="1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6"/>
      <c r="M1924" s="25"/>
      <c r="N1924" s="25"/>
      <c r="O1924" s="27"/>
      <c r="P1924" s="7"/>
      <c r="Q1924" s="16">
        <f>+IF(IFERROR(VLOOKUP(Tabla3[[#This Row],[Cliente factura]],Tabla4[[NIT]:[TOTAL CREDITO]],3,FALSE),0)="",0,IFERROR(VLOOKUP(Tabla3[[#This Row],[Cliente factura]],Tabla4[[NIT]:[TOTAL CREDITO]],3,FALSE),0))</f>
        <v>0</v>
      </c>
      <c r="R1924" s="9">
        <f>+IFERROR(VLOOKUP(Tabla3[[#This Row],[Cliente factura]],Tabla4[[NIT]:[TOTAL CREDITO]],6,FALSE),0)</f>
        <v>0</v>
      </c>
      <c r="S1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4" s="10" t="e">
        <f>VLOOKUP(Tabla3[[#This Row],[Razón social cliente factura]]&amp;Tabla3[[#This Row],[Desc. ciudad]],'Estandar de Rutas'!$C$1:$E$553,2,FALSE)</f>
        <v>#N/A</v>
      </c>
      <c r="U1924" s="130">
        <f>IFERROR(VLOOKUP(Tabla3[[#This Row],[Referencia]]&amp;Tabla3[[#This Row],[Desc detalle ext 1]],Tabla1[[Referencia-Color]:[Disponibilidad]],3,FALSE),0)</f>
        <v>0</v>
      </c>
      <c r="V1924" s="13"/>
      <c r="W1924" s="17">
        <f>+Tabla3[[#This Row],[Cant. Programada]]*Tabla3[[#This Row],[Precio unit]]</f>
        <v>0</v>
      </c>
      <c r="X1924" s="8"/>
      <c r="Y1924" s="8"/>
      <c r="Z1924" s="8" t="str">
        <f>+Tabla3[[#This Row],[Referencia]]&amp;Tabla3[[#This Row],[Desc detalle ext 1]]</f>
        <v/>
      </c>
      <c r="AA1924" s="128" t="e">
        <f>+VLOOKUP(Tabla3[[#This Row],[CODIGO2]],ESTANDAR!$B$3:$C$9,2,FALSE)</f>
        <v>#N/A</v>
      </c>
      <c r="AB1924" s="128" t="str">
        <f>+MID(Tabla3[[#This Row],['# Viaje]],10,1)</f>
        <v/>
      </c>
    </row>
    <row r="1925" spans="1:28" ht="15" hidden="1" customHeight="1">
      <c r="A1925" s="25"/>
      <c r="B1925" s="26"/>
      <c r="C1925" s="25"/>
      <c r="D1925" s="25"/>
      <c r="E1925" s="25"/>
      <c r="F1925" s="25"/>
      <c r="G1925" s="25"/>
      <c r="H1925" s="25"/>
      <c r="I1925" s="25"/>
      <c r="J1925" s="25"/>
      <c r="K1925" s="25"/>
      <c r="L1925" s="26"/>
      <c r="M1925" s="25"/>
      <c r="N1925" s="25"/>
      <c r="O1925" s="27"/>
      <c r="P1925" s="7"/>
      <c r="Q1925" s="16">
        <f>+IF(IFERROR(VLOOKUP(Tabla3[[#This Row],[Cliente factura]],Tabla4[[NIT]:[TOTAL CREDITO]],3,FALSE),0)="",0,IFERROR(VLOOKUP(Tabla3[[#This Row],[Cliente factura]],Tabla4[[NIT]:[TOTAL CREDITO]],3,FALSE),0))</f>
        <v>0</v>
      </c>
      <c r="R1925" s="9">
        <f>+IFERROR(VLOOKUP(Tabla3[[#This Row],[Cliente factura]],Tabla4[[NIT]:[TOTAL CREDITO]],6,FALSE),0)</f>
        <v>0</v>
      </c>
      <c r="S1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5" s="10" t="e">
        <f>VLOOKUP(Tabla3[[#This Row],[Razón social cliente factura]]&amp;Tabla3[[#This Row],[Desc. ciudad]],'Estandar de Rutas'!$C$1:$E$553,2,FALSE)</f>
        <v>#N/A</v>
      </c>
      <c r="U1925" s="130">
        <f>IFERROR(VLOOKUP(Tabla3[[#This Row],[Referencia]]&amp;Tabla3[[#This Row],[Desc detalle ext 1]],Tabla1[[Referencia-Color]:[Disponibilidad]],3,FALSE),0)</f>
        <v>0</v>
      </c>
      <c r="V1925" s="13"/>
      <c r="W1925" s="17">
        <f>+Tabla3[[#This Row],[Cant. Programada]]*Tabla3[[#This Row],[Precio unit]]</f>
        <v>0</v>
      </c>
      <c r="X1925" s="8"/>
      <c r="Y1925" s="8"/>
      <c r="Z1925" s="8" t="str">
        <f>+Tabla3[[#This Row],[Referencia]]&amp;Tabla3[[#This Row],[Desc detalle ext 1]]</f>
        <v/>
      </c>
      <c r="AA1925" s="128" t="e">
        <f>+VLOOKUP(Tabla3[[#This Row],[CODIGO2]],ESTANDAR!$B$3:$C$9,2,FALSE)</f>
        <v>#N/A</v>
      </c>
      <c r="AB1925" s="128" t="str">
        <f>+MID(Tabla3[[#This Row],['# Viaje]],10,1)</f>
        <v/>
      </c>
    </row>
    <row r="1926" spans="1:28" ht="15" hidden="1" customHeight="1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6"/>
      <c r="M1926" s="25"/>
      <c r="N1926" s="25"/>
      <c r="O1926" s="27"/>
      <c r="P1926" s="7"/>
      <c r="Q1926" s="16">
        <f>+IF(IFERROR(VLOOKUP(Tabla3[[#This Row],[Cliente factura]],Tabla4[[NIT]:[TOTAL CREDITO]],3,FALSE),0)="",0,IFERROR(VLOOKUP(Tabla3[[#This Row],[Cliente factura]],Tabla4[[NIT]:[TOTAL CREDITO]],3,FALSE),0))</f>
        <v>0</v>
      </c>
      <c r="R1926" s="9">
        <f>+IFERROR(VLOOKUP(Tabla3[[#This Row],[Cliente factura]],Tabla4[[NIT]:[TOTAL CREDITO]],6,FALSE),0)</f>
        <v>0</v>
      </c>
      <c r="S1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6" s="10" t="e">
        <f>VLOOKUP(Tabla3[[#This Row],[Razón social cliente factura]]&amp;Tabla3[[#This Row],[Desc. ciudad]],'Estandar de Rutas'!$C$1:$E$553,2,FALSE)</f>
        <v>#N/A</v>
      </c>
      <c r="U1926" s="130">
        <f>IFERROR(VLOOKUP(Tabla3[[#This Row],[Referencia]]&amp;Tabla3[[#This Row],[Desc detalle ext 1]],Tabla1[[Referencia-Color]:[Disponibilidad]],3,FALSE),0)</f>
        <v>0</v>
      </c>
      <c r="V1926" s="13"/>
      <c r="W1926" s="17">
        <f>+Tabla3[[#This Row],[Cant. Programada]]*Tabla3[[#This Row],[Precio unit]]</f>
        <v>0</v>
      </c>
      <c r="X1926" s="8"/>
      <c r="Y1926" s="8"/>
      <c r="Z1926" s="8" t="str">
        <f>+Tabla3[[#This Row],[Referencia]]&amp;Tabla3[[#This Row],[Desc detalle ext 1]]</f>
        <v/>
      </c>
      <c r="AA1926" s="128" t="e">
        <f>+VLOOKUP(Tabla3[[#This Row],[CODIGO2]],ESTANDAR!$B$3:$C$9,2,FALSE)</f>
        <v>#N/A</v>
      </c>
      <c r="AB1926" s="128" t="str">
        <f>+MID(Tabla3[[#This Row],['# Viaje]],10,1)</f>
        <v/>
      </c>
    </row>
    <row r="1927" spans="1:28" ht="15" hidden="1" customHeight="1">
      <c r="A1927" s="25"/>
      <c r="B1927" s="26"/>
      <c r="C1927" s="25"/>
      <c r="D1927" s="25"/>
      <c r="E1927" s="25"/>
      <c r="F1927" s="25"/>
      <c r="G1927" s="25"/>
      <c r="H1927" s="25"/>
      <c r="I1927" s="25"/>
      <c r="J1927" s="25"/>
      <c r="K1927" s="25"/>
      <c r="L1927" s="26"/>
      <c r="M1927" s="25"/>
      <c r="N1927" s="25"/>
      <c r="O1927" s="27"/>
      <c r="P1927" s="7"/>
      <c r="Q1927" s="16">
        <f>+IF(IFERROR(VLOOKUP(Tabla3[[#This Row],[Cliente factura]],Tabla4[[NIT]:[TOTAL CREDITO]],3,FALSE),0)="",0,IFERROR(VLOOKUP(Tabla3[[#This Row],[Cliente factura]],Tabla4[[NIT]:[TOTAL CREDITO]],3,FALSE),0))</f>
        <v>0</v>
      </c>
      <c r="R1927" s="9">
        <f>+IFERROR(VLOOKUP(Tabla3[[#This Row],[Cliente factura]],Tabla4[[NIT]:[TOTAL CREDITO]],6,FALSE),0)</f>
        <v>0</v>
      </c>
      <c r="S1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7" s="10" t="e">
        <f>VLOOKUP(Tabla3[[#This Row],[Razón social cliente factura]]&amp;Tabla3[[#This Row],[Desc. ciudad]],'Estandar de Rutas'!$C$1:$E$553,2,FALSE)</f>
        <v>#N/A</v>
      </c>
      <c r="U1927" s="130">
        <f>IFERROR(VLOOKUP(Tabla3[[#This Row],[Referencia]]&amp;Tabla3[[#This Row],[Desc detalle ext 1]],Tabla1[[Referencia-Color]:[Disponibilidad]],3,FALSE),0)</f>
        <v>0</v>
      </c>
      <c r="V1927" s="13"/>
      <c r="W1927" s="17">
        <f>+Tabla3[[#This Row],[Cant. Programada]]*Tabla3[[#This Row],[Precio unit]]</f>
        <v>0</v>
      </c>
      <c r="X1927" s="8"/>
      <c r="Y1927" s="8"/>
      <c r="Z1927" s="8" t="str">
        <f>+Tabla3[[#This Row],[Referencia]]&amp;Tabla3[[#This Row],[Desc detalle ext 1]]</f>
        <v/>
      </c>
      <c r="AA1927" s="128" t="e">
        <f>+VLOOKUP(Tabla3[[#This Row],[CODIGO2]],ESTANDAR!$B$3:$C$9,2,FALSE)</f>
        <v>#N/A</v>
      </c>
      <c r="AB1927" s="128" t="str">
        <f>+MID(Tabla3[[#This Row],['# Viaje]],10,1)</f>
        <v/>
      </c>
    </row>
    <row r="1928" spans="1:28" ht="15" hidden="1" customHeight="1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6"/>
      <c r="M1928" s="25"/>
      <c r="N1928" s="25"/>
      <c r="O1928" s="27"/>
      <c r="P1928" s="7"/>
      <c r="Q1928" s="16">
        <f>+IF(IFERROR(VLOOKUP(Tabla3[[#This Row],[Cliente factura]],Tabla4[[NIT]:[TOTAL CREDITO]],3,FALSE),0)="",0,IFERROR(VLOOKUP(Tabla3[[#This Row],[Cliente factura]],Tabla4[[NIT]:[TOTAL CREDITO]],3,FALSE),0))</f>
        <v>0</v>
      </c>
      <c r="R1928" s="9">
        <f>+IFERROR(VLOOKUP(Tabla3[[#This Row],[Cliente factura]],Tabla4[[NIT]:[TOTAL CREDITO]],6,FALSE),0)</f>
        <v>0</v>
      </c>
      <c r="S1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8" s="10" t="e">
        <f>VLOOKUP(Tabla3[[#This Row],[Razón social cliente factura]]&amp;Tabla3[[#This Row],[Desc. ciudad]],'Estandar de Rutas'!$C$1:$E$553,2,FALSE)</f>
        <v>#N/A</v>
      </c>
      <c r="U1928" s="130">
        <f>IFERROR(VLOOKUP(Tabla3[[#This Row],[Referencia]]&amp;Tabla3[[#This Row],[Desc detalle ext 1]],Tabla1[[Referencia-Color]:[Disponibilidad]],3,FALSE),0)</f>
        <v>0</v>
      </c>
      <c r="V1928" s="13"/>
      <c r="W1928" s="17">
        <f>+Tabla3[[#This Row],[Cant. Programada]]*Tabla3[[#This Row],[Precio unit]]</f>
        <v>0</v>
      </c>
      <c r="X1928" s="8"/>
      <c r="Y1928" s="8"/>
      <c r="Z1928" s="8" t="str">
        <f>+Tabla3[[#This Row],[Referencia]]&amp;Tabla3[[#This Row],[Desc detalle ext 1]]</f>
        <v/>
      </c>
      <c r="AA1928" s="128" t="e">
        <f>+VLOOKUP(Tabla3[[#This Row],[CODIGO2]],ESTANDAR!$B$3:$C$9,2,FALSE)</f>
        <v>#N/A</v>
      </c>
      <c r="AB1928" s="128" t="str">
        <f>+MID(Tabla3[[#This Row],['# Viaje]],10,1)</f>
        <v/>
      </c>
    </row>
    <row r="1929" spans="1:28" ht="15" hidden="1" customHeight="1">
      <c r="A1929" s="25"/>
      <c r="B1929" s="26"/>
      <c r="C1929" s="25"/>
      <c r="D1929" s="25"/>
      <c r="E1929" s="25"/>
      <c r="F1929" s="25"/>
      <c r="G1929" s="25"/>
      <c r="H1929" s="25"/>
      <c r="I1929" s="25"/>
      <c r="J1929" s="25"/>
      <c r="K1929" s="25"/>
      <c r="L1929" s="26"/>
      <c r="M1929" s="25"/>
      <c r="N1929" s="25"/>
      <c r="O1929" s="27"/>
      <c r="P1929" s="7"/>
      <c r="Q1929" s="16">
        <f>+IF(IFERROR(VLOOKUP(Tabla3[[#This Row],[Cliente factura]],Tabla4[[NIT]:[TOTAL CREDITO]],3,FALSE),0)="",0,IFERROR(VLOOKUP(Tabla3[[#This Row],[Cliente factura]],Tabla4[[NIT]:[TOTAL CREDITO]],3,FALSE),0))</f>
        <v>0</v>
      </c>
      <c r="R1929" s="9">
        <f>+IFERROR(VLOOKUP(Tabla3[[#This Row],[Cliente factura]],Tabla4[[NIT]:[TOTAL CREDITO]],6,FALSE),0)</f>
        <v>0</v>
      </c>
      <c r="S1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9" s="10" t="e">
        <f>VLOOKUP(Tabla3[[#This Row],[Razón social cliente factura]]&amp;Tabla3[[#This Row],[Desc. ciudad]],'Estandar de Rutas'!$C$1:$E$553,2,FALSE)</f>
        <v>#N/A</v>
      </c>
      <c r="U1929" s="130">
        <f>IFERROR(VLOOKUP(Tabla3[[#This Row],[Referencia]]&amp;Tabla3[[#This Row],[Desc detalle ext 1]],Tabla1[[Referencia-Color]:[Disponibilidad]],3,FALSE),0)</f>
        <v>0</v>
      </c>
      <c r="V1929" s="13"/>
      <c r="W1929" s="17">
        <f>+Tabla3[[#This Row],[Cant. Programada]]*Tabla3[[#This Row],[Precio unit]]</f>
        <v>0</v>
      </c>
      <c r="X1929" s="8"/>
      <c r="Y1929" s="8"/>
      <c r="Z1929" s="8" t="str">
        <f>+Tabla3[[#This Row],[Referencia]]&amp;Tabla3[[#This Row],[Desc detalle ext 1]]</f>
        <v/>
      </c>
      <c r="AA1929" s="128" t="e">
        <f>+VLOOKUP(Tabla3[[#This Row],[CODIGO2]],ESTANDAR!$B$3:$C$9,2,FALSE)</f>
        <v>#N/A</v>
      </c>
      <c r="AB1929" s="128" t="str">
        <f>+MID(Tabla3[[#This Row],['# Viaje]],10,1)</f>
        <v/>
      </c>
    </row>
    <row r="1930" spans="1:28" ht="15" hidden="1" customHeight="1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6"/>
      <c r="M1930" s="25"/>
      <c r="N1930" s="25"/>
      <c r="O1930" s="27"/>
      <c r="P1930" s="7"/>
      <c r="Q1930" s="16">
        <f>+IF(IFERROR(VLOOKUP(Tabla3[[#This Row],[Cliente factura]],Tabla4[[NIT]:[TOTAL CREDITO]],3,FALSE),0)="",0,IFERROR(VLOOKUP(Tabla3[[#This Row],[Cliente factura]],Tabla4[[NIT]:[TOTAL CREDITO]],3,FALSE),0))</f>
        <v>0</v>
      </c>
      <c r="R1930" s="9">
        <f>+IFERROR(VLOOKUP(Tabla3[[#This Row],[Cliente factura]],Tabla4[[NIT]:[TOTAL CREDITO]],6,FALSE),0)</f>
        <v>0</v>
      </c>
      <c r="S1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0" s="10" t="e">
        <f>VLOOKUP(Tabla3[[#This Row],[Razón social cliente factura]]&amp;Tabla3[[#This Row],[Desc. ciudad]],'Estandar de Rutas'!$C$1:$E$553,2,FALSE)</f>
        <v>#N/A</v>
      </c>
      <c r="U1930" s="130">
        <f>IFERROR(VLOOKUP(Tabla3[[#This Row],[Referencia]]&amp;Tabla3[[#This Row],[Desc detalle ext 1]],Tabla1[[Referencia-Color]:[Disponibilidad]],3,FALSE),0)</f>
        <v>0</v>
      </c>
      <c r="V1930" s="13"/>
      <c r="W1930" s="17">
        <f>+Tabla3[[#This Row],[Cant. Programada]]*Tabla3[[#This Row],[Precio unit]]</f>
        <v>0</v>
      </c>
      <c r="X1930" s="8"/>
      <c r="Y1930" s="8"/>
      <c r="Z1930" s="8" t="str">
        <f>+Tabla3[[#This Row],[Referencia]]&amp;Tabla3[[#This Row],[Desc detalle ext 1]]</f>
        <v/>
      </c>
      <c r="AA1930" s="128" t="e">
        <f>+VLOOKUP(Tabla3[[#This Row],[CODIGO2]],ESTANDAR!$B$3:$C$9,2,FALSE)</f>
        <v>#N/A</v>
      </c>
      <c r="AB1930" s="128" t="str">
        <f>+MID(Tabla3[[#This Row],['# Viaje]],10,1)</f>
        <v/>
      </c>
    </row>
    <row r="1931" spans="1:28" ht="15" hidden="1" customHeight="1">
      <c r="A1931" s="25"/>
      <c r="B1931" s="26"/>
      <c r="C1931" s="25"/>
      <c r="D1931" s="25"/>
      <c r="E1931" s="25"/>
      <c r="F1931" s="25"/>
      <c r="G1931" s="25"/>
      <c r="H1931" s="25"/>
      <c r="I1931" s="25"/>
      <c r="J1931" s="25"/>
      <c r="K1931" s="25"/>
      <c r="L1931" s="26"/>
      <c r="M1931" s="25"/>
      <c r="N1931" s="25"/>
      <c r="O1931" s="27"/>
      <c r="P1931" s="7"/>
      <c r="Q1931" s="16">
        <f>+IF(IFERROR(VLOOKUP(Tabla3[[#This Row],[Cliente factura]],Tabla4[[NIT]:[TOTAL CREDITO]],3,FALSE),0)="",0,IFERROR(VLOOKUP(Tabla3[[#This Row],[Cliente factura]],Tabla4[[NIT]:[TOTAL CREDITO]],3,FALSE),0))</f>
        <v>0</v>
      </c>
      <c r="R1931" s="9">
        <f>+IFERROR(VLOOKUP(Tabla3[[#This Row],[Cliente factura]],Tabla4[[NIT]:[TOTAL CREDITO]],6,FALSE),0)</f>
        <v>0</v>
      </c>
      <c r="S1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1" s="10" t="e">
        <f>VLOOKUP(Tabla3[[#This Row],[Razón social cliente factura]]&amp;Tabla3[[#This Row],[Desc. ciudad]],'Estandar de Rutas'!$C$1:$E$553,2,FALSE)</f>
        <v>#N/A</v>
      </c>
      <c r="U1931" s="130">
        <f>IFERROR(VLOOKUP(Tabla3[[#This Row],[Referencia]]&amp;Tabla3[[#This Row],[Desc detalle ext 1]],Tabla1[[Referencia-Color]:[Disponibilidad]],3,FALSE),0)</f>
        <v>0</v>
      </c>
      <c r="V1931" s="13"/>
      <c r="W1931" s="17">
        <f>+Tabla3[[#This Row],[Cant. Programada]]*Tabla3[[#This Row],[Precio unit]]</f>
        <v>0</v>
      </c>
      <c r="X1931" s="8"/>
      <c r="Y1931" s="8"/>
      <c r="Z1931" s="8" t="str">
        <f>+Tabla3[[#This Row],[Referencia]]&amp;Tabla3[[#This Row],[Desc detalle ext 1]]</f>
        <v/>
      </c>
      <c r="AA1931" s="128" t="e">
        <f>+VLOOKUP(Tabla3[[#This Row],[CODIGO2]],ESTANDAR!$B$3:$C$9,2,FALSE)</f>
        <v>#N/A</v>
      </c>
      <c r="AB1931" s="128" t="str">
        <f>+MID(Tabla3[[#This Row],['# Viaje]],10,1)</f>
        <v/>
      </c>
    </row>
    <row r="1932" spans="1:28" ht="15" hidden="1" customHeight="1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6"/>
      <c r="M1932" s="25"/>
      <c r="N1932" s="25"/>
      <c r="O1932" s="27"/>
      <c r="P1932" s="7"/>
      <c r="Q1932" s="16">
        <f>+IF(IFERROR(VLOOKUP(Tabla3[[#This Row],[Cliente factura]],Tabla4[[NIT]:[TOTAL CREDITO]],3,FALSE),0)="",0,IFERROR(VLOOKUP(Tabla3[[#This Row],[Cliente factura]],Tabla4[[NIT]:[TOTAL CREDITO]],3,FALSE),0))</f>
        <v>0</v>
      </c>
      <c r="R1932" s="9">
        <f>+IFERROR(VLOOKUP(Tabla3[[#This Row],[Cliente factura]],Tabla4[[NIT]:[TOTAL CREDITO]],6,FALSE),0)</f>
        <v>0</v>
      </c>
      <c r="S1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2" s="10" t="e">
        <f>VLOOKUP(Tabla3[[#This Row],[Razón social cliente factura]]&amp;Tabla3[[#This Row],[Desc. ciudad]],'Estandar de Rutas'!$C$1:$E$553,2,FALSE)</f>
        <v>#N/A</v>
      </c>
      <c r="U1932" s="130">
        <f>IFERROR(VLOOKUP(Tabla3[[#This Row],[Referencia]]&amp;Tabla3[[#This Row],[Desc detalle ext 1]],Tabla1[[Referencia-Color]:[Disponibilidad]],3,FALSE),0)</f>
        <v>0</v>
      </c>
      <c r="V1932" s="13"/>
      <c r="W1932" s="17">
        <f>+Tabla3[[#This Row],[Cant. Programada]]*Tabla3[[#This Row],[Precio unit]]</f>
        <v>0</v>
      </c>
      <c r="X1932" s="8"/>
      <c r="Y1932" s="8"/>
      <c r="Z1932" s="8" t="str">
        <f>+Tabla3[[#This Row],[Referencia]]&amp;Tabla3[[#This Row],[Desc detalle ext 1]]</f>
        <v/>
      </c>
      <c r="AA1932" s="128" t="e">
        <f>+VLOOKUP(Tabla3[[#This Row],[CODIGO2]],ESTANDAR!$B$3:$C$9,2,FALSE)</f>
        <v>#N/A</v>
      </c>
      <c r="AB1932" s="128" t="str">
        <f>+MID(Tabla3[[#This Row],['# Viaje]],10,1)</f>
        <v/>
      </c>
    </row>
    <row r="1933" spans="1:28" ht="15" hidden="1" customHeight="1">
      <c r="A1933" s="25"/>
      <c r="B1933" s="26"/>
      <c r="C1933" s="25"/>
      <c r="D1933" s="25"/>
      <c r="E1933" s="25"/>
      <c r="F1933" s="25"/>
      <c r="G1933" s="25"/>
      <c r="H1933" s="25"/>
      <c r="I1933" s="25"/>
      <c r="J1933" s="25"/>
      <c r="K1933" s="25"/>
      <c r="L1933" s="26"/>
      <c r="M1933" s="25"/>
      <c r="N1933" s="25"/>
      <c r="O1933" s="27"/>
      <c r="P1933" s="7"/>
      <c r="Q1933" s="16">
        <f>+IF(IFERROR(VLOOKUP(Tabla3[[#This Row],[Cliente factura]],Tabla4[[NIT]:[TOTAL CREDITO]],3,FALSE),0)="",0,IFERROR(VLOOKUP(Tabla3[[#This Row],[Cliente factura]],Tabla4[[NIT]:[TOTAL CREDITO]],3,FALSE),0))</f>
        <v>0</v>
      </c>
      <c r="R1933" s="9">
        <f>+IFERROR(VLOOKUP(Tabla3[[#This Row],[Cliente factura]],Tabla4[[NIT]:[TOTAL CREDITO]],6,FALSE),0)</f>
        <v>0</v>
      </c>
      <c r="S1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3" s="10" t="e">
        <f>VLOOKUP(Tabla3[[#This Row],[Razón social cliente factura]]&amp;Tabla3[[#This Row],[Desc. ciudad]],'Estandar de Rutas'!$C$1:$E$553,2,FALSE)</f>
        <v>#N/A</v>
      </c>
      <c r="U1933" s="130">
        <f>IFERROR(VLOOKUP(Tabla3[[#This Row],[Referencia]]&amp;Tabla3[[#This Row],[Desc detalle ext 1]],Tabla1[[Referencia-Color]:[Disponibilidad]],3,FALSE),0)</f>
        <v>0</v>
      </c>
      <c r="V1933" s="13"/>
      <c r="W1933" s="17">
        <f>+Tabla3[[#This Row],[Cant. Programada]]*Tabla3[[#This Row],[Precio unit]]</f>
        <v>0</v>
      </c>
      <c r="X1933" s="8"/>
      <c r="Y1933" s="8"/>
      <c r="Z1933" s="8" t="str">
        <f>+Tabla3[[#This Row],[Referencia]]&amp;Tabla3[[#This Row],[Desc detalle ext 1]]</f>
        <v/>
      </c>
      <c r="AA1933" s="128" t="e">
        <f>+VLOOKUP(Tabla3[[#This Row],[CODIGO2]],ESTANDAR!$B$3:$C$9,2,FALSE)</f>
        <v>#N/A</v>
      </c>
      <c r="AB1933" s="128" t="str">
        <f>+MID(Tabla3[[#This Row],['# Viaje]],10,1)</f>
        <v/>
      </c>
    </row>
    <row r="1934" spans="1:28" ht="15" hidden="1" customHeight="1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6"/>
      <c r="M1934" s="25"/>
      <c r="N1934" s="25"/>
      <c r="O1934" s="27"/>
      <c r="P1934" s="7"/>
      <c r="Q1934" s="16">
        <f>+IF(IFERROR(VLOOKUP(Tabla3[[#This Row],[Cliente factura]],Tabla4[[NIT]:[TOTAL CREDITO]],3,FALSE),0)="",0,IFERROR(VLOOKUP(Tabla3[[#This Row],[Cliente factura]],Tabla4[[NIT]:[TOTAL CREDITO]],3,FALSE),0))</f>
        <v>0</v>
      </c>
      <c r="R1934" s="9">
        <f>+IFERROR(VLOOKUP(Tabla3[[#This Row],[Cliente factura]],Tabla4[[NIT]:[TOTAL CREDITO]],6,FALSE),0)</f>
        <v>0</v>
      </c>
      <c r="S1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4" s="10" t="e">
        <f>VLOOKUP(Tabla3[[#This Row],[Razón social cliente factura]]&amp;Tabla3[[#This Row],[Desc. ciudad]],'Estandar de Rutas'!$C$1:$E$553,2,FALSE)</f>
        <v>#N/A</v>
      </c>
      <c r="U1934" s="130">
        <f>IFERROR(VLOOKUP(Tabla3[[#This Row],[Referencia]]&amp;Tabla3[[#This Row],[Desc detalle ext 1]],Tabla1[[Referencia-Color]:[Disponibilidad]],3,FALSE),0)</f>
        <v>0</v>
      </c>
      <c r="V1934" s="13"/>
      <c r="W1934" s="17">
        <f>+Tabla3[[#This Row],[Cant. Programada]]*Tabla3[[#This Row],[Precio unit]]</f>
        <v>0</v>
      </c>
      <c r="X1934" s="8"/>
      <c r="Y1934" s="8"/>
      <c r="Z1934" s="8" t="str">
        <f>+Tabla3[[#This Row],[Referencia]]&amp;Tabla3[[#This Row],[Desc detalle ext 1]]</f>
        <v/>
      </c>
      <c r="AA1934" s="128" t="e">
        <f>+VLOOKUP(Tabla3[[#This Row],[CODIGO2]],ESTANDAR!$B$3:$C$9,2,FALSE)</f>
        <v>#N/A</v>
      </c>
      <c r="AB1934" s="128" t="str">
        <f>+MID(Tabla3[[#This Row],['# Viaje]],10,1)</f>
        <v/>
      </c>
    </row>
    <row r="1935" spans="1:28" ht="15" hidden="1" customHeight="1">
      <c r="A1935" s="25"/>
      <c r="B1935" s="26"/>
      <c r="C1935" s="25"/>
      <c r="D1935" s="25"/>
      <c r="E1935" s="25"/>
      <c r="F1935" s="25"/>
      <c r="G1935" s="25"/>
      <c r="H1935" s="25"/>
      <c r="I1935" s="25"/>
      <c r="J1935" s="25"/>
      <c r="K1935" s="25"/>
      <c r="L1935" s="26"/>
      <c r="M1935" s="25"/>
      <c r="N1935" s="25"/>
      <c r="O1935" s="27"/>
      <c r="P1935" s="7"/>
      <c r="Q1935" s="16">
        <f>+IF(IFERROR(VLOOKUP(Tabla3[[#This Row],[Cliente factura]],Tabla4[[NIT]:[TOTAL CREDITO]],3,FALSE),0)="",0,IFERROR(VLOOKUP(Tabla3[[#This Row],[Cliente factura]],Tabla4[[NIT]:[TOTAL CREDITO]],3,FALSE),0))</f>
        <v>0</v>
      </c>
      <c r="R1935" s="9">
        <f>+IFERROR(VLOOKUP(Tabla3[[#This Row],[Cliente factura]],Tabla4[[NIT]:[TOTAL CREDITO]],6,FALSE),0)</f>
        <v>0</v>
      </c>
      <c r="S1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5" s="10" t="e">
        <f>VLOOKUP(Tabla3[[#This Row],[Razón social cliente factura]]&amp;Tabla3[[#This Row],[Desc. ciudad]],'Estandar de Rutas'!$C$1:$E$553,2,FALSE)</f>
        <v>#N/A</v>
      </c>
      <c r="U1935" s="130">
        <f>IFERROR(VLOOKUP(Tabla3[[#This Row],[Referencia]]&amp;Tabla3[[#This Row],[Desc detalle ext 1]],Tabla1[[Referencia-Color]:[Disponibilidad]],3,FALSE),0)</f>
        <v>0</v>
      </c>
      <c r="V1935" s="13"/>
      <c r="W1935" s="17">
        <f>+Tabla3[[#This Row],[Cant. Programada]]*Tabla3[[#This Row],[Precio unit]]</f>
        <v>0</v>
      </c>
      <c r="X1935" s="8"/>
      <c r="Y1935" s="8"/>
      <c r="Z1935" s="8" t="str">
        <f>+Tabla3[[#This Row],[Referencia]]&amp;Tabla3[[#This Row],[Desc detalle ext 1]]</f>
        <v/>
      </c>
      <c r="AA1935" s="128" t="e">
        <f>+VLOOKUP(Tabla3[[#This Row],[CODIGO2]],ESTANDAR!$B$3:$C$9,2,FALSE)</f>
        <v>#N/A</v>
      </c>
      <c r="AB1935" s="128" t="str">
        <f>+MID(Tabla3[[#This Row],['# Viaje]],10,1)</f>
        <v/>
      </c>
    </row>
    <row r="1936" spans="1:28" ht="15" hidden="1" customHeight="1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6"/>
      <c r="M1936" s="25"/>
      <c r="N1936" s="25"/>
      <c r="O1936" s="27"/>
      <c r="P1936" s="7"/>
      <c r="Q1936" s="16">
        <f>+IF(IFERROR(VLOOKUP(Tabla3[[#This Row],[Cliente factura]],Tabla4[[NIT]:[TOTAL CREDITO]],3,FALSE),0)="",0,IFERROR(VLOOKUP(Tabla3[[#This Row],[Cliente factura]],Tabla4[[NIT]:[TOTAL CREDITO]],3,FALSE),0))</f>
        <v>0</v>
      </c>
      <c r="R1936" s="9">
        <f>+IFERROR(VLOOKUP(Tabla3[[#This Row],[Cliente factura]],Tabla4[[NIT]:[TOTAL CREDITO]],6,FALSE),0)</f>
        <v>0</v>
      </c>
      <c r="S1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6" s="10" t="e">
        <f>VLOOKUP(Tabla3[[#This Row],[Razón social cliente factura]]&amp;Tabla3[[#This Row],[Desc. ciudad]],'Estandar de Rutas'!$C$1:$E$553,2,FALSE)</f>
        <v>#N/A</v>
      </c>
      <c r="U1936" s="130">
        <f>IFERROR(VLOOKUP(Tabla3[[#This Row],[Referencia]]&amp;Tabla3[[#This Row],[Desc detalle ext 1]],Tabla1[[Referencia-Color]:[Disponibilidad]],3,FALSE),0)</f>
        <v>0</v>
      </c>
      <c r="V1936" s="13"/>
      <c r="W1936" s="17">
        <f>+Tabla3[[#This Row],[Cant. Programada]]*Tabla3[[#This Row],[Precio unit]]</f>
        <v>0</v>
      </c>
      <c r="X1936" s="8"/>
      <c r="Y1936" s="8"/>
      <c r="Z1936" s="8" t="str">
        <f>+Tabla3[[#This Row],[Referencia]]&amp;Tabla3[[#This Row],[Desc detalle ext 1]]</f>
        <v/>
      </c>
      <c r="AA1936" s="128" t="e">
        <f>+VLOOKUP(Tabla3[[#This Row],[CODIGO2]],ESTANDAR!$B$3:$C$9,2,FALSE)</f>
        <v>#N/A</v>
      </c>
      <c r="AB1936" s="128" t="str">
        <f>+MID(Tabla3[[#This Row],['# Viaje]],10,1)</f>
        <v/>
      </c>
    </row>
    <row r="1937" spans="1:28" ht="15" hidden="1" customHeight="1">
      <c r="A1937" s="25"/>
      <c r="B1937" s="26"/>
      <c r="C1937" s="25"/>
      <c r="D1937" s="25"/>
      <c r="E1937" s="25"/>
      <c r="F1937" s="25"/>
      <c r="G1937" s="25"/>
      <c r="H1937" s="25"/>
      <c r="I1937" s="25"/>
      <c r="J1937" s="25"/>
      <c r="K1937" s="25"/>
      <c r="L1937" s="26"/>
      <c r="M1937" s="25"/>
      <c r="N1937" s="25"/>
      <c r="O1937" s="27"/>
      <c r="P1937" s="7"/>
      <c r="Q1937" s="16">
        <f>+IF(IFERROR(VLOOKUP(Tabla3[[#This Row],[Cliente factura]],Tabla4[[NIT]:[TOTAL CREDITO]],3,FALSE),0)="",0,IFERROR(VLOOKUP(Tabla3[[#This Row],[Cliente factura]],Tabla4[[NIT]:[TOTAL CREDITO]],3,FALSE),0))</f>
        <v>0</v>
      </c>
      <c r="R1937" s="9">
        <f>+IFERROR(VLOOKUP(Tabla3[[#This Row],[Cliente factura]],Tabla4[[NIT]:[TOTAL CREDITO]],6,FALSE),0)</f>
        <v>0</v>
      </c>
      <c r="S1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7" s="10" t="e">
        <f>VLOOKUP(Tabla3[[#This Row],[Razón social cliente factura]]&amp;Tabla3[[#This Row],[Desc. ciudad]],'Estandar de Rutas'!$C$1:$E$553,2,FALSE)</f>
        <v>#N/A</v>
      </c>
      <c r="U1937" s="130">
        <f>IFERROR(VLOOKUP(Tabla3[[#This Row],[Referencia]]&amp;Tabla3[[#This Row],[Desc detalle ext 1]],Tabla1[[Referencia-Color]:[Disponibilidad]],3,FALSE),0)</f>
        <v>0</v>
      </c>
      <c r="V1937" s="13"/>
      <c r="W1937" s="17">
        <f>+Tabla3[[#This Row],[Cant. Programada]]*Tabla3[[#This Row],[Precio unit]]</f>
        <v>0</v>
      </c>
      <c r="X1937" s="8"/>
      <c r="Y1937" s="8"/>
      <c r="Z1937" s="8" t="str">
        <f>+Tabla3[[#This Row],[Referencia]]&amp;Tabla3[[#This Row],[Desc detalle ext 1]]</f>
        <v/>
      </c>
      <c r="AA1937" s="128" t="e">
        <f>+VLOOKUP(Tabla3[[#This Row],[CODIGO2]],ESTANDAR!$B$3:$C$9,2,FALSE)</f>
        <v>#N/A</v>
      </c>
      <c r="AB1937" s="128" t="str">
        <f>+MID(Tabla3[[#This Row],['# Viaje]],10,1)</f>
        <v/>
      </c>
    </row>
    <row r="1938" spans="1:28" ht="15" hidden="1" customHeight="1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6"/>
      <c r="M1938" s="25"/>
      <c r="N1938" s="25"/>
      <c r="O1938" s="27"/>
      <c r="P1938" s="7"/>
      <c r="Q1938" s="16">
        <f>+IF(IFERROR(VLOOKUP(Tabla3[[#This Row],[Cliente factura]],Tabla4[[NIT]:[TOTAL CREDITO]],3,FALSE),0)="",0,IFERROR(VLOOKUP(Tabla3[[#This Row],[Cliente factura]],Tabla4[[NIT]:[TOTAL CREDITO]],3,FALSE),0))</f>
        <v>0</v>
      </c>
      <c r="R1938" s="9">
        <f>+IFERROR(VLOOKUP(Tabla3[[#This Row],[Cliente factura]],Tabla4[[NIT]:[TOTAL CREDITO]],6,FALSE),0)</f>
        <v>0</v>
      </c>
      <c r="S1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8" s="10" t="e">
        <f>VLOOKUP(Tabla3[[#This Row],[Razón social cliente factura]]&amp;Tabla3[[#This Row],[Desc. ciudad]],'Estandar de Rutas'!$C$1:$E$553,2,FALSE)</f>
        <v>#N/A</v>
      </c>
      <c r="U1938" s="130">
        <f>IFERROR(VLOOKUP(Tabla3[[#This Row],[Referencia]]&amp;Tabla3[[#This Row],[Desc detalle ext 1]],Tabla1[[Referencia-Color]:[Disponibilidad]],3,FALSE),0)</f>
        <v>0</v>
      </c>
      <c r="V1938" s="13"/>
      <c r="W1938" s="17">
        <f>+Tabla3[[#This Row],[Cant. Programada]]*Tabla3[[#This Row],[Precio unit]]</f>
        <v>0</v>
      </c>
      <c r="X1938" s="8"/>
      <c r="Y1938" s="8"/>
      <c r="Z1938" s="8" t="str">
        <f>+Tabla3[[#This Row],[Referencia]]&amp;Tabla3[[#This Row],[Desc detalle ext 1]]</f>
        <v/>
      </c>
      <c r="AA1938" s="128" t="e">
        <f>+VLOOKUP(Tabla3[[#This Row],[CODIGO2]],ESTANDAR!$B$3:$C$9,2,FALSE)</f>
        <v>#N/A</v>
      </c>
      <c r="AB1938" s="128" t="str">
        <f>+MID(Tabla3[[#This Row],['# Viaje]],10,1)</f>
        <v/>
      </c>
    </row>
    <row r="1939" spans="1:28" ht="15" hidden="1" customHeight="1">
      <c r="A1939" s="25"/>
      <c r="B1939" s="26"/>
      <c r="C1939" s="25"/>
      <c r="D1939" s="25"/>
      <c r="E1939" s="25"/>
      <c r="F1939" s="25"/>
      <c r="G1939" s="25"/>
      <c r="H1939" s="25"/>
      <c r="I1939" s="25"/>
      <c r="J1939" s="25"/>
      <c r="K1939" s="25"/>
      <c r="L1939" s="26"/>
      <c r="M1939" s="25"/>
      <c r="N1939" s="25"/>
      <c r="O1939" s="27"/>
      <c r="P1939" s="7"/>
      <c r="Q1939" s="16">
        <f>+IF(IFERROR(VLOOKUP(Tabla3[[#This Row],[Cliente factura]],Tabla4[[NIT]:[TOTAL CREDITO]],3,FALSE),0)="",0,IFERROR(VLOOKUP(Tabla3[[#This Row],[Cliente factura]],Tabla4[[NIT]:[TOTAL CREDITO]],3,FALSE),0))</f>
        <v>0</v>
      </c>
      <c r="R1939" s="9">
        <f>+IFERROR(VLOOKUP(Tabla3[[#This Row],[Cliente factura]],Tabla4[[NIT]:[TOTAL CREDITO]],6,FALSE),0)</f>
        <v>0</v>
      </c>
      <c r="S1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9" s="10" t="e">
        <f>VLOOKUP(Tabla3[[#This Row],[Razón social cliente factura]]&amp;Tabla3[[#This Row],[Desc. ciudad]],'Estandar de Rutas'!$C$1:$E$553,2,FALSE)</f>
        <v>#N/A</v>
      </c>
      <c r="U1939" s="130">
        <f>IFERROR(VLOOKUP(Tabla3[[#This Row],[Referencia]]&amp;Tabla3[[#This Row],[Desc detalle ext 1]],Tabla1[[Referencia-Color]:[Disponibilidad]],3,FALSE),0)</f>
        <v>0</v>
      </c>
      <c r="V1939" s="13"/>
      <c r="W1939" s="17">
        <f>+Tabla3[[#This Row],[Cant. Programada]]*Tabla3[[#This Row],[Precio unit]]</f>
        <v>0</v>
      </c>
      <c r="X1939" s="8"/>
      <c r="Y1939" s="8"/>
      <c r="Z1939" s="8" t="str">
        <f>+Tabla3[[#This Row],[Referencia]]&amp;Tabla3[[#This Row],[Desc detalle ext 1]]</f>
        <v/>
      </c>
      <c r="AA1939" s="128" t="e">
        <f>+VLOOKUP(Tabla3[[#This Row],[CODIGO2]],ESTANDAR!$B$3:$C$9,2,FALSE)</f>
        <v>#N/A</v>
      </c>
      <c r="AB1939" s="128" t="str">
        <f>+MID(Tabla3[[#This Row],['# Viaje]],10,1)</f>
        <v/>
      </c>
    </row>
    <row r="1940" spans="1:28" ht="15" hidden="1" customHeight="1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6"/>
      <c r="M1940" s="25"/>
      <c r="N1940" s="25"/>
      <c r="O1940" s="27"/>
      <c r="P1940" s="7"/>
      <c r="Q1940" s="16">
        <f>+IF(IFERROR(VLOOKUP(Tabla3[[#This Row],[Cliente factura]],Tabla4[[NIT]:[TOTAL CREDITO]],3,FALSE),0)="",0,IFERROR(VLOOKUP(Tabla3[[#This Row],[Cliente factura]],Tabla4[[NIT]:[TOTAL CREDITO]],3,FALSE),0))</f>
        <v>0</v>
      </c>
      <c r="R1940" s="9">
        <f>+IFERROR(VLOOKUP(Tabla3[[#This Row],[Cliente factura]],Tabla4[[NIT]:[TOTAL CREDITO]],6,FALSE),0)</f>
        <v>0</v>
      </c>
      <c r="S1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0" s="10" t="e">
        <f>VLOOKUP(Tabla3[[#This Row],[Razón social cliente factura]]&amp;Tabla3[[#This Row],[Desc. ciudad]],'Estandar de Rutas'!$C$1:$E$553,2,FALSE)</f>
        <v>#N/A</v>
      </c>
      <c r="U1940" s="130">
        <f>IFERROR(VLOOKUP(Tabla3[[#This Row],[Referencia]]&amp;Tabla3[[#This Row],[Desc detalle ext 1]],Tabla1[[Referencia-Color]:[Disponibilidad]],3,FALSE),0)</f>
        <v>0</v>
      </c>
      <c r="V1940" s="13"/>
      <c r="W1940" s="17">
        <f>+Tabla3[[#This Row],[Cant. Programada]]*Tabla3[[#This Row],[Precio unit]]</f>
        <v>0</v>
      </c>
      <c r="X1940" s="8"/>
      <c r="Y1940" s="8"/>
      <c r="Z1940" s="8" t="str">
        <f>+Tabla3[[#This Row],[Referencia]]&amp;Tabla3[[#This Row],[Desc detalle ext 1]]</f>
        <v/>
      </c>
      <c r="AA1940" s="128" t="e">
        <f>+VLOOKUP(Tabla3[[#This Row],[CODIGO2]],ESTANDAR!$B$3:$C$9,2,FALSE)</f>
        <v>#N/A</v>
      </c>
      <c r="AB1940" s="128" t="str">
        <f>+MID(Tabla3[[#This Row],['# Viaje]],10,1)</f>
        <v/>
      </c>
    </row>
    <row r="1941" spans="1:28" ht="15" hidden="1" customHeight="1">
      <c r="A1941" s="25"/>
      <c r="B1941" s="26"/>
      <c r="C1941" s="25"/>
      <c r="D1941" s="25"/>
      <c r="E1941" s="25"/>
      <c r="F1941" s="25"/>
      <c r="G1941" s="25"/>
      <c r="H1941" s="25"/>
      <c r="I1941" s="25"/>
      <c r="J1941" s="25"/>
      <c r="K1941" s="25"/>
      <c r="L1941" s="26"/>
      <c r="M1941" s="25"/>
      <c r="N1941" s="25"/>
      <c r="O1941" s="27"/>
      <c r="P1941" s="7"/>
      <c r="Q1941" s="16">
        <f>+IF(IFERROR(VLOOKUP(Tabla3[[#This Row],[Cliente factura]],Tabla4[[NIT]:[TOTAL CREDITO]],3,FALSE),0)="",0,IFERROR(VLOOKUP(Tabla3[[#This Row],[Cliente factura]],Tabla4[[NIT]:[TOTAL CREDITO]],3,FALSE),0))</f>
        <v>0</v>
      </c>
      <c r="R1941" s="9">
        <f>+IFERROR(VLOOKUP(Tabla3[[#This Row],[Cliente factura]],Tabla4[[NIT]:[TOTAL CREDITO]],6,FALSE),0)</f>
        <v>0</v>
      </c>
      <c r="S1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1" s="10" t="e">
        <f>VLOOKUP(Tabla3[[#This Row],[Razón social cliente factura]]&amp;Tabla3[[#This Row],[Desc. ciudad]],'Estandar de Rutas'!$C$1:$E$553,2,FALSE)</f>
        <v>#N/A</v>
      </c>
      <c r="U1941" s="130">
        <f>IFERROR(VLOOKUP(Tabla3[[#This Row],[Referencia]]&amp;Tabla3[[#This Row],[Desc detalle ext 1]],Tabla1[[Referencia-Color]:[Disponibilidad]],3,FALSE),0)</f>
        <v>0</v>
      </c>
      <c r="V1941" s="13"/>
      <c r="W1941" s="17">
        <f>+Tabla3[[#This Row],[Cant. Programada]]*Tabla3[[#This Row],[Precio unit]]</f>
        <v>0</v>
      </c>
      <c r="X1941" s="8"/>
      <c r="Y1941" s="8"/>
      <c r="Z1941" s="8" t="str">
        <f>+Tabla3[[#This Row],[Referencia]]&amp;Tabla3[[#This Row],[Desc detalle ext 1]]</f>
        <v/>
      </c>
      <c r="AA1941" s="128" t="e">
        <f>+VLOOKUP(Tabla3[[#This Row],[CODIGO2]],ESTANDAR!$B$3:$C$9,2,FALSE)</f>
        <v>#N/A</v>
      </c>
      <c r="AB1941" s="128" t="str">
        <f>+MID(Tabla3[[#This Row],['# Viaje]],10,1)</f>
        <v/>
      </c>
    </row>
    <row r="1942" spans="1:28" ht="15" hidden="1" customHeight="1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6"/>
      <c r="M1942" s="25"/>
      <c r="N1942" s="25"/>
      <c r="O1942" s="27"/>
      <c r="P1942" s="7"/>
      <c r="Q1942" s="16">
        <f>+IF(IFERROR(VLOOKUP(Tabla3[[#This Row],[Cliente factura]],Tabla4[[NIT]:[TOTAL CREDITO]],3,FALSE),0)="",0,IFERROR(VLOOKUP(Tabla3[[#This Row],[Cliente factura]],Tabla4[[NIT]:[TOTAL CREDITO]],3,FALSE),0))</f>
        <v>0</v>
      </c>
      <c r="R1942" s="9">
        <f>+IFERROR(VLOOKUP(Tabla3[[#This Row],[Cliente factura]],Tabla4[[NIT]:[TOTAL CREDITO]],6,FALSE),0)</f>
        <v>0</v>
      </c>
      <c r="S1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2" s="10" t="e">
        <f>VLOOKUP(Tabla3[[#This Row],[Razón social cliente factura]]&amp;Tabla3[[#This Row],[Desc. ciudad]],'Estandar de Rutas'!$C$1:$E$553,2,FALSE)</f>
        <v>#N/A</v>
      </c>
      <c r="U1942" s="130">
        <f>IFERROR(VLOOKUP(Tabla3[[#This Row],[Referencia]]&amp;Tabla3[[#This Row],[Desc detalle ext 1]],Tabla1[[Referencia-Color]:[Disponibilidad]],3,FALSE),0)</f>
        <v>0</v>
      </c>
      <c r="V1942" s="13"/>
      <c r="W1942" s="17">
        <f>+Tabla3[[#This Row],[Cant. Programada]]*Tabla3[[#This Row],[Precio unit]]</f>
        <v>0</v>
      </c>
      <c r="X1942" s="8"/>
      <c r="Y1942" s="8"/>
      <c r="Z1942" s="8" t="str">
        <f>+Tabla3[[#This Row],[Referencia]]&amp;Tabla3[[#This Row],[Desc detalle ext 1]]</f>
        <v/>
      </c>
      <c r="AA1942" s="128" t="e">
        <f>+VLOOKUP(Tabla3[[#This Row],[CODIGO2]],ESTANDAR!$B$3:$C$9,2,FALSE)</f>
        <v>#N/A</v>
      </c>
      <c r="AB1942" s="128" t="str">
        <f>+MID(Tabla3[[#This Row],['# Viaje]],10,1)</f>
        <v/>
      </c>
    </row>
    <row r="1943" spans="1:28" ht="15" hidden="1" customHeight="1">
      <c r="A1943" s="25"/>
      <c r="B1943" s="26"/>
      <c r="C1943" s="25"/>
      <c r="D1943" s="25"/>
      <c r="E1943" s="25"/>
      <c r="F1943" s="25"/>
      <c r="G1943" s="25"/>
      <c r="H1943" s="25"/>
      <c r="I1943" s="25"/>
      <c r="J1943" s="25"/>
      <c r="K1943" s="25"/>
      <c r="L1943" s="26"/>
      <c r="M1943" s="25"/>
      <c r="N1943" s="25"/>
      <c r="O1943" s="27"/>
      <c r="P1943" s="7"/>
      <c r="Q1943" s="16">
        <f>+IF(IFERROR(VLOOKUP(Tabla3[[#This Row],[Cliente factura]],Tabla4[[NIT]:[TOTAL CREDITO]],3,FALSE),0)="",0,IFERROR(VLOOKUP(Tabla3[[#This Row],[Cliente factura]],Tabla4[[NIT]:[TOTAL CREDITO]],3,FALSE),0))</f>
        <v>0</v>
      </c>
      <c r="R1943" s="9">
        <f>+IFERROR(VLOOKUP(Tabla3[[#This Row],[Cliente factura]],Tabla4[[NIT]:[TOTAL CREDITO]],6,FALSE),0)</f>
        <v>0</v>
      </c>
      <c r="S1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3" s="10" t="e">
        <f>VLOOKUP(Tabla3[[#This Row],[Razón social cliente factura]]&amp;Tabla3[[#This Row],[Desc. ciudad]],'Estandar de Rutas'!$C$1:$E$553,2,FALSE)</f>
        <v>#N/A</v>
      </c>
      <c r="U1943" s="130">
        <f>IFERROR(VLOOKUP(Tabla3[[#This Row],[Referencia]]&amp;Tabla3[[#This Row],[Desc detalle ext 1]],Tabla1[[Referencia-Color]:[Disponibilidad]],3,FALSE),0)</f>
        <v>0</v>
      </c>
      <c r="V1943" s="13"/>
      <c r="W1943" s="17">
        <f>+Tabla3[[#This Row],[Cant. Programada]]*Tabla3[[#This Row],[Precio unit]]</f>
        <v>0</v>
      </c>
      <c r="X1943" s="8"/>
      <c r="Y1943" s="8"/>
      <c r="Z1943" s="8" t="str">
        <f>+Tabla3[[#This Row],[Referencia]]&amp;Tabla3[[#This Row],[Desc detalle ext 1]]</f>
        <v/>
      </c>
      <c r="AA1943" s="128" t="e">
        <f>+VLOOKUP(Tabla3[[#This Row],[CODIGO2]],ESTANDAR!$B$3:$C$9,2,FALSE)</f>
        <v>#N/A</v>
      </c>
      <c r="AB1943" s="128" t="str">
        <f>+MID(Tabla3[[#This Row],['# Viaje]],10,1)</f>
        <v/>
      </c>
    </row>
    <row r="1944" spans="1:28" ht="15" hidden="1" customHeight="1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6"/>
      <c r="M1944" s="25"/>
      <c r="N1944" s="25"/>
      <c r="O1944" s="27"/>
      <c r="P1944" s="7"/>
      <c r="Q1944" s="16">
        <f>+IF(IFERROR(VLOOKUP(Tabla3[[#This Row],[Cliente factura]],Tabla4[[NIT]:[TOTAL CREDITO]],3,FALSE),0)="",0,IFERROR(VLOOKUP(Tabla3[[#This Row],[Cliente factura]],Tabla4[[NIT]:[TOTAL CREDITO]],3,FALSE),0))</f>
        <v>0</v>
      </c>
      <c r="R1944" s="9">
        <f>+IFERROR(VLOOKUP(Tabla3[[#This Row],[Cliente factura]],Tabla4[[NIT]:[TOTAL CREDITO]],6,FALSE),0)</f>
        <v>0</v>
      </c>
      <c r="S1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4" s="10" t="e">
        <f>VLOOKUP(Tabla3[[#This Row],[Razón social cliente factura]]&amp;Tabla3[[#This Row],[Desc. ciudad]],'Estandar de Rutas'!$C$1:$E$553,2,FALSE)</f>
        <v>#N/A</v>
      </c>
      <c r="U1944" s="130">
        <f>IFERROR(VLOOKUP(Tabla3[[#This Row],[Referencia]]&amp;Tabla3[[#This Row],[Desc detalle ext 1]],Tabla1[[Referencia-Color]:[Disponibilidad]],3,FALSE),0)</f>
        <v>0</v>
      </c>
      <c r="V1944" s="13"/>
      <c r="W1944" s="17">
        <f>+Tabla3[[#This Row],[Cant. Programada]]*Tabla3[[#This Row],[Precio unit]]</f>
        <v>0</v>
      </c>
      <c r="X1944" s="8"/>
      <c r="Y1944" s="8"/>
      <c r="Z1944" s="8" t="str">
        <f>+Tabla3[[#This Row],[Referencia]]&amp;Tabla3[[#This Row],[Desc detalle ext 1]]</f>
        <v/>
      </c>
      <c r="AA1944" s="128" t="e">
        <f>+VLOOKUP(Tabla3[[#This Row],[CODIGO2]],ESTANDAR!$B$3:$C$9,2,FALSE)</f>
        <v>#N/A</v>
      </c>
      <c r="AB1944" s="128" t="str">
        <f>+MID(Tabla3[[#This Row],['# Viaje]],10,1)</f>
        <v/>
      </c>
    </row>
    <row r="1945" spans="1:28" ht="15" hidden="1" customHeight="1">
      <c r="A1945" s="25"/>
      <c r="B1945" s="26"/>
      <c r="C1945" s="25"/>
      <c r="D1945" s="25"/>
      <c r="E1945" s="25"/>
      <c r="F1945" s="25"/>
      <c r="G1945" s="25"/>
      <c r="H1945" s="25"/>
      <c r="I1945" s="25"/>
      <c r="J1945" s="25"/>
      <c r="K1945" s="25"/>
      <c r="L1945" s="26"/>
      <c r="M1945" s="25"/>
      <c r="N1945" s="25"/>
      <c r="O1945" s="27"/>
      <c r="P1945" s="7"/>
      <c r="Q1945" s="16">
        <f>+IF(IFERROR(VLOOKUP(Tabla3[[#This Row],[Cliente factura]],Tabla4[[NIT]:[TOTAL CREDITO]],3,FALSE),0)="",0,IFERROR(VLOOKUP(Tabla3[[#This Row],[Cliente factura]],Tabla4[[NIT]:[TOTAL CREDITO]],3,FALSE),0))</f>
        <v>0</v>
      </c>
      <c r="R1945" s="9">
        <f>+IFERROR(VLOOKUP(Tabla3[[#This Row],[Cliente factura]],Tabla4[[NIT]:[TOTAL CREDITO]],6,FALSE),0)</f>
        <v>0</v>
      </c>
      <c r="S1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5" s="10" t="e">
        <f>VLOOKUP(Tabla3[[#This Row],[Razón social cliente factura]]&amp;Tabla3[[#This Row],[Desc. ciudad]],'Estandar de Rutas'!$C$1:$E$553,2,FALSE)</f>
        <v>#N/A</v>
      </c>
      <c r="U1945" s="130">
        <f>IFERROR(VLOOKUP(Tabla3[[#This Row],[Referencia]]&amp;Tabla3[[#This Row],[Desc detalle ext 1]],Tabla1[[Referencia-Color]:[Disponibilidad]],3,FALSE),0)</f>
        <v>0</v>
      </c>
      <c r="V1945" s="13"/>
      <c r="W1945" s="17">
        <f>+Tabla3[[#This Row],[Cant. Programada]]*Tabla3[[#This Row],[Precio unit]]</f>
        <v>0</v>
      </c>
      <c r="X1945" s="8"/>
      <c r="Y1945" s="8"/>
      <c r="Z1945" s="8" t="str">
        <f>+Tabla3[[#This Row],[Referencia]]&amp;Tabla3[[#This Row],[Desc detalle ext 1]]</f>
        <v/>
      </c>
      <c r="AA1945" s="128" t="e">
        <f>+VLOOKUP(Tabla3[[#This Row],[CODIGO2]],ESTANDAR!$B$3:$C$9,2,FALSE)</f>
        <v>#N/A</v>
      </c>
      <c r="AB1945" s="128" t="str">
        <f>+MID(Tabla3[[#This Row],['# Viaje]],10,1)</f>
        <v/>
      </c>
    </row>
    <row r="1946" spans="1:28" ht="15" hidden="1" customHeight="1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6"/>
      <c r="M1946" s="25"/>
      <c r="N1946" s="25"/>
      <c r="O1946" s="27"/>
      <c r="P1946" s="7"/>
      <c r="Q1946" s="16">
        <f>+IF(IFERROR(VLOOKUP(Tabla3[[#This Row],[Cliente factura]],Tabla4[[NIT]:[TOTAL CREDITO]],3,FALSE),0)="",0,IFERROR(VLOOKUP(Tabla3[[#This Row],[Cliente factura]],Tabla4[[NIT]:[TOTAL CREDITO]],3,FALSE),0))</f>
        <v>0</v>
      </c>
      <c r="R1946" s="9">
        <f>+IFERROR(VLOOKUP(Tabla3[[#This Row],[Cliente factura]],Tabla4[[NIT]:[TOTAL CREDITO]],6,FALSE),0)</f>
        <v>0</v>
      </c>
      <c r="S1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6" s="10" t="e">
        <f>VLOOKUP(Tabla3[[#This Row],[Razón social cliente factura]]&amp;Tabla3[[#This Row],[Desc. ciudad]],'Estandar de Rutas'!$C$1:$E$553,2,FALSE)</f>
        <v>#N/A</v>
      </c>
      <c r="U1946" s="130">
        <f>IFERROR(VLOOKUP(Tabla3[[#This Row],[Referencia]]&amp;Tabla3[[#This Row],[Desc detalle ext 1]],Tabla1[[Referencia-Color]:[Disponibilidad]],3,FALSE),0)</f>
        <v>0</v>
      </c>
      <c r="V1946" s="13"/>
      <c r="W1946" s="17">
        <f>+Tabla3[[#This Row],[Cant. Programada]]*Tabla3[[#This Row],[Precio unit]]</f>
        <v>0</v>
      </c>
      <c r="X1946" s="8"/>
      <c r="Y1946" s="8"/>
      <c r="Z1946" s="8" t="str">
        <f>+Tabla3[[#This Row],[Referencia]]&amp;Tabla3[[#This Row],[Desc detalle ext 1]]</f>
        <v/>
      </c>
      <c r="AA1946" s="128" t="e">
        <f>+VLOOKUP(Tabla3[[#This Row],[CODIGO2]],ESTANDAR!$B$3:$C$9,2,FALSE)</f>
        <v>#N/A</v>
      </c>
      <c r="AB1946" s="128" t="str">
        <f>+MID(Tabla3[[#This Row],['# Viaje]],10,1)</f>
        <v/>
      </c>
    </row>
    <row r="1947" spans="1:28" ht="15" hidden="1" customHeight="1">
      <c r="A1947" s="25"/>
      <c r="B1947" s="26"/>
      <c r="C1947" s="25"/>
      <c r="D1947" s="25"/>
      <c r="E1947" s="25"/>
      <c r="F1947" s="25"/>
      <c r="G1947" s="25"/>
      <c r="H1947" s="25"/>
      <c r="I1947" s="25"/>
      <c r="J1947" s="25"/>
      <c r="K1947" s="25"/>
      <c r="L1947" s="26"/>
      <c r="M1947" s="25"/>
      <c r="N1947" s="25"/>
      <c r="O1947" s="27"/>
      <c r="P1947" s="7"/>
      <c r="Q1947" s="16">
        <f>+IF(IFERROR(VLOOKUP(Tabla3[[#This Row],[Cliente factura]],Tabla4[[NIT]:[TOTAL CREDITO]],3,FALSE),0)="",0,IFERROR(VLOOKUP(Tabla3[[#This Row],[Cliente factura]],Tabla4[[NIT]:[TOTAL CREDITO]],3,FALSE),0))</f>
        <v>0</v>
      </c>
      <c r="R1947" s="9">
        <f>+IFERROR(VLOOKUP(Tabla3[[#This Row],[Cliente factura]],Tabla4[[NIT]:[TOTAL CREDITO]],6,FALSE),0)</f>
        <v>0</v>
      </c>
      <c r="S1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7" s="10" t="e">
        <f>VLOOKUP(Tabla3[[#This Row],[Razón social cliente factura]]&amp;Tabla3[[#This Row],[Desc. ciudad]],'Estandar de Rutas'!$C$1:$E$553,2,FALSE)</f>
        <v>#N/A</v>
      </c>
      <c r="U1947" s="130">
        <f>IFERROR(VLOOKUP(Tabla3[[#This Row],[Referencia]]&amp;Tabla3[[#This Row],[Desc detalle ext 1]],Tabla1[[Referencia-Color]:[Disponibilidad]],3,FALSE),0)</f>
        <v>0</v>
      </c>
      <c r="V1947" s="13"/>
      <c r="W1947" s="17">
        <f>+Tabla3[[#This Row],[Cant. Programada]]*Tabla3[[#This Row],[Precio unit]]</f>
        <v>0</v>
      </c>
      <c r="X1947" s="8"/>
      <c r="Y1947" s="8"/>
      <c r="Z1947" s="8" t="str">
        <f>+Tabla3[[#This Row],[Referencia]]&amp;Tabla3[[#This Row],[Desc detalle ext 1]]</f>
        <v/>
      </c>
      <c r="AA1947" s="128" t="e">
        <f>+VLOOKUP(Tabla3[[#This Row],[CODIGO2]],ESTANDAR!$B$3:$C$9,2,FALSE)</f>
        <v>#N/A</v>
      </c>
      <c r="AB1947" s="128" t="str">
        <f>+MID(Tabla3[[#This Row],['# Viaje]],10,1)</f>
        <v/>
      </c>
    </row>
    <row r="1948" spans="1:28" ht="15" hidden="1" customHeight="1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6"/>
      <c r="M1948" s="25"/>
      <c r="N1948" s="25"/>
      <c r="O1948" s="27"/>
      <c r="P1948" s="7"/>
      <c r="Q1948" s="16">
        <f>+IF(IFERROR(VLOOKUP(Tabla3[[#This Row],[Cliente factura]],Tabla4[[NIT]:[TOTAL CREDITO]],3,FALSE),0)="",0,IFERROR(VLOOKUP(Tabla3[[#This Row],[Cliente factura]],Tabla4[[NIT]:[TOTAL CREDITO]],3,FALSE),0))</f>
        <v>0</v>
      </c>
      <c r="R1948" s="9">
        <f>+IFERROR(VLOOKUP(Tabla3[[#This Row],[Cliente factura]],Tabla4[[NIT]:[TOTAL CREDITO]],6,FALSE),0)</f>
        <v>0</v>
      </c>
      <c r="S1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8" s="10" t="e">
        <f>VLOOKUP(Tabla3[[#This Row],[Razón social cliente factura]]&amp;Tabla3[[#This Row],[Desc. ciudad]],'Estandar de Rutas'!$C$1:$E$553,2,FALSE)</f>
        <v>#N/A</v>
      </c>
      <c r="U1948" s="130">
        <f>IFERROR(VLOOKUP(Tabla3[[#This Row],[Referencia]]&amp;Tabla3[[#This Row],[Desc detalle ext 1]],Tabla1[[Referencia-Color]:[Disponibilidad]],3,FALSE),0)</f>
        <v>0</v>
      </c>
      <c r="V1948" s="13"/>
      <c r="W1948" s="17">
        <f>+Tabla3[[#This Row],[Cant. Programada]]*Tabla3[[#This Row],[Precio unit]]</f>
        <v>0</v>
      </c>
      <c r="X1948" s="8"/>
      <c r="Y1948" s="8"/>
      <c r="Z1948" s="8" t="str">
        <f>+Tabla3[[#This Row],[Referencia]]&amp;Tabla3[[#This Row],[Desc detalle ext 1]]</f>
        <v/>
      </c>
      <c r="AA1948" s="128" t="e">
        <f>+VLOOKUP(Tabla3[[#This Row],[CODIGO2]],ESTANDAR!$B$3:$C$9,2,FALSE)</f>
        <v>#N/A</v>
      </c>
      <c r="AB1948" s="128" t="str">
        <f>+MID(Tabla3[[#This Row],['# Viaje]],10,1)</f>
        <v/>
      </c>
    </row>
    <row r="1949" spans="1:28" ht="15" hidden="1" customHeight="1">
      <c r="A1949" s="25"/>
      <c r="B1949" s="26"/>
      <c r="C1949" s="25"/>
      <c r="D1949" s="25"/>
      <c r="E1949" s="25"/>
      <c r="F1949" s="25"/>
      <c r="G1949" s="25"/>
      <c r="H1949" s="25"/>
      <c r="I1949" s="25"/>
      <c r="J1949" s="25"/>
      <c r="K1949" s="25"/>
      <c r="L1949" s="26"/>
      <c r="M1949" s="25"/>
      <c r="N1949" s="25"/>
      <c r="O1949" s="27"/>
      <c r="P1949" s="7"/>
      <c r="Q1949" s="16">
        <f>+IF(IFERROR(VLOOKUP(Tabla3[[#This Row],[Cliente factura]],Tabla4[[NIT]:[TOTAL CREDITO]],3,FALSE),0)="",0,IFERROR(VLOOKUP(Tabla3[[#This Row],[Cliente factura]],Tabla4[[NIT]:[TOTAL CREDITO]],3,FALSE),0))</f>
        <v>0</v>
      </c>
      <c r="R1949" s="9">
        <f>+IFERROR(VLOOKUP(Tabla3[[#This Row],[Cliente factura]],Tabla4[[NIT]:[TOTAL CREDITO]],6,FALSE),0)</f>
        <v>0</v>
      </c>
      <c r="S1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9" s="10" t="e">
        <f>VLOOKUP(Tabla3[[#This Row],[Razón social cliente factura]]&amp;Tabla3[[#This Row],[Desc. ciudad]],'Estandar de Rutas'!$C$1:$E$553,2,FALSE)</f>
        <v>#N/A</v>
      </c>
      <c r="U1949" s="130">
        <f>IFERROR(VLOOKUP(Tabla3[[#This Row],[Referencia]]&amp;Tabla3[[#This Row],[Desc detalle ext 1]],Tabla1[[Referencia-Color]:[Disponibilidad]],3,FALSE),0)</f>
        <v>0</v>
      </c>
      <c r="V1949" s="13"/>
      <c r="W1949" s="17">
        <f>+Tabla3[[#This Row],[Cant. Programada]]*Tabla3[[#This Row],[Precio unit]]</f>
        <v>0</v>
      </c>
      <c r="X1949" s="8"/>
      <c r="Y1949" s="8"/>
      <c r="Z1949" s="8" t="str">
        <f>+Tabla3[[#This Row],[Referencia]]&amp;Tabla3[[#This Row],[Desc detalle ext 1]]</f>
        <v/>
      </c>
      <c r="AA1949" s="128" t="e">
        <f>+VLOOKUP(Tabla3[[#This Row],[CODIGO2]],ESTANDAR!$B$3:$C$9,2,FALSE)</f>
        <v>#N/A</v>
      </c>
      <c r="AB1949" s="128" t="str">
        <f>+MID(Tabla3[[#This Row],['# Viaje]],10,1)</f>
        <v/>
      </c>
    </row>
    <row r="1950" spans="1:28" ht="15" hidden="1" customHeight="1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6"/>
      <c r="M1950" s="25"/>
      <c r="N1950" s="25"/>
      <c r="O1950" s="27"/>
      <c r="P1950" s="7"/>
      <c r="Q1950" s="16">
        <f>+IF(IFERROR(VLOOKUP(Tabla3[[#This Row],[Cliente factura]],Tabla4[[NIT]:[TOTAL CREDITO]],3,FALSE),0)="",0,IFERROR(VLOOKUP(Tabla3[[#This Row],[Cliente factura]],Tabla4[[NIT]:[TOTAL CREDITO]],3,FALSE),0))</f>
        <v>0</v>
      </c>
      <c r="R1950" s="9">
        <f>+IFERROR(VLOOKUP(Tabla3[[#This Row],[Cliente factura]],Tabla4[[NIT]:[TOTAL CREDITO]],6,FALSE),0)</f>
        <v>0</v>
      </c>
      <c r="S1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0" s="10" t="e">
        <f>VLOOKUP(Tabla3[[#This Row],[Razón social cliente factura]]&amp;Tabla3[[#This Row],[Desc. ciudad]],'Estandar de Rutas'!$C$1:$E$553,2,FALSE)</f>
        <v>#N/A</v>
      </c>
      <c r="U1950" s="130">
        <f>IFERROR(VLOOKUP(Tabla3[[#This Row],[Referencia]]&amp;Tabla3[[#This Row],[Desc detalle ext 1]],Tabla1[[Referencia-Color]:[Disponibilidad]],3,FALSE),0)</f>
        <v>0</v>
      </c>
      <c r="V1950" s="13"/>
      <c r="W1950" s="17">
        <f>+Tabla3[[#This Row],[Cant. Programada]]*Tabla3[[#This Row],[Precio unit]]</f>
        <v>0</v>
      </c>
      <c r="X1950" s="8"/>
      <c r="Y1950" s="8"/>
      <c r="Z1950" s="8" t="str">
        <f>+Tabla3[[#This Row],[Referencia]]&amp;Tabla3[[#This Row],[Desc detalle ext 1]]</f>
        <v/>
      </c>
      <c r="AA1950" s="128" t="e">
        <f>+VLOOKUP(Tabla3[[#This Row],[CODIGO2]],ESTANDAR!$B$3:$C$9,2,FALSE)</f>
        <v>#N/A</v>
      </c>
      <c r="AB1950" s="128" t="str">
        <f>+MID(Tabla3[[#This Row],['# Viaje]],10,1)</f>
        <v/>
      </c>
    </row>
    <row r="1951" spans="1:28" ht="15" hidden="1" customHeight="1">
      <c r="A1951" s="25"/>
      <c r="B1951" s="26"/>
      <c r="C1951" s="25"/>
      <c r="D1951" s="25"/>
      <c r="E1951" s="25"/>
      <c r="F1951" s="25"/>
      <c r="G1951" s="25"/>
      <c r="H1951" s="25"/>
      <c r="I1951" s="25"/>
      <c r="J1951" s="25"/>
      <c r="K1951" s="25"/>
      <c r="L1951" s="26"/>
      <c r="M1951" s="25"/>
      <c r="N1951" s="25"/>
      <c r="O1951" s="27"/>
      <c r="P1951" s="7"/>
      <c r="Q1951" s="16">
        <f>+IF(IFERROR(VLOOKUP(Tabla3[[#This Row],[Cliente factura]],Tabla4[[NIT]:[TOTAL CREDITO]],3,FALSE),0)="",0,IFERROR(VLOOKUP(Tabla3[[#This Row],[Cliente factura]],Tabla4[[NIT]:[TOTAL CREDITO]],3,FALSE),0))</f>
        <v>0</v>
      </c>
      <c r="R1951" s="9">
        <f>+IFERROR(VLOOKUP(Tabla3[[#This Row],[Cliente factura]],Tabla4[[NIT]:[TOTAL CREDITO]],6,FALSE),0)</f>
        <v>0</v>
      </c>
      <c r="S1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1" s="10" t="e">
        <f>VLOOKUP(Tabla3[[#This Row],[Razón social cliente factura]]&amp;Tabla3[[#This Row],[Desc. ciudad]],'Estandar de Rutas'!$C$1:$E$553,2,FALSE)</f>
        <v>#N/A</v>
      </c>
      <c r="U1951" s="130">
        <f>IFERROR(VLOOKUP(Tabla3[[#This Row],[Referencia]]&amp;Tabla3[[#This Row],[Desc detalle ext 1]],Tabla1[[Referencia-Color]:[Disponibilidad]],3,FALSE),0)</f>
        <v>0</v>
      </c>
      <c r="V1951" s="13"/>
      <c r="W1951" s="17">
        <f>+Tabla3[[#This Row],[Cant. Programada]]*Tabla3[[#This Row],[Precio unit]]</f>
        <v>0</v>
      </c>
      <c r="X1951" s="8"/>
      <c r="Y1951" s="8"/>
      <c r="Z1951" s="8" t="str">
        <f>+Tabla3[[#This Row],[Referencia]]&amp;Tabla3[[#This Row],[Desc detalle ext 1]]</f>
        <v/>
      </c>
      <c r="AA1951" s="128" t="e">
        <f>+VLOOKUP(Tabla3[[#This Row],[CODIGO2]],ESTANDAR!$B$3:$C$9,2,FALSE)</f>
        <v>#N/A</v>
      </c>
      <c r="AB1951" s="128" t="str">
        <f>+MID(Tabla3[[#This Row],['# Viaje]],10,1)</f>
        <v/>
      </c>
    </row>
    <row r="1952" spans="1:28" ht="15" hidden="1" customHeight="1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6"/>
      <c r="M1952" s="25"/>
      <c r="N1952" s="25"/>
      <c r="O1952" s="27"/>
      <c r="P1952" s="7"/>
      <c r="Q1952" s="16">
        <f>+IF(IFERROR(VLOOKUP(Tabla3[[#This Row],[Cliente factura]],Tabla4[[NIT]:[TOTAL CREDITO]],3,FALSE),0)="",0,IFERROR(VLOOKUP(Tabla3[[#This Row],[Cliente factura]],Tabla4[[NIT]:[TOTAL CREDITO]],3,FALSE),0))</f>
        <v>0</v>
      </c>
      <c r="R1952" s="9">
        <f>+IFERROR(VLOOKUP(Tabla3[[#This Row],[Cliente factura]],Tabla4[[NIT]:[TOTAL CREDITO]],6,FALSE),0)</f>
        <v>0</v>
      </c>
      <c r="S1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2" s="10" t="e">
        <f>VLOOKUP(Tabla3[[#This Row],[Razón social cliente factura]]&amp;Tabla3[[#This Row],[Desc. ciudad]],'Estandar de Rutas'!$C$1:$E$553,2,FALSE)</f>
        <v>#N/A</v>
      </c>
      <c r="U1952" s="130">
        <f>IFERROR(VLOOKUP(Tabla3[[#This Row],[Referencia]]&amp;Tabla3[[#This Row],[Desc detalle ext 1]],Tabla1[[Referencia-Color]:[Disponibilidad]],3,FALSE),0)</f>
        <v>0</v>
      </c>
      <c r="V1952" s="13"/>
      <c r="W1952" s="17">
        <f>+Tabla3[[#This Row],[Cant. Programada]]*Tabla3[[#This Row],[Precio unit]]</f>
        <v>0</v>
      </c>
      <c r="X1952" s="8"/>
      <c r="Y1952" s="8"/>
      <c r="Z1952" s="8" t="str">
        <f>+Tabla3[[#This Row],[Referencia]]&amp;Tabla3[[#This Row],[Desc detalle ext 1]]</f>
        <v/>
      </c>
      <c r="AA1952" s="128" t="e">
        <f>+VLOOKUP(Tabla3[[#This Row],[CODIGO2]],ESTANDAR!$B$3:$C$9,2,FALSE)</f>
        <v>#N/A</v>
      </c>
      <c r="AB1952" s="128" t="str">
        <f>+MID(Tabla3[[#This Row],['# Viaje]],10,1)</f>
        <v/>
      </c>
    </row>
    <row r="1953" spans="1:28" ht="15" hidden="1" customHeight="1">
      <c r="A1953" s="25"/>
      <c r="B1953" s="26"/>
      <c r="C1953" s="25"/>
      <c r="D1953" s="25"/>
      <c r="E1953" s="25"/>
      <c r="F1953" s="25"/>
      <c r="G1953" s="25"/>
      <c r="H1953" s="25"/>
      <c r="I1953" s="25"/>
      <c r="J1953" s="25"/>
      <c r="K1953" s="25"/>
      <c r="L1953" s="26"/>
      <c r="M1953" s="25"/>
      <c r="N1953" s="25"/>
      <c r="O1953" s="27"/>
      <c r="P1953" s="7"/>
      <c r="Q1953" s="16">
        <f>+IF(IFERROR(VLOOKUP(Tabla3[[#This Row],[Cliente factura]],Tabla4[[NIT]:[TOTAL CREDITO]],3,FALSE),0)="",0,IFERROR(VLOOKUP(Tabla3[[#This Row],[Cliente factura]],Tabla4[[NIT]:[TOTAL CREDITO]],3,FALSE),0))</f>
        <v>0</v>
      </c>
      <c r="R1953" s="9">
        <f>+IFERROR(VLOOKUP(Tabla3[[#This Row],[Cliente factura]],Tabla4[[NIT]:[TOTAL CREDITO]],6,FALSE),0)</f>
        <v>0</v>
      </c>
      <c r="S1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3" s="10" t="e">
        <f>VLOOKUP(Tabla3[[#This Row],[Razón social cliente factura]]&amp;Tabla3[[#This Row],[Desc. ciudad]],'Estandar de Rutas'!$C$1:$E$553,2,FALSE)</f>
        <v>#N/A</v>
      </c>
      <c r="U1953" s="130">
        <f>IFERROR(VLOOKUP(Tabla3[[#This Row],[Referencia]]&amp;Tabla3[[#This Row],[Desc detalle ext 1]],Tabla1[[Referencia-Color]:[Disponibilidad]],3,FALSE),0)</f>
        <v>0</v>
      </c>
      <c r="V1953" s="13"/>
      <c r="W1953" s="17">
        <f>+Tabla3[[#This Row],[Cant. Programada]]*Tabla3[[#This Row],[Precio unit]]</f>
        <v>0</v>
      </c>
      <c r="X1953" s="8"/>
      <c r="Y1953" s="8"/>
      <c r="Z1953" s="8" t="str">
        <f>+Tabla3[[#This Row],[Referencia]]&amp;Tabla3[[#This Row],[Desc detalle ext 1]]</f>
        <v/>
      </c>
      <c r="AA1953" s="128" t="e">
        <f>+VLOOKUP(Tabla3[[#This Row],[CODIGO2]],ESTANDAR!$B$3:$C$9,2,FALSE)</f>
        <v>#N/A</v>
      </c>
      <c r="AB1953" s="128" t="str">
        <f>+MID(Tabla3[[#This Row],['# Viaje]],10,1)</f>
        <v/>
      </c>
    </row>
    <row r="1954" spans="1:28" ht="15" hidden="1" customHeight="1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6"/>
      <c r="M1954" s="25"/>
      <c r="N1954" s="25"/>
      <c r="O1954" s="27"/>
      <c r="P1954" s="7"/>
      <c r="Q1954" s="16">
        <f>+IF(IFERROR(VLOOKUP(Tabla3[[#This Row],[Cliente factura]],Tabla4[[NIT]:[TOTAL CREDITO]],3,FALSE),0)="",0,IFERROR(VLOOKUP(Tabla3[[#This Row],[Cliente factura]],Tabla4[[NIT]:[TOTAL CREDITO]],3,FALSE),0))</f>
        <v>0</v>
      </c>
      <c r="R1954" s="9">
        <f>+IFERROR(VLOOKUP(Tabla3[[#This Row],[Cliente factura]],Tabla4[[NIT]:[TOTAL CREDITO]],6,FALSE),0)</f>
        <v>0</v>
      </c>
      <c r="S1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4" s="10" t="e">
        <f>VLOOKUP(Tabla3[[#This Row],[Razón social cliente factura]]&amp;Tabla3[[#This Row],[Desc. ciudad]],'Estandar de Rutas'!$C$1:$E$553,2,FALSE)</f>
        <v>#N/A</v>
      </c>
      <c r="U1954" s="130">
        <f>IFERROR(VLOOKUP(Tabla3[[#This Row],[Referencia]]&amp;Tabla3[[#This Row],[Desc detalle ext 1]],Tabla1[[Referencia-Color]:[Disponibilidad]],3,FALSE),0)</f>
        <v>0</v>
      </c>
      <c r="V1954" s="13"/>
      <c r="W1954" s="17">
        <f>+Tabla3[[#This Row],[Cant. Programada]]*Tabla3[[#This Row],[Precio unit]]</f>
        <v>0</v>
      </c>
      <c r="X1954" s="8"/>
      <c r="Y1954" s="8"/>
      <c r="Z1954" s="8" t="str">
        <f>+Tabla3[[#This Row],[Referencia]]&amp;Tabla3[[#This Row],[Desc detalle ext 1]]</f>
        <v/>
      </c>
      <c r="AA1954" s="128" t="e">
        <f>+VLOOKUP(Tabla3[[#This Row],[CODIGO2]],ESTANDAR!$B$3:$C$9,2,FALSE)</f>
        <v>#N/A</v>
      </c>
      <c r="AB1954" s="128" t="str">
        <f>+MID(Tabla3[[#This Row],['# Viaje]],10,1)</f>
        <v/>
      </c>
    </row>
    <row r="1955" spans="1:28" ht="15" hidden="1" customHeight="1">
      <c r="A1955" s="25"/>
      <c r="B1955" s="26"/>
      <c r="C1955" s="25"/>
      <c r="D1955" s="25"/>
      <c r="E1955" s="25"/>
      <c r="F1955" s="25"/>
      <c r="G1955" s="25"/>
      <c r="H1955" s="25"/>
      <c r="I1955" s="25"/>
      <c r="J1955" s="25"/>
      <c r="K1955" s="25"/>
      <c r="L1955" s="26"/>
      <c r="M1955" s="25"/>
      <c r="N1955" s="25"/>
      <c r="O1955" s="27"/>
      <c r="P1955" s="7"/>
      <c r="Q1955" s="16">
        <f>+IF(IFERROR(VLOOKUP(Tabla3[[#This Row],[Cliente factura]],Tabla4[[NIT]:[TOTAL CREDITO]],3,FALSE),0)="",0,IFERROR(VLOOKUP(Tabla3[[#This Row],[Cliente factura]],Tabla4[[NIT]:[TOTAL CREDITO]],3,FALSE),0))</f>
        <v>0</v>
      </c>
      <c r="R1955" s="9">
        <f>+IFERROR(VLOOKUP(Tabla3[[#This Row],[Cliente factura]],Tabla4[[NIT]:[TOTAL CREDITO]],6,FALSE),0)</f>
        <v>0</v>
      </c>
      <c r="S1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5" s="10" t="e">
        <f>VLOOKUP(Tabla3[[#This Row],[Razón social cliente factura]]&amp;Tabla3[[#This Row],[Desc. ciudad]],'Estandar de Rutas'!$C$1:$E$553,2,FALSE)</f>
        <v>#N/A</v>
      </c>
      <c r="U1955" s="130">
        <f>IFERROR(VLOOKUP(Tabla3[[#This Row],[Referencia]]&amp;Tabla3[[#This Row],[Desc detalle ext 1]],Tabla1[[Referencia-Color]:[Disponibilidad]],3,FALSE),0)</f>
        <v>0</v>
      </c>
      <c r="V1955" s="13"/>
      <c r="W1955" s="17">
        <f>+Tabla3[[#This Row],[Cant. Programada]]*Tabla3[[#This Row],[Precio unit]]</f>
        <v>0</v>
      </c>
      <c r="X1955" s="8"/>
      <c r="Y1955" s="8"/>
      <c r="Z1955" s="8" t="str">
        <f>+Tabla3[[#This Row],[Referencia]]&amp;Tabla3[[#This Row],[Desc detalle ext 1]]</f>
        <v/>
      </c>
      <c r="AA1955" s="128" t="e">
        <f>+VLOOKUP(Tabla3[[#This Row],[CODIGO2]],ESTANDAR!$B$3:$C$9,2,FALSE)</f>
        <v>#N/A</v>
      </c>
      <c r="AB1955" s="128" t="str">
        <f>+MID(Tabla3[[#This Row],['# Viaje]],10,1)</f>
        <v/>
      </c>
    </row>
    <row r="1956" spans="1:28" ht="15" hidden="1" customHeight="1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6"/>
      <c r="M1956" s="25"/>
      <c r="N1956" s="25"/>
      <c r="O1956" s="27"/>
      <c r="P1956" s="7"/>
      <c r="Q1956" s="16">
        <f>+IF(IFERROR(VLOOKUP(Tabla3[[#This Row],[Cliente factura]],Tabla4[[NIT]:[TOTAL CREDITO]],3,FALSE),0)="",0,IFERROR(VLOOKUP(Tabla3[[#This Row],[Cliente factura]],Tabla4[[NIT]:[TOTAL CREDITO]],3,FALSE),0))</f>
        <v>0</v>
      </c>
      <c r="R1956" s="9">
        <f>+IFERROR(VLOOKUP(Tabla3[[#This Row],[Cliente factura]],Tabla4[[NIT]:[TOTAL CREDITO]],6,FALSE),0)</f>
        <v>0</v>
      </c>
      <c r="S1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6" s="10" t="e">
        <f>VLOOKUP(Tabla3[[#This Row],[Razón social cliente factura]]&amp;Tabla3[[#This Row],[Desc. ciudad]],'Estandar de Rutas'!$C$1:$E$553,2,FALSE)</f>
        <v>#N/A</v>
      </c>
      <c r="U1956" s="130">
        <f>IFERROR(VLOOKUP(Tabla3[[#This Row],[Referencia]]&amp;Tabla3[[#This Row],[Desc detalle ext 1]],Tabla1[[Referencia-Color]:[Disponibilidad]],3,FALSE),0)</f>
        <v>0</v>
      </c>
      <c r="V1956" s="13"/>
      <c r="W1956" s="17">
        <f>+Tabla3[[#This Row],[Cant. Programada]]*Tabla3[[#This Row],[Precio unit]]</f>
        <v>0</v>
      </c>
      <c r="X1956" s="8"/>
      <c r="Y1956" s="8"/>
      <c r="Z1956" s="8" t="str">
        <f>+Tabla3[[#This Row],[Referencia]]&amp;Tabla3[[#This Row],[Desc detalle ext 1]]</f>
        <v/>
      </c>
      <c r="AA1956" s="128" t="e">
        <f>+VLOOKUP(Tabla3[[#This Row],[CODIGO2]],ESTANDAR!$B$3:$C$9,2,FALSE)</f>
        <v>#N/A</v>
      </c>
      <c r="AB1956" s="128" t="str">
        <f>+MID(Tabla3[[#This Row],['# Viaje]],10,1)</f>
        <v/>
      </c>
    </row>
    <row r="1957" spans="1:28" ht="15" hidden="1" customHeight="1">
      <c r="A1957" s="25"/>
      <c r="B1957" s="26"/>
      <c r="C1957" s="25"/>
      <c r="D1957" s="25"/>
      <c r="E1957" s="25"/>
      <c r="F1957" s="25"/>
      <c r="G1957" s="25"/>
      <c r="H1957" s="25"/>
      <c r="I1957" s="25"/>
      <c r="J1957" s="25"/>
      <c r="K1957" s="25"/>
      <c r="L1957" s="26"/>
      <c r="M1957" s="25"/>
      <c r="N1957" s="25"/>
      <c r="O1957" s="27"/>
      <c r="P1957" s="7"/>
      <c r="Q1957" s="16">
        <f>+IF(IFERROR(VLOOKUP(Tabla3[[#This Row],[Cliente factura]],Tabla4[[NIT]:[TOTAL CREDITO]],3,FALSE),0)="",0,IFERROR(VLOOKUP(Tabla3[[#This Row],[Cliente factura]],Tabla4[[NIT]:[TOTAL CREDITO]],3,FALSE),0))</f>
        <v>0</v>
      </c>
      <c r="R1957" s="9">
        <f>+IFERROR(VLOOKUP(Tabla3[[#This Row],[Cliente factura]],Tabla4[[NIT]:[TOTAL CREDITO]],6,FALSE),0)</f>
        <v>0</v>
      </c>
      <c r="S1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7" s="10" t="e">
        <f>VLOOKUP(Tabla3[[#This Row],[Razón social cliente factura]]&amp;Tabla3[[#This Row],[Desc. ciudad]],'Estandar de Rutas'!$C$1:$E$553,2,FALSE)</f>
        <v>#N/A</v>
      </c>
      <c r="U1957" s="130">
        <f>IFERROR(VLOOKUP(Tabla3[[#This Row],[Referencia]]&amp;Tabla3[[#This Row],[Desc detalle ext 1]],Tabla1[[Referencia-Color]:[Disponibilidad]],3,FALSE),0)</f>
        <v>0</v>
      </c>
      <c r="V1957" s="13"/>
      <c r="W1957" s="17">
        <f>+Tabla3[[#This Row],[Cant. Programada]]*Tabla3[[#This Row],[Precio unit]]</f>
        <v>0</v>
      </c>
      <c r="X1957" s="8"/>
      <c r="Y1957" s="8"/>
      <c r="Z1957" s="8" t="str">
        <f>+Tabla3[[#This Row],[Referencia]]&amp;Tabla3[[#This Row],[Desc detalle ext 1]]</f>
        <v/>
      </c>
      <c r="AA1957" s="128" t="e">
        <f>+VLOOKUP(Tabla3[[#This Row],[CODIGO2]],ESTANDAR!$B$3:$C$9,2,FALSE)</f>
        <v>#N/A</v>
      </c>
      <c r="AB1957" s="128" t="str">
        <f>+MID(Tabla3[[#This Row],['# Viaje]],10,1)</f>
        <v/>
      </c>
    </row>
    <row r="1958" spans="1:28" ht="15" hidden="1" customHeight="1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6"/>
      <c r="M1958" s="25"/>
      <c r="N1958" s="25"/>
      <c r="O1958" s="27"/>
      <c r="P1958" s="7"/>
      <c r="Q1958" s="16">
        <f>+IF(IFERROR(VLOOKUP(Tabla3[[#This Row],[Cliente factura]],Tabla4[[NIT]:[TOTAL CREDITO]],3,FALSE),0)="",0,IFERROR(VLOOKUP(Tabla3[[#This Row],[Cliente factura]],Tabla4[[NIT]:[TOTAL CREDITO]],3,FALSE),0))</f>
        <v>0</v>
      </c>
      <c r="R1958" s="9">
        <f>+IFERROR(VLOOKUP(Tabla3[[#This Row],[Cliente factura]],Tabla4[[NIT]:[TOTAL CREDITO]],6,FALSE),0)</f>
        <v>0</v>
      </c>
      <c r="S1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8" s="10" t="e">
        <f>VLOOKUP(Tabla3[[#This Row],[Razón social cliente factura]]&amp;Tabla3[[#This Row],[Desc. ciudad]],'Estandar de Rutas'!$C$1:$E$553,2,FALSE)</f>
        <v>#N/A</v>
      </c>
      <c r="U1958" s="130">
        <f>IFERROR(VLOOKUP(Tabla3[[#This Row],[Referencia]]&amp;Tabla3[[#This Row],[Desc detalle ext 1]],Tabla1[[Referencia-Color]:[Disponibilidad]],3,FALSE),0)</f>
        <v>0</v>
      </c>
      <c r="V1958" s="13"/>
      <c r="W1958" s="17">
        <f>+Tabla3[[#This Row],[Cant. Programada]]*Tabla3[[#This Row],[Precio unit]]</f>
        <v>0</v>
      </c>
      <c r="X1958" s="8"/>
      <c r="Y1958" s="8"/>
      <c r="Z1958" s="8" t="str">
        <f>+Tabla3[[#This Row],[Referencia]]&amp;Tabla3[[#This Row],[Desc detalle ext 1]]</f>
        <v/>
      </c>
      <c r="AA1958" s="128" t="e">
        <f>+VLOOKUP(Tabla3[[#This Row],[CODIGO2]],ESTANDAR!$B$3:$C$9,2,FALSE)</f>
        <v>#N/A</v>
      </c>
      <c r="AB1958" s="128" t="str">
        <f>+MID(Tabla3[[#This Row],['# Viaje]],10,1)</f>
        <v/>
      </c>
    </row>
    <row r="1959" spans="1:28" ht="15" hidden="1" customHeight="1">
      <c r="A1959" s="25"/>
      <c r="B1959" s="26"/>
      <c r="C1959" s="25"/>
      <c r="D1959" s="25"/>
      <c r="E1959" s="25"/>
      <c r="F1959" s="25"/>
      <c r="G1959" s="25"/>
      <c r="H1959" s="25"/>
      <c r="I1959" s="25"/>
      <c r="J1959" s="25"/>
      <c r="K1959" s="25"/>
      <c r="L1959" s="26"/>
      <c r="M1959" s="25"/>
      <c r="N1959" s="25"/>
      <c r="O1959" s="27"/>
      <c r="P1959" s="7"/>
      <c r="Q1959" s="16">
        <f>+IF(IFERROR(VLOOKUP(Tabla3[[#This Row],[Cliente factura]],Tabla4[[NIT]:[TOTAL CREDITO]],3,FALSE),0)="",0,IFERROR(VLOOKUP(Tabla3[[#This Row],[Cliente factura]],Tabla4[[NIT]:[TOTAL CREDITO]],3,FALSE),0))</f>
        <v>0</v>
      </c>
      <c r="R1959" s="9">
        <f>+IFERROR(VLOOKUP(Tabla3[[#This Row],[Cliente factura]],Tabla4[[NIT]:[TOTAL CREDITO]],6,FALSE),0)</f>
        <v>0</v>
      </c>
      <c r="S1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9" s="10" t="e">
        <f>VLOOKUP(Tabla3[[#This Row],[Razón social cliente factura]]&amp;Tabla3[[#This Row],[Desc. ciudad]],'Estandar de Rutas'!$C$1:$E$553,2,FALSE)</f>
        <v>#N/A</v>
      </c>
      <c r="U1959" s="130">
        <f>IFERROR(VLOOKUP(Tabla3[[#This Row],[Referencia]]&amp;Tabla3[[#This Row],[Desc detalle ext 1]],Tabla1[[Referencia-Color]:[Disponibilidad]],3,FALSE),0)</f>
        <v>0</v>
      </c>
      <c r="V1959" s="13"/>
      <c r="W1959" s="17">
        <f>+Tabla3[[#This Row],[Cant. Programada]]*Tabla3[[#This Row],[Precio unit]]</f>
        <v>0</v>
      </c>
      <c r="X1959" s="8"/>
      <c r="Y1959" s="8"/>
      <c r="Z1959" s="8" t="str">
        <f>+Tabla3[[#This Row],[Referencia]]&amp;Tabla3[[#This Row],[Desc detalle ext 1]]</f>
        <v/>
      </c>
      <c r="AA1959" s="128" t="e">
        <f>+VLOOKUP(Tabla3[[#This Row],[CODIGO2]],ESTANDAR!$B$3:$C$9,2,FALSE)</f>
        <v>#N/A</v>
      </c>
      <c r="AB1959" s="128" t="str">
        <f>+MID(Tabla3[[#This Row],['# Viaje]],10,1)</f>
        <v/>
      </c>
    </row>
    <row r="1960" spans="1:28" ht="15" hidden="1" customHeight="1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6"/>
      <c r="M1960" s="25"/>
      <c r="N1960" s="25"/>
      <c r="O1960" s="27"/>
      <c r="P1960" s="7"/>
      <c r="Q1960" s="16">
        <f>+IF(IFERROR(VLOOKUP(Tabla3[[#This Row],[Cliente factura]],Tabla4[[NIT]:[TOTAL CREDITO]],3,FALSE),0)="",0,IFERROR(VLOOKUP(Tabla3[[#This Row],[Cliente factura]],Tabla4[[NIT]:[TOTAL CREDITO]],3,FALSE),0))</f>
        <v>0</v>
      </c>
      <c r="R1960" s="9">
        <f>+IFERROR(VLOOKUP(Tabla3[[#This Row],[Cliente factura]],Tabla4[[NIT]:[TOTAL CREDITO]],6,FALSE),0)</f>
        <v>0</v>
      </c>
      <c r="S1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0" s="10" t="e">
        <f>VLOOKUP(Tabla3[[#This Row],[Razón social cliente factura]]&amp;Tabla3[[#This Row],[Desc. ciudad]],'Estandar de Rutas'!$C$1:$E$553,2,FALSE)</f>
        <v>#N/A</v>
      </c>
      <c r="U1960" s="130">
        <f>IFERROR(VLOOKUP(Tabla3[[#This Row],[Referencia]]&amp;Tabla3[[#This Row],[Desc detalle ext 1]],Tabla1[[Referencia-Color]:[Disponibilidad]],3,FALSE),0)</f>
        <v>0</v>
      </c>
      <c r="V1960" s="13"/>
      <c r="W1960" s="17">
        <f>+Tabla3[[#This Row],[Cant. Programada]]*Tabla3[[#This Row],[Precio unit]]</f>
        <v>0</v>
      </c>
      <c r="X1960" s="8"/>
      <c r="Y1960" s="8"/>
      <c r="Z1960" s="8" t="str">
        <f>+Tabla3[[#This Row],[Referencia]]&amp;Tabla3[[#This Row],[Desc detalle ext 1]]</f>
        <v/>
      </c>
      <c r="AA1960" s="128" t="e">
        <f>+VLOOKUP(Tabla3[[#This Row],[CODIGO2]],ESTANDAR!$B$3:$C$9,2,FALSE)</f>
        <v>#N/A</v>
      </c>
      <c r="AB1960" s="128" t="str">
        <f>+MID(Tabla3[[#This Row],['# Viaje]],10,1)</f>
        <v/>
      </c>
    </row>
    <row r="1961" spans="1:28" ht="15" hidden="1" customHeight="1">
      <c r="A1961" s="25"/>
      <c r="B1961" s="26"/>
      <c r="C1961" s="25"/>
      <c r="D1961" s="25"/>
      <c r="E1961" s="25"/>
      <c r="F1961" s="25"/>
      <c r="G1961" s="25"/>
      <c r="H1961" s="25"/>
      <c r="I1961" s="25"/>
      <c r="J1961" s="25"/>
      <c r="K1961" s="25"/>
      <c r="L1961" s="26"/>
      <c r="M1961" s="25"/>
      <c r="N1961" s="25"/>
      <c r="O1961" s="27"/>
      <c r="P1961" s="7"/>
      <c r="Q1961" s="16">
        <f>+IF(IFERROR(VLOOKUP(Tabla3[[#This Row],[Cliente factura]],Tabla4[[NIT]:[TOTAL CREDITO]],3,FALSE),0)="",0,IFERROR(VLOOKUP(Tabla3[[#This Row],[Cliente factura]],Tabla4[[NIT]:[TOTAL CREDITO]],3,FALSE),0))</f>
        <v>0</v>
      </c>
      <c r="R1961" s="9">
        <f>+IFERROR(VLOOKUP(Tabla3[[#This Row],[Cliente factura]],Tabla4[[NIT]:[TOTAL CREDITO]],6,FALSE),0)</f>
        <v>0</v>
      </c>
      <c r="S1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1" s="10" t="e">
        <f>VLOOKUP(Tabla3[[#This Row],[Razón social cliente factura]]&amp;Tabla3[[#This Row],[Desc. ciudad]],'Estandar de Rutas'!$C$1:$E$553,2,FALSE)</f>
        <v>#N/A</v>
      </c>
      <c r="U1961" s="130">
        <f>IFERROR(VLOOKUP(Tabla3[[#This Row],[Referencia]]&amp;Tabla3[[#This Row],[Desc detalle ext 1]],Tabla1[[Referencia-Color]:[Disponibilidad]],3,FALSE),0)</f>
        <v>0</v>
      </c>
      <c r="V1961" s="13"/>
      <c r="W1961" s="17">
        <f>+Tabla3[[#This Row],[Cant. Programada]]*Tabla3[[#This Row],[Precio unit]]</f>
        <v>0</v>
      </c>
      <c r="X1961" s="8"/>
      <c r="Y1961" s="8"/>
      <c r="Z1961" s="8" t="str">
        <f>+Tabla3[[#This Row],[Referencia]]&amp;Tabla3[[#This Row],[Desc detalle ext 1]]</f>
        <v/>
      </c>
      <c r="AA1961" s="128" t="e">
        <f>+VLOOKUP(Tabla3[[#This Row],[CODIGO2]],ESTANDAR!$B$3:$C$9,2,FALSE)</f>
        <v>#N/A</v>
      </c>
      <c r="AB1961" s="128" t="str">
        <f>+MID(Tabla3[[#This Row],['# Viaje]],10,1)</f>
        <v/>
      </c>
    </row>
    <row r="1962" spans="1:28" ht="15" hidden="1" customHeight="1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6"/>
      <c r="M1962" s="25"/>
      <c r="N1962" s="25"/>
      <c r="O1962" s="27"/>
      <c r="P1962" s="7"/>
      <c r="Q1962" s="16">
        <f>+IF(IFERROR(VLOOKUP(Tabla3[[#This Row],[Cliente factura]],Tabla4[[NIT]:[TOTAL CREDITO]],3,FALSE),0)="",0,IFERROR(VLOOKUP(Tabla3[[#This Row],[Cliente factura]],Tabla4[[NIT]:[TOTAL CREDITO]],3,FALSE),0))</f>
        <v>0</v>
      </c>
      <c r="R1962" s="9">
        <f>+IFERROR(VLOOKUP(Tabla3[[#This Row],[Cliente factura]],Tabla4[[NIT]:[TOTAL CREDITO]],6,FALSE),0)</f>
        <v>0</v>
      </c>
      <c r="S1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2" s="10" t="e">
        <f>VLOOKUP(Tabla3[[#This Row],[Razón social cliente factura]]&amp;Tabla3[[#This Row],[Desc. ciudad]],'Estandar de Rutas'!$C$1:$E$553,2,FALSE)</f>
        <v>#N/A</v>
      </c>
      <c r="U1962" s="130">
        <f>IFERROR(VLOOKUP(Tabla3[[#This Row],[Referencia]]&amp;Tabla3[[#This Row],[Desc detalle ext 1]],Tabla1[[Referencia-Color]:[Disponibilidad]],3,FALSE),0)</f>
        <v>0</v>
      </c>
      <c r="V1962" s="13"/>
      <c r="W1962" s="17">
        <f>+Tabla3[[#This Row],[Cant. Programada]]*Tabla3[[#This Row],[Precio unit]]</f>
        <v>0</v>
      </c>
      <c r="X1962" s="8"/>
      <c r="Y1962" s="8"/>
      <c r="Z1962" s="8" t="str">
        <f>+Tabla3[[#This Row],[Referencia]]&amp;Tabla3[[#This Row],[Desc detalle ext 1]]</f>
        <v/>
      </c>
      <c r="AA1962" s="128" t="e">
        <f>+VLOOKUP(Tabla3[[#This Row],[CODIGO2]],ESTANDAR!$B$3:$C$9,2,FALSE)</f>
        <v>#N/A</v>
      </c>
      <c r="AB1962" s="128" t="str">
        <f>+MID(Tabla3[[#This Row],['# Viaje]],10,1)</f>
        <v/>
      </c>
    </row>
    <row r="1963" spans="1:28" ht="15" hidden="1" customHeight="1">
      <c r="A1963" s="25"/>
      <c r="B1963" s="26"/>
      <c r="C1963" s="25"/>
      <c r="D1963" s="25"/>
      <c r="E1963" s="25"/>
      <c r="F1963" s="25"/>
      <c r="G1963" s="25"/>
      <c r="H1963" s="25"/>
      <c r="I1963" s="25"/>
      <c r="J1963" s="25"/>
      <c r="K1963" s="25"/>
      <c r="L1963" s="26"/>
      <c r="M1963" s="25"/>
      <c r="N1963" s="25"/>
      <c r="O1963" s="27"/>
      <c r="P1963" s="7"/>
      <c r="Q1963" s="16">
        <f>+IF(IFERROR(VLOOKUP(Tabla3[[#This Row],[Cliente factura]],Tabla4[[NIT]:[TOTAL CREDITO]],3,FALSE),0)="",0,IFERROR(VLOOKUP(Tabla3[[#This Row],[Cliente factura]],Tabla4[[NIT]:[TOTAL CREDITO]],3,FALSE),0))</f>
        <v>0</v>
      </c>
      <c r="R1963" s="9">
        <f>+IFERROR(VLOOKUP(Tabla3[[#This Row],[Cliente factura]],Tabla4[[NIT]:[TOTAL CREDITO]],6,FALSE),0)</f>
        <v>0</v>
      </c>
      <c r="S1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3" s="10" t="e">
        <f>VLOOKUP(Tabla3[[#This Row],[Razón social cliente factura]]&amp;Tabla3[[#This Row],[Desc. ciudad]],'Estandar de Rutas'!$C$1:$E$553,2,FALSE)</f>
        <v>#N/A</v>
      </c>
      <c r="U1963" s="130">
        <f>IFERROR(VLOOKUP(Tabla3[[#This Row],[Referencia]]&amp;Tabla3[[#This Row],[Desc detalle ext 1]],Tabla1[[Referencia-Color]:[Disponibilidad]],3,FALSE),0)</f>
        <v>0</v>
      </c>
      <c r="V1963" s="13"/>
      <c r="W1963" s="17">
        <f>+Tabla3[[#This Row],[Cant. Programada]]*Tabla3[[#This Row],[Precio unit]]</f>
        <v>0</v>
      </c>
      <c r="X1963" s="8"/>
      <c r="Y1963" s="8"/>
      <c r="Z1963" s="8" t="str">
        <f>+Tabla3[[#This Row],[Referencia]]&amp;Tabla3[[#This Row],[Desc detalle ext 1]]</f>
        <v/>
      </c>
      <c r="AA1963" s="128" t="e">
        <f>+VLOOKUP(Tabla3[[#This Row],[CODIGO2]],ESTANDAR!$B$3:$C$9,2,FALSE)</f>
        <v>#N/A</v>
      </c>
      <c r="AB1963" s="128" t="str">
        <f>+MID(Tabla3[[#This Row],['# Viaje]],10,1)</f>
        <v/>
      </c>
    </row>
    <row r="1964" spans="1:28" ht="15" hidden="1" customHeight="1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6"/>
      <c r="M1964" s="25"/>
      <c r="N1964" s="25"/>
      <c r="O1964" s="27"/>
      <c r="P1964" s="7"/>
      <c r="Q1964" s="16">
        <f>+IF(IFERROR(VLOOKUP(Tabla3[[#This Row],[Cliente factura]],Tabla4[[NIT]:[TOTAL CREDITO]],3,FALSE),0)="",0,IFERROR(VLOOKUP(Tabla3[[#This Row],[Cliente factura]],Tabla4[[NIT]:[TOTAL CREDITO]],3,FALSE),0))</f>
        <v>0</v>
      </c>
      <c r="R1964" s="9">
        <f>+IFERROR(VLOOKUP(Tabla3[[#This Row],[Cliente factura]],Tabla4[[NIT]:[TOTAL CREDITO]],6,FALSE),0)</f>
        <v>0</v>
      </c>
      <c r="S1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4" s="10" t="e">
        <f>VLOOKUP(Tabla3[[#This Row],[Razón social cliente factura]]&amp;Tabla3[[#This Row],[Desc. ciudad]],'Estandar de Rutas'!$C$1:$E$553,2,FALSE)</f>
        <v>#N/A</v>
      </c>
      <c r="U1964" s="130">
        <f>IFERROR(VLOOKUP(Tabla3[[#This Row],[Referencia]]&amp;Tabla3[[#This Row],[Desc detalle ext 1]],Tabla1[[Referencia-Color]:[Disponibilidad]],3,FALSE),0)</f>
        <v>0</v>
      </c>
      <c r="V1964" s="13"/>
      <c r="W1964" s="17">
        <f>+Tabla3[[#This Row],[Cant. Programada]]*Tabla3[[#This Row],[Precio unit]]</f>
        <v>0</v>
      </c>
      <c r="X1964" s="8"/>
      <c r="Y1964" s="8"/>
      <c r="Z1964" s="8" t="str">
        <f>+Tabla3[[#This Row],[Referencia]]&amp;Tabla3[[#This Row],[Desc detalle ext 1]]</f>
        <v/>
      </c>
      <c r="AA1964" s="128" t="e">
        <f>+VLOOKUP(Tabla3[[#This Row],[CODIGO2]],ESTANDAR!$B$3:$C$9,2,FALSE)</f>
        <v>#N/A</v>
      </c>
      <c r="AB1964" s="128" t="str">
        <f>+MID(Tabla3[[#This Row],['# Viaje]],10,1)</f>
        <v/>
      </c>
    </row>
    <row r="1965" spans="1:28" ht="15" hidden="1" customHeight="1">
      <c r="A1965" s="25"/>
      <c r="B1965" s="26"/>
      <c r="C1965" s="25"/>
      <c r="D1965" s="25"/>
      <c r="E1965" s="25"/>
      <c r="F1965" s="25"/>
      <c r="G1965" s="25"/>
      <c r="H1965" s="25"/>
      <c r="I1965" s="25"/>
      <c r="J1965" s="25"/>
      <c r="K1965" s="25"/>
      <c r="L1965" s="26"/>
      <c r="M1965" s="25"/>
      <c r="N1965" s="25"/>
      <c r="O1965" s="27"/>
      <c r="P1965" s="7"/>
      <c r="Q1965" s="16">
        <f>+IF(IFERROR(VLOOKUP(Tabla3[[#This Row],[Cliente factura]],Tabla4[[NIT]:[TOTAL CREDITO]],3,FALSE),0)="",0,IFERROR(VLOOKUP(Tabla3[[#This Row],[Cliente factura]],Tabla4[[NIT]:[TOTAL CREDITO]],3,FALSE),0))</f>
        <v>0</v>
      </c>
      <c r="R1965" s="9">
        <f>+IFERROR(VLOOKUP(Tabla3[[#This Row],[Cliente factura]],Tabla4[[NIT]:[TOTAL CREDITO]],6,FALSE),0)</f>
        <v>0</v>
      </c>
      <c r="S1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5" s="10" t="e">
        <f>VLOOKUP(Tabla3[[#This Row],[Razón social cliente factura]]&amp;Tabla3[[#This Row],[Desc. ciudad]],'Estandar de Rutas'!$C$1:$E$553,2,FALSE)</f>
        <v>#N/A</v>
      </c>
      <c r="U1965" s="130">
        <f>IFERROR(VLOOKUP(Tabla3[[#This Row],[Referencia]]&amp;Tabla3[[#This Row],[Desc detalle ext 1]],Tabla1[[Referencia-Color]:[Disponibilidad]],3,FALSE),0)</f>
        <v>0</v>
      </c>
      <c r="V1965" s="13"/>
      <c r="W1965" s="17">
        <f>+Tabla3[[#This Row],[Cant. Programada]]*Tabla3[[#This Row],[Precio unit]]</f>
        <v>0</v>
      </c>
      <c r="X1965" s="8"/>
      <c r="Y1965" s="8"/>
      <c r="Z1965" s="8" t="str">
        <f>+Tabla3[[#This Row],[Referencia]]&amp;Tabla3[[#This Row],[Desc detalle ext 1]]</f>
        <v/>
      </c>
      <c r="AA1965" s="128" t="e">
        <f>+VLOOKUP(Tabla3[[#This Row],[CODIGO2]],ESTANDAR!$B$3:$C$9,2,FALSE)</f>
        <v>#N/A</v>
      </c>
      <c r="AB1965" s="128" t="str">
        <f>+MID(Tabla3[[#This Row],['# Viaje]],10,1)</f>
        <v/>
      </c>
    </row>
    <row r="1966" spans="1:28" ht="15" hidden="1" customHeight="1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6"/>
      <c r="M1966" s="25"/>
      <c r="N1966" s="25"/>
      <c r="O1966" s="27"/>
      <c r="P1966" s="7"/>
      <c r="Q1966" s="16">
        <f>+IF(IFERROR(VLOOKUP(Tabla3[[#This Row],[Cliente factura]],Tabla4[[NIT]:[TOTAL CREDITO]],3,FALSE),0)="",0,IFERROR(VLOOKUP(Tabla3[[#This Row],[Cliente factura]],Tabla4[[NIT]:[TOTAL CREDITO]],3,FALSE),0))</f>
        <v>0</v>
      </c>
      <c r="R1966" s="9">
        <f>+IFERROR(VLOOKUP(Tabla3[[#This Row],[Cliente factura]],Tabla4[[NIT]:[TOTAL CREDITO]],6,FALSE),0)</f>
        <v>0</v>
      </c>
      <c r="S1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6" s="10" t="e">
        <f>VLOOKUP(Tabla3[[#This Row],[Razón social cliente factura]]&amp;Tabla3[[#This Row],[Desc. ciudad]],'Estandar de Rutas'!$C$1:$E$553,2,FALSE)</f>
        <v>#N/A</v>
      </c>
      <c r="U1966" s="130">
        <f>IFERROR(VLOOKUP(Tabla3[[#This Row],[Referencia]]&amp;Tabla3[[#This Row],[Desc detalle ext 1]],Tabla1[[Referencia-Color]:[Disponibilidad]],3,FALSE),0)</f>
        <v>0</v>
      </c>
      <c r="V1966" s="13"/>
      <c r="W1966" s="17">
        <f>+Tabla3[[#This Row],[Cant. Programada]]*Tabla3[[#This Row],[Precio unit]]</f>
        <v>0</v>
      </c>
      <c r="X1966" s="8"/>
      <c r="Y1966" s="8"/>
      <c r="Z1966" s="8" t="str">
        <f>+Tabla3[[#This Row],[Referencia]]&amp;Tabla3[[#This Row],[Desc detalle ext 1]]</f>
        <v/>
      </c>
      <c r="AA1966" s="128" t="e">
        <f>+VLOOKUP(Tabla3[[#This Row],[CODIGO2]],ESTANDAR!$B$3:$C$9,2,FALSE)</f>
        <v>#N/A</v>
      </c>
      <c r="AB1966" s="128" t="str">
        <f>+MID(Tabla3[[#This Row],['# Viaje]],10,1)</f>
        <v/>
      </c>
    </row>
    <row r="1967" spans="1:28" ht="15" hidden="1" customHeight="1">
      <c r="A1967" s="25"/>
      <c r="B1967" s="26"/>
      <c r="C1967" s="25"/>
      <c r="D1967" s="25"/>
      <c r="E1967" s="25"/>
      <c r="F1967" s="25"/>
      <c r="G1967" s="25"/>
      <c r="H1967" s="25"/>
      <c r="I1967" s="25"/>
      <c r="J1967" s="25"/>
      <c r="K1967" s="25"/>
      <c r="L1967" s="26"/>
      <c r="M1967" s="25"/>
      <c r="N1967" s="25"/>
      <c r="O1967" s="27"/>
      <c r="P1967" s="7"/>
      <c r="Q1967" s="16">
        <f>+IF(IFERROR(VLOOKUP(Tabla3[[#This Row],[Cliente factura]],Tabla4[[NIT]:[TOTAL CREDITO]],3,FALSE),0)="",0,IFERROR(VLOOKUP(Tabla3[[#This Row],[Cliente factura]],Tabla4[[NIT]:[TOTAL CREDITO]],3,FALSE),0))</f>
        <v>0</v>
      </c>
      <c r="R1967" s="9">
        <f>+IFERROR(VLOOKUP(Tabla3[[#This Row],[Cliente factura]],Tabla4[[NIT]:[TOTAL CREDITO]],6,FALSE),0)</f>
        <v>0</v>
      </c>
      <c r="S1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7" s="10" t="e">
        <f>VLOOKUP(Tabla3[[#This Row],[Razón social cliente factura]]&amp;Tabla3[[#This Row],[Desc. ciudad]],'Estandar de Rutas'!$C$1:$E$553,2,FALSE)</f>
        <v>#N/A</v>
      </c>
      <c r="U1967" s="130">
        <f>IFERROR(VLOOKUP(Tabla3[[#This Row],[Referencia]]&amp;Tabla3[[#This Row],[Desc detalle ext 1]],Tabla1[[Referencia-Color]:[Disponibilidad]],3,FALSE),0)</f>
        <v>0</v>
      </c>
      <c r="V1967" s="13"/>
      <c r="W1967" s="17">
        <f>+Tabla3[[#This Row],[Cant. Programada]]*Tabla3[[#This Row],[Precio unit]]</f>
        <v>0</v>
      </c>
      <c r="X1967" s="8"/>
      <c r="Y1967" s="8"/>
      <c r="Z1967" s="8" t="str">
        <f>+Tabla3[[#This Row],[Referencia]]&amp;Tabla3[[#This Row],[Desc detalle ext 1]]</f>
        <v/>
      </c>
      <c r="AA1967" s="128" t="e">
        <f>+VLOOKUP(Tabla3[[#This Row],[CODIGO2]],ESTANDAR!$B$3:$C$9,2,FALSE)</f>
        <v>#N/A</v>
      </c>
      <c r="AB1967" s="128" t="str">
        <f>+MID(Tabla3[[#This Row],['# Viaje]],10,1)</f>
        <v/>
      </c>
    </row>
    <row r="1968" spans="1:28" ht="15" hidden="1" customHeight="1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6"/>
      <c r="M1968" s="25"/>
      <c r="N1968" s="25"/>
      <c r="O1968" s="27"/>
      <c r="P1968" s="7"/>
      <c r="Q1968" s="16">
        <f>+IF(IFERROR(VLOOKUP(Tabla3[[#This Row],[Cliente factura]],Tabla4[[NIT]:[TOTAL CREDITO]],3,FALSE),0)="",0,IFERROR(VLOOKUP(Tabla3[[#This Row],[Cliente factura]],Tabla4[[NIT]:[TOTAL CREDITO]],3,FALSE),0))</f>
        <v>0</v>
      </c>
      <c r="R1968" s="9">
        <f>+IFERROR(VLOOKUP(Tabla3[[#This Row],[Cliente factura]],Tabla4[[NIT]:[TOTAL CREDITO]],6,FALSE),0)</f>
        <v>0</v>
      </c>
      <c r="S1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8" s="10" t="e">
        <f>VLOOKUP(Tabla3[[#This Row],[Razón social cliente factura]]&amp;Tabla3[[#This Row],[Desc. ciudad]],'Estandar de Rutas'!$C$1:$E$553,2,FALSE)</f>
        <v>#N/A</v>
      </c>
      <c r="U1968" s="130">
        <f>IFERROR(VLOOKUP(Tabla3[[#This Row],[Referencia]]&amp;Tabla3[[#This Row],[Desc detalle ext 1]],Tabla1[[Referencia-Color]:[Disponibilidad]],3,FALSE),0)</f>
        <v>0</v>
      </c>
      <c r="V1968" s="13"/>
      <c r="W1968" s="17">
        <f>+Tabla3[[#This Row],[Cant. Programada]]*Tabla3[[#This Row],[Precio unit]]</f>
        <v>0</v>
      </c>
      <c r="X1968" s="8"/>
      <c r="Y1968" s="8"/>
      <c r="Z1968" s="8" t="str">
        <f>+Tabla3[[#This Row],[Referencia]]&amp;Tabla3[[#This Row],[Desc detalle ext 1]]</f>
        <v/>
      </c>
      <c r="AA1968" s="128" t="e">
        <f>+VLOOKUP(Tabla3[[#This Row],[CODIGO2]],ESTANDAR!$B$3:$C$9,2,FALSE)</f>
        <v>#N/A</v>
      </c>
      <c r="AB1968" s="128" t="str">
        <f>+MID(Tabla3[[#This Row],['# Viaje]],10,1)</f>
        <v/>
      </c>
    </row>
    <row r="1969" spans="1:28" ht="15" hidden="1" customHeight="1">
      <c r="A1969" s="25"/>
      <c r="B1969" s="26"/>
      <c r="C1969" s="25"/>
      <c r="D1969" s="25"/>
      <c r="E1969" s="25"/>
      <c r="F1969" s="25"/>
      <c r="G1969" s="25"/>
      <c r="H1969" s="25"/>
      <c r="I1969" s="25"/>
      <c r="J1969" s="25"/>
      <c r="K1969" s="25"/>
      <c r="L1969" s="26"/>
      <c r="M1969" s="25"/>
      <c r="N1969" s="25"/>
      <c r="O1969" s="27"/>
      <c r="P1969" s="7"/>
      <c r="Q1969" s="16">
        <f>+IF(IFERROR(VLOOKUP(Tabla3[[#This Row],[Cliente factura]],Tabla4[[NIT]:[TOTAL CREDITO]],3,FALSE),0)="",0,IFERROR(VLOOKUP(Tabla3[[#This Row],[Cliente factura]],Tabla4[[NIT]:[TOTAL CREDITO]],3,FALSE),0))</f>
        <v>0</v>
      </c>
      <c r="R1969" s="9">
        <f>+IFERROR(VLOOKUP(Tabla3[[#This Row],[Cliente factura]],Tabla4[[NIT]:[TOTAL CREDITO]],6,FALSE),0)</f>
        <v>0</v>
      </c>
      <c r="S1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9" s="10" t="e">
        <f>VLOOKUP(Tabla3[[#This Row],[Razón social cliente factura]]&amp;Tabla3[[#This Row],[Desc. ciudad]],'Estandar de Rutas'!$C$1:$E$553,2,FALSE)</f>
        <v>#N/A</v>
      </c>
      <c r="U1969" s="130">
        <f>IFERROR(VLOOKUP(Tabla3[[#This Row],[Referencia]]&amp;Tabla3[[#This Row],[Desc detalle ext 1]],Tabla1[[Referencia-Color]:[Disponibilidad]],3,FALSE),0)</f>
        <v>0</v>
      </c>
      <c r="V1969" s="13"/>
      <c r="W1969" s="17">
        <f>+Tabla3[[#This Row],[Cant. Programada]]*Tabla3[[#This Row],[Precio unit]]</f>
        <v>0</v>
      </c>
      <c r="X1969" s="8"/>
      <c r="Y1969" s="8"/>
      <c r="Z1969" s="8" t="str">
        <f>+Tabla3[[#This Row],[Referencia]]&amp;Tabla3[[#This Row],[Desc detalle ext 1]]</f>
        <v/>
      </c>
      <c r="AA1969" s="128" t="e">
        <f>+VLOOKUP(Tabla3[[#This Row],[CODIGO2]],ESTANDAR!$B$3:$C$9,2,FALSE)</f>
        <v>#N/A</v>
      </c>
      <c r="AB1969" s="128" t="str">
        <f>+MID(Tabla3[[#This Row],['# Viaje]],10,1)</f>
        <v/>
      </c>
    </row>
    <row r="1970" spans="1:28" ht="15" hidden="1" customHeight="1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6"/>
      <c r="M1970" s="25"/>
      <c r="N1970" s="25"/>
      <c r="O1970" s="27"/>
      <c r="P1970" s="7"/>
      <c r="Q1970" s="16">
        <f>+IF(IFERROR(VLOOKUP(Tabla3[[#This Row],[Cliente factura]],Tabla4[[NIT]:[TOTAL CREDITO]],3,FALSE),0)="",0,IFERROR(VLOOKUP(Tabla3[[#This Row],[Cliente factura]],Tabla4[[NIT]:[TOTAL CREDITO]],3,FALSE),0))</f>
        <v>0</v>
      </c>
      <c r="R1970" s="9">
        <f>+IFERROR(VLOOKUP(Tabla3[[#This Row],[Cliente factura]],Tabla4[[NIT]:[TOTAL CREDITO]],6,FALSE),0)</f>
        <v>0</v>
      </c>
      <c r="S1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0" s="10" t="e">
        <f>VLOOKUP(Tabla3[[#This Row],[Razón social cliente factura]]&amp;Tabla3[[#This Row],[Desc. ciudad]],'Estandar de Rutas'!$C$1:$E$553,2,FALSE)</f>
        <v>#N/A</v>
      </c>
      <c r="U1970" s="130">
        <f>IFERROR(VLOOKUP(Tabla3[[#This Row],[Referencia]]&amp;Tabla3[[#This Row],[Desc detalle ext 1]],Tabla1[[Referencia-Color]:[Disponibilidad]],3,FALSE),0)</f>
        <v>0</v>
      </c>
      <c r="V1970" s="13"/>
      <c r="W1970" s="17">
        <f>+Tabla3[[#This Row],[Cant. Programada]]*Tabla3[[#This Row],[Precio unit]]</f>
        <v>0</v>
      </c>
      <c r="X1970" s="8"/>
      <c r="Y1970" s="8"/>
      <c r="Z1970" s="8" t="str">
        <f>+Tabla3[[#This Row],[Referencia]]&amp;Tabla3[[#This Row],[Desc detalle ext 1]]</f>
        <v/>
      </c>
      <c r="AA1970" s="128" t="e">
        <f>+VLOOKUP(Tabla3[[#This Row],[CODIGO2]],ESTANDAR!$B$3:$C$9,2,FALSE)</f>
        <v>#N/A</v>
      </c>
      <c r="AB1970" s="128" t="str">
        <f>+MID(Tabla3[[#This Row],['# Viaje]],10,1)</f>
        <v/>
      </c>
    </row>
    <row r="1971" spans="1:28" ht="15" hidden="1" customHeight="1">
      <c r="A1971" s="25"/>
      <c r="B1971" s="26"/>
      <c r="C1971" s="25"/>
      <c r="D1971" s="25"/>
      <c r="E1971" s="25"/>
      <c r="F1971" s="25"/>
      <c r="G1971" s="25"/>
      <c r="H1971" s="25"/>
      <c r="I1971" s="25"/>
      <c r="J1971" s="25"/>
      <c r="K1971" s="25"/>
      <c r="L1971" s="26"/>
      <c r="M1971" s="25"/>
      <c r="N1971" s="25"/>
      <c r="O1971" s="27"/>
      <c r="P1971" s="7"/>
      <c r="Q1971" s="16">
        <f>+IF(IFERROR(VLOOKUP(Tabla3[[#This Row],[Cliente factura]],Tabla4[[NIT]:[TOTAL CREDITO]],3,FALSE),0)="",0,IFERROR(VLOOKUP(Tabla3[[#This Row],[Cliente factura]],Tabla4[[NIT]:[TOTAL CREDITO]],3,FALSE),0))</f>
        <v>0</v>
      </c>
      <c r="R1971" s="9">
        <f>+IFERROR(VLOOKUP(Tabla3[[#This Row],[Cliente factura]],Tabla4[[NIT]:[TOTAL CREDITO]],6,FALSE),0)</f>
        <v>0</v>
      </c>
      <c r="S1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1" s="10" t="e">
        <f>VLOOKUP(Tabla3[[#This Row],[Razón social cliente factura]]&amp;Tabla3[[#This Row],[Desc. ciudad]],'Estandar de Rutas'!$C$1:$E$553,2,FALSE)</f>
        <v>#N/A</v>
      </c>
      <c r="U1971" s="130">
        <f>IFERROR(VLOOKUP(Tabla3[[#This Row],[Referencia]]&amp;Tabla3[[#This Row],[Desc detalle ext 1]],Tabla1[[Referencia-Color]:[Disponibilidad]],3,FALSE),0)</f>
        <v>0</v>
      </c>
      <c r="V1971" s="13"/>
      <c r="W1971" s="17">
        <f>+Tabla3[[#This Row],[Cant. Programada]]*Tabla3[[#This Row],[Precio unit]]</f>
        <v>0</v>
      </c>
      <c r="X1971" s="8"/>
      <c r="Y1971" s="8"/>
      <c r="Z1971" s="8" t="str">
        <f>+Tabla3[[#This Row],[Referencia]]&amp;Tabla3[[#This Row],[Desc detalle ext 1]]</f>
        <v/>
      </c>
      <c r="AA1971" s="128" t="e">
        <f>+VLOOKUP(Tabla3[[#This Row],[CODIGO2]],ESTANDAR!$B$3:$C$9,2,FALSE)</f>
        <v>#N/A</v>
      </c>
      <c r="AB1971" s="128" t="str">
        <f>+MID(Tabla3[[#This Row],['# Viaje]],10,1)</f>
        <v/>
      </c>
    </row>
    <row r="1972" spans="1:28" ht="15" hidden="1" customHeight="1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6"/>
      <c r="M1972" s="25"/>
      <c r="N1972" s="25"/>
      <c r="O1972" s="27"/>
      <c r="P1972" s="7"/>
      <c r="Q1972" s="16">
        <f>+IF(IFERROR(VLOOKUP(Tabla3[[#This Row],[Cliente factura]],Tabla4[[NIT]:[TOTAL CREDITO]],3,FALSE),0)="",0,IFERROR(VLOOKUP(Tabla3[[#This Row],[Cliente factura]],Tabla4[[NIT]:[TOTAL CREDITO]],3,FALSE),0))</f>
        <v>0</v>
      </c>
      <c r="R1972" s="9">
        <f>+IFERROR(VLOOKUP(Tabla3[[#This Row],[Cliente factura]],Tabla4[[NIT]:[TOTAL CREDITO]],6,FALSE),0)</f>
        <v>0</v>
      </c>
      <c r="S1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2" s="10" t="e">
        <f>VLOOKUP(Tabla3[[#This Row],[Razón social cliente factura]]&amp;Tabla3[[#This Row],[Desc. ciudad]],'Estandar de Rutas'!$C$1:$E$553,2,FALSE)</f>
        <v>#N/A</v>
      </c>
      <c r="U1972" s="130">
        <f>IFERROR(VLOOKUP(Tabla3[[#This Row],[Referencia]]&amp;Tabla3[[#This Row],[Desc detalle ext 1]],Tabla1[[Referencia-Color]:[Disponibilidad]],3,FALSE),0)</f>
        <v>0</v>
      </c>
      <c r="V1972" s="13"/>
      <c r="W1972" s="17">
        <f>+Tabla3[[#This Row],[Cant. Programada]]*Tabla3[[#This Row],[Precio unit]]</f>
        <v>0</v>
      </c>
      <c r="X1972" s="8"/>
      <c r="Y1972" s="8"/>
      <c r="Z1972" s="8" t="str">
        <f>+Tabla3[[#This Row],[Referencia]]&amp;Tabla3[[#This Row],[Desc detalle ext 1]]</f>
        <v/>
      </c>
      <c r="AA1972" s="128" t="e">
        <f>+VLOOKUP(Tabla3[[#This Row],[CODIGO2]],ESTANDAR!$B$3:$C$9,2,FALSE)</f>
        <v>#N/A</v>
      </c>
      <c r="AB1972" s="128" t="str">
        <f>+MID(Tabla3[[#This Row],['# Viaje]],10,1)</f>
        <v/>
      </c>
    </row>
    <row r="1973" spans="1:28" ht="15" hidden="1" customHeight="1">
      <c r="A1973" s="25"/>
      <c r="B1973" s="26"/>
      <c r="C1973" s="25"/>
      <c r="D1973" s="25"/>
      <c r="E1973" s="25"/>
      <c r="F1973" s="25"/>
      <c r="G1973" s="25"/>
      <c r="H1973" s="25"/>
      <c r="I1973" s="25"/>
      <c r="J1973" s="25"/>
      <c r="K1973" s="25"/>
      <c r="L1973" s="26"/>
      <c r="M1973" s="25"/>
      <c r="N1973" s="25"/>
      <c r="O1973" s="27"/>
      <c r="P1973" s="7"/>
      <c r="Q1973" s="16">
        <f>+IF(IFERROR(VLOOKUP(Tabla3[[#This Row],[Cliente factura]],Tabla4[[NIT]:[TOTAL CREDITO]],3,FALSE),0)="",0,IFERROR(VLOOKUP(Tabla3[[#This Row],[Cliente factura]],Tabla4[[NIT]:[TOTAL CREDITO]],3,FALSE),0))</f>
        <v>0</v>
      </c>
      <c r="R1973" s="9">
        <f>+IFERROR(VLOOKUP(Tabla3[[#This Row],[Cliente factura]],Tabla4[[NIT]:[TOTAL CREDITO]],6,FALSE),0)</f>
        <v>0</v>
      </c>
      <c r="S1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3" s="10" t="e">
        <f>VLOOKUP(Tabla3[[#This Row],[Razón social cliente factura]]&amp;Tabla3[[#This Row],[Desc. ciudad]],'Estandar de Rutas'!$C$1:$E$553,2,FALSE)</f>
        <v>#N/A</v>
      </c>
      <c r="U1973" s="130">
        <f>IFERROR(VLOOKUP(Tabla3[[#This Row],[Referencia]]&amp;Tabla3[[#This Row],[Desc detalle ext 1]],Tabla1[[Referencia-Color]:[Disponibilidad]],3,FALSE),0)</f>
        <v>0</v>
      </c>
      <c r="V1973" s="13"/>
      <c r="W1973" s="17">
        <f>+Tabla3[[#This Row],[Cant. Programada]]*Tabla3[[#This Row],[Precio unit]]</f>
        <v>0</v>
      </c>
      <c r="X1973" s="8"/>
      <c r="Y1973" s="8"/>
      <c r="Z1973" s="8" t="str">
        <f>+Tabla3[[#This Row],[Referencia]]&amp;Tabla3[[#This Row],[Desc detalle ext 1]]</f>
        <v/>
      </c>
      <c r="AA1973" s="128" t="e">
        <f>+VLOOKUP(Tabla3[[#This Row],[CODIGO2]],ESTANDAR!$B$3:$C$9,2,FALSE)</f>
        <v>#N/A</v>
      </c>
      <c r="AB1973" s="128" t="str">
        <f>+MID(Tabla3[[#This Row],['# Viaje]],10,1)</f>
        <v/>
      </c>
    </row>
    <row r="1974" spans="1:28" ht="15" hidden="1" customHeight="1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6"/>
      <c r="M1974" s="25"/>
      <c r="N1974" s="25"/>
      <c r="O1974" s="27"/>
      <c r="P1974" s="7"/>
      <c r="Q1974" s="16">
        <f>+IF(IFERROR(VLOOKUP(Tabla3[[#This Row],[Cliente factura]],Tabla4[[NIT]:[TOTAL CREDITO]],3,FALSE),0)="",0,IFERROR(VLOOKUP(Tabla3[[#This Row],[Cliente factura]],Tabla4[[NIT]:[TOTAL CREDITO]],3,FALSE),0))</f>
        <v>0</v>
      </c>
      <c r="R1974" s="9">
        <f>+IFERROR(VLOOKUP(Tabla3[[#This Row],[Cliente factura]],Tabla4[[NIT]:[TOTAL CREDITO]],6,FALSE),0)</f>
        <v>0</v>
      </c>
      <c r="S1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4" s="10" t="e">
        <f>VLOOKUP(Tabla3[[#This Row],[Razón social cliente factura]]&amp;Tabla3[[#This Row],[Desc. ciudad]],'Estandar de Rutas'!$C$1:$E$553,2,FALSE)</f>
        <v>#N/A</v>
      </c>
      <c r="U1974" s="130">
        <f>IFERROR(VLOOKUP(Tabla3[[#This Row],[Referencia]]&amp;Tabla3[[#This Row],[Desc detalle ext 1]],Tabla1[[Referencia-Color]:[Disponibilidad]],3,FALSE),0)</f>
        <v>0</v>
      </c>
      <c r="V1974" s="13"/>
      <c r="W1974" s="17">
        <f>+Tabla3[[#This Row],[Cant. Programada]]*Tabla3[[#This Row],[Precio unit]]</f>
        <v>0</v>
      </c>
      <c r="X1974" s="8"/>
      <c r="Y1974" s="8"/>
      <c r="Z1974" s="8" t="str">
        <f>+Tabla3[[#This Row],[Referencia]]&amp;Tabla3[[#This Row],[Desc detalle ext 1]]</f>
        <v/>
      </c>
      <c r="AA1974" s="128" t="e">
        <f>+VLOOKUP(Tabla3[[#This Row],[CODIGO2]],ESTANDAR!$B$3:$C$9,2,FALSE)</f>
        <v>#N/A</v>
      </c>
      <c r="AB1974" s="128" t="str">
        <f>+MID(Tabla3[[#This Row],['# Viaje]],10,1)</f>
        <v/>
      </c>
    </row>
    <row r="1975" spans="1:28" ht="15" hidden="1" customHeight="1">
      <c r="A1975" s="25"/>
      <c r="B1975" s="26"/>
      <c r="C1975" s="25"/>
      <c r="D1975" s="25"/>
      <c r="E1975" s="25"/>
      <c r="F1975" s="25"/>
      <c r="G1975" s="25"/>
      <c r="H1975" s="25"/>
      <c r="I1975" s="25"/>
      <c r="J1975" s="25"/>
      <c r="K1975" s="25"/>
      <c r="L1975" s="26"/>
      <c r="M1975" s="25"/>
      <c r="N1975" s="25"/>
      <c r="O1975" s="27"/>
      <c r="P1975" s="7"/>
      <c r="Q1975" s="16">
        <f>+IF(IFERROR(VLOOKUP(Tabla3[[#This Row],[Cliente factura]],Tabla4[[NIT]:[TOTAL CREDITO]],3,FALSE),0)="",0,IFERROR(VLOOKUP(Tabla3[[#This Row],[Cliente factura]],Tabla4[[NIT]:[TOTAL CREDITO]],3,FALSE),0))</f>
        <v>0</v>
      </c>
      <c r="R1975" s="9">
        <f>+IFERROR(VLOOKUP(Tabla3[[#This Row],[Cliente factura]],Tabla4[[NIT]:[TOTAL CREDITO]],6,FALSE),0)</f>
        <v>0</v>
      </c>
      <c r="S1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5" s="10" t="e">
        <f>VLOOKUP(Tabla3[[#This Row],[Razón social cliente factura]]&amp;Tabla3[[#This Row],[Desc. ciudad]],'Estandar de Rutas'!$C$1:$E$553,2,FALSE)</f>
        <v>#N/A</v>
      </c>
      <c r="U1975" s="130">
        <f>IFERROR(VLOOKUP(Tabla3[[#This Row],[Referencia]]&amp;Tabla3[[#This Row],[Desc detalle ext 1]],Tabla1[[Referencia-Color]:[Disponibilidad]],3,FALSE),0)</f>
        <v>0</v>
      </c>
      <c r="V1975" s="13"/>
      <c r="W1975" s="17">
        <f>+Tabla3[[#This Row],[Cant. Programada]]*Tabla3[[#This Row],[Precio unit]]</f>
        <v>0</v>
      </c>
      <c r="X1975" s="8"/>
      <c r="Y1975" s="8"/>
      <c r="Z1975" s="8" t="str">
        <f>+Tabla3[[#This Row],[Referencia]]&amp;Tabla3[[#This Row],[Desc detalle ext 1]]</f>
        <v/>
      </c>
      <c r="AA1975" s="128" t="e">
        <f>+VLOOKUP(Tabla3[[#This Row],[CODIGO2]],ESTANDAR!$B$3:$C$9,2,FALSE)</f>
        <v>#N/A</v>
      </c>
      <c r="AB1975" s="128" t="str">
        <f>+MID(Tabla3[[#This Row],['# Viaje]],10,1)</f>
        <v/>
      </c>
    </row>
    <row r="1976" spans="1:28" ht="15" hidden="1" customHeight="1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6"/>
      <c r="M1976" s="25"/>
      <c r="N1976" s="25"/>
      <c r="O1976" s="27"/>
      <c r="P1976" s="7"/>
      <c r="Q1976" s="16">
        <f>+IF(IFERROR(VLOOKUP(Tabla3[[#This Row],[Cliente factura]],Tabla4[[NIT]:[TOTAL CREDITO]],3,FALSE),0)="",0,IFERROR(VLOOKUP(Tabla3[[#This Row],[Cliente factura]],Tabla4[[NIT]:[TOTAL CREDITO]],3,FALSE),0))</f>
        <v>0</v>
      </c>
      <c r="R1976" s="9">
        <f>+IFERROR(VLOOKUP(Tabla3[[#This Row],[Cliente factura]],Tabla4[[NIT]:[TOTAL CREDITO]],6,FALSE),0)</f>
        <v>0</v>
      </c>
      <c r="S1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6" s="10" t="e">
        <f>VLOOKUP(Tabla3[[#This Row],[Razón social cliente factura]]&amp;Tabla3[[#This Row],[Desc. ciudad]],'Estandar de Rutas'!$C$1:$E$553,2,FALSE)</f>
        <v>#N/A</v>
      </c>
      <c r="U1976" s="130">
        <f>IFERROR(VLOOKUP(Tabla3[[#This Row],[Referencia]]&amp;Tabla3[[#This Row],[Desc detalle ext 1]],Tabla1[[Referencia-Color]:[Disponibilidad]],3,FALSE),0)</f>
        <v>0</v>
      </c>
      <c r="V1976" s="13"/>
      <c r="W1976" s="17">
        <f>+Tabla3[[#This Row],[Cant. Programada]]*Tabla3[[#This Row],[Precio unit]]</f>
        <v>0</v>
      </c>
      <c r="X1976" s="8"/>
      <c r="Y1976" s="8"/>
      <c r="Z1976" s="8" t="str">
        <f>+Tabla3[[#This Row],[Referencia]]&amp;Tabla3[[#This Row],[Desc detalle ext 1]]</f>
        <v/>
      </c>
      <c r="AA1976" s="128" t="e">
        <f>+VLOOKUP(Tabla3[[#This Row],[CODIGO2]],ESTANDAR!$B$3:$C$9,2,FALSE)</f>
        <v>#N/A</v>
      </c>
      <c r="AB1976" s="128" t="str">
        <f>+MID(Tabla3[[#This Row],['# Viaje]],10,1)</f>
        <v/>
      </c>
    </row>
    <row r="1977" spans="1:28" ht="15" hidden="1" customHeight="1">
      <c r="A1977" s="25"/>
      <c r="B1977" s="26"/>
      <c r="C1977" s="25"/>
      <c r="D1977" s="25"/>
      <c r="E1977" s="25"/>
      <c r="F1977" s="25"/>
      <c r="G1977" s="25"/>
      <c r="H1977" s="25"/>
      <c r="I1977" s="25"/>
      <c r="J1977" s="25"/>
      <c r="K1977" s="25"/>
      <c r="L1977" s="26"/>
      <c r="M1977" s="25"/>
      <c r="N1977" s="25"/>
      <c r="O1977" s="27"/>
      <c r="P1977" s="7"/>
      <c r="Q1977" s="16">
        <f>+IF(IFERROR(VLOOKUP(Tabla3[[#This Row],[Cliente factura]],Tabla4[[NIT]:[TOTAL CREDITO]],3,FALSE),0)="",0,IFERROR(VLOOKUP(Tabla3[[#This Row],[Cliente factura]],Tabla4[[NIT]:[TOTAL CREDITO]],3,FALSE),0))</f>
        <v>0</v>
      </c>
      <c r="R1977" s="9">
        <f>+IFERROR(VLOOKUP(Tabla3[[#This Row],[Cliente factura]],Tabla4[[NIT]:[TOTAL CREDITO]],6,FALSE),0)</f>
        <v>0</v>
      </c>
      <c r="S1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7" s="10" t="e">
        <f>VLOOKUP(Tabla3[[#This Row],[Razón social cliente factura]]&amp;Tabla3[[#This Row],[Desc. ciudad]],'Estandar de Rutas'!$C$1:$E$553,2,FALSE)</f>
        <v>#N/A</v>
      </c>
      <c r="U1977" s="130">
        <f>IFERROR(VLOOKUP(Tabla3[[#This Row],[Referencia]]&amp;Tabla3[[#This Row],[Desc detalle ext 1]],Tabla1[[Referencia-Color]:[Disponibilidad]],3,FALSE),0)</f>
        <v>0</v>
      </c>
      <c r="V1977" s="13"/>
      <c r="W1977" s="17">
        <f>+Tabla3[[#This Row],[Cant. Programada]]*Tabla3[[#This Row],[Precio unit]]</f>
        <v>0</v>
      </c>
      <c r="X1977" s="8"/>
      <c r="Y1977" s="8"/>
      <c r="Z1977" s="8" t="str">
        <f>+Tabla3[[#This Row],[Referencia]]&amp;Tabla3[[#This Row],[Desc detalle ext 1]]</f>
        <v/>
      </c>
      <c r="AA1977" s="128" t="e">
        <f>+VLOOKUP(Tabla3[[#This Row],[CODIGO2]],ESTANDAR!$B$3:$C$9,2,FALSE)</f>
        <v>#N/A</v>
      </c>
      <c r="AB1977" s="128" t="str">
        <f>+MID(Tabla3[[#This Row],['# Viaje]],10,1)</f>
        <v/>
      </c>
    </row>
    <row r="1978" spans="1:28" ht="15" hidden="1" customHeight="1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6"/>
      <c r="M1978" s="25"/>
      <c r="N1978" s="25"/>
      <c r="O1978" s="27"/>
      <c r="P1978" s="7"/>
      <c r="Q1978" s="16">
        <f>+IF(IFERROR(VLOOKUP(Tabla3[[#This Row],[Cliente factura]],Tabla4[[NIT]:[TOTAL CREDITO]],3,FALSE),0)="",0,IFERROR(VLOOKUP(Tabla3[[#This Row],[Cliente factura]],Tabla4[[NIT]:[TOTAL CREDITO]],3,FALSE),0))</f>
        <v>0</v>
      </c>
      <c r="R1978" s="9">
        <f>+IFERROR(VLOOKUP(Tabla3[[#This Row],[Cliente factura]],Tabla4[[NIT]:[TOTAL CREDITO]],6,FALSE),0)</f>
        <v>0</v>
      </c>
      <c r="S1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8" s="10" t="e">
        <f>VLOOKUP(Tabla3[[#This Row],[Razón social cliente factura]]&amp;Tabla3[[#This Row],[Desc. ciudad]],'Estandar de Rutas'!$C$1:$E$553,2,FALSE)</f>
        <v>#N/A</v>
      </c>
      <c r="U1978" s="130">
        <f>IFERROR(VLOOKUP(Tabla3[[#This Row],[Referencia]]&amp;Tabla3[[#This Row],[Desc detalle ext 1]],Tabla1[[Referencia-Color]:[Disponibilidad]],3,FALSE),0)</f>
        <v>0</v>
      </c>
      <c r="V1978" s="13"/>
      <c r="W1978" s="17">
        <f>+Tabla3[[#This Row],[Cant. Programada]]*Tabla3[[#This Row],[Precio unit]]</f>
        <v>0</v>
      </c>
      <c r="X1978" s="8"/>
      <c r="Y1978" s="8"/>
      <c r="Z1978" s="8" t="str">
        <f>+Tabla3[[#This Row],[Referencia]]&amp;Tabla3[[#This Row],[Desc detalle ext 1]]</f>
        <v/>
      </c>
      <c r="AA1978" s="128" t="e">
        <f>+VLOOKUP(Tabla3[[#This Row],[CODIGO2]],ESTANDAR!$B$3:$C$9,2,FALSE)</f>
        <v>#N/A</v>
      </c>
      <c r="AB1978" s="128" t="str">
        <f>+MID(Tabla3[[#This Row],['# Viaje]],10,1)</f>
        <v/>
      </c>
    </row>
    <row r="1979" spans="1:28" ht="15" hidden="1" customHeight="1">
      <c r="A1979" s="25"/>
      <c r="B1979" s="26"/>
      <c r="C1979" s="25"/>
      <c r="D1979" s="25"/>
      <c r="E1979" s="25"/>
      <c r="F1979" s="25"/>
      <c r="G1979" s="25"/>
      <c r="H1979" s="25"/>
      <c r="I1979" s="25"/>
      <c r="J1979" s="25"/>
      <c r="K1979" s="25"/>
      <c r="L1979" s="26"/>
      <c r="M1979" s="25"/>
      <c r="N1979" s="25"/>
      <c r="O1979" s="27"/>
      <c r="P1979" s="7"/>
      <c r="Q1979" s="16">
        <f>+IF(IFERROR(VLOOKUP(Tabla3[[#This Row],[Cliente factura]],Tabla4[[NIT]:[TOTAL CREDITO]],3,FALSE),0)="",0,IFERROR(VLOOKUP(Tabla3[[#This Row],[Cliente factura]],Tabla4[[NIT]:[TOTAL CREDITO]],3,FALSE),0))</f>
        <v>0</v>
      </c>
      <c r="R1979" s="9">
        <f>+IFERROR(VLOOKUP(Tabla3[[#This Row],[Cliente factura]],Tabla4[[NIT]:[TOTAL CREDITO]],6,FALSE),0)</f>
        <v>0</v>
      </c>
      <c r="S1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9" s="10" t="e">
        <f>VLOOKUP(Tabla3[[#This Row],[Razón social cliente factura]]&amp;Tabla3[[#This Row],[Desc. ciudad]],'Estandar de Rutas'!$C$1:$E$553,2,FALSE)</f>
        <v>#N/A</v>
      </c>
      <c r="U1979" s="130">
        <f>IFERROR(VLOOKUP(Tabla3[[#This Row],[Referencia]]&amp;Tabla3[[#This Row],[Desc detalle ext 1]],Tabla1[[Referencia-Color]:[Disponibilidad]],3,FALSE),0)</f>
        <v>0</v>
      </c>
      <c r="V1979" s="13"/>
      <c r="W1979" s="17">
        <f>+Tabla3[[#This Row],[Cant. Programada]]*Tabla3[[#This Row],[Precio unit]]</f>
        <v>0</v>
      </c>
      <c r="X1979" s="8"/>
      <c r="Y1979" s="8"/>
      <c r="Z1979" s="8" t="str">
        <f>+Tabla3[[#This Row],[Referencia]]&amp;Tabla3[[#This Row],[Desc detalle ext 1]]</f>
        <v/>
      </c>
      <c r="AA1979" s="128" t="e">
        <f>+VLOOKUP(Tabla3[[#This Row],[CODIGO2]],ESTANDAR!$B$3:$C$9,2,FALSE)</f>
        <v>#N/A</v>
      </c>
      <c r="AB1979" s="128" t="str">
        <f>+MID(Tabla3[[#This Row],['# Viaje]],10,1)</f>
        <v/>
      </c>
    </row>
    <row r="1980" spans="1:28" ht="15" hidden="1" customHeight="1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6"/>
      <c r="M1980" s="25"/>
      <c r="N1980" s="25"/>
      <c r="O1980" s="27"/>
      <c r="P1980" s="7"/>
      <c r="Q1980" s="16">
        <f>+IF(IFERROR(VLOOKUP(Tabla3[[#This Row],[Cliente factura]],Tabla4[[NIT]:[TOTAL CREDITO]],3,FALSE),0)="",0,IFERROR(VLOOKUP(Tabla3[[#This Row],[Cliente factura]],Tabla4[[NIT]:[TOTAL CREDITO]],3,FALSE),0))</f>
        <v>0</v>
      </c>
      <c r="R1980" s="9">
        <f>+IFERROR(VLOOKUP(Tabla3[[#This Row],[Cliente factura]],Tabla4[[NIT]:[TOTAL CREDITO]],6,FALSE),0)</f>
        <v>0</v>
      </c>
      <c r="S1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0" s="10" t="e">
        <f>VLOOKUP(Tabla3[[#This Row],[Razón social cliente factura]]&amp;Tabla3[[#This Row],[Desc. ciudad]],'Estandar de Rutas'!$C$1:$E$553,2,FALSE)</f>
        <v>#N/A</v>
      </c>
      <c r="U1980" s="130">
        <f>IFERROR(VLOOKUP(Tabla3[[#This Row],[Referencia]]&amp;Tabla3[[#This Row],[Desc detalle ext 1]],Tabla1[[Referencia-Color]:[Disponibilidad]],3,FALSE),0)</f>
        <v>0</v>
      </c>
      <c r="V1980" s="13"/>
      <c r="W1980" s="17">
        <f>+Tabla3[[#This Row],[Cant. Programada]]*Tabla3[[#This Row],[Precio unit]]</f>
        <v>0</v>
      </c>
      <c r="X1980" s="8"/>
      <c r="Y1980" s="8"/>
      <c r="Z1980" s="8" t="str">
        <f>+Tabla3[[#This Row],[Referencia]]&amp;Tabla3[[#This Row],[Desc detalle ext 1]]</f>
        <v/>
      </c>
      <c r="AA1980" s="128" t="e">
        <f>+VLOOKUP(Tabla3[[#This Row],[CODIGO2]],ESTANDAR!$B$3:$C$9,2,FALSE)</f>
        <v>#N/A</v>
      </c>
      <c r="AB1980" s="128" t="str">
        <f>+MID(Tabla3[[#This Row],['# Viaje]],10,1)</f>
        <v/>
      </c>
    </row>
    <row r="1981" spans="1:28" ht="15" hidden="1" customHeight="1">
      <c r="A1981" s="25"/>
      <c r="B1981" s="26"/>
      <c r="C1981" s="25"/>
      <c r="D1981" s="25"/>
      <c r="E1981" s="25"/>
      <c r="F1981" s="25"/>
      <c r="G1981" s="25"/>
      <c r="H1981" s="25"/>
      <c r="I1981" s="25"/>
      <c r="J1981" s="25"/>
      <c r="K1981" s="25"/>
      <c r="L1981" s="26"/>
      <c r="M1981" s="25"/>
      <c r="N1981" s="25"/>
      <c r="O1981" s="27"/>
      <c r="P1981" s="7"/>
      <c r="Q1981" s="16">
        <f>+IF(IFERROR(VLOOKUP(Tabla3[[#This Row],[Cliente factura]],Tabla4[[NIT]:[TOTAL CREDITO]],3,FALSE),0)="",0,IFERROR(VLOOKUP(Tabla3[[#This Row],[Cliente factura]],Tabla4[[NIT]:[TOTAL CREDITO]],3,FALSE),0))</f>
        <v>0</v>
      </c>
      <c r="R1981" s="9">
        <f>+IFERROR(VLOOKUP(Tabla3[[#This Row],[Cliente factura]],Tabla4[[NIT]:[TOTAL CREDITO]],6,FALSE),0)</f>
        <v>0</v>
      </c>
      <c r="S1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1" s="10" t="e">
        <f>VLOOKUP(Tabla3[[#This Row],[Razón social cliente factura]]&amp;Tabla3[[#This Row],[Desc. ciudad]],'Estandar de Rutas'!$C$1:$E$553,2,FALSE)</f>
        <v>#N/A</v>
      </c>
      <c r="U1981" s="130">
        <f>IFERROR(VLOOKUP(Tabla3[[#This Row],[Referencia]]&amp;Tabla3[[#This Row],[Desc detalle ext 1]],Tabla1[[Referencia-Color]:[Disponibilidad]],3,FALSE),0)</f>
        <v>0</v>
      </c>
      <c r="V1981" s="13"/>
      <c r="W1981" s="17">
        <f>+Tabla3[[#This Row],[Cant. Programada]]*Tabla3[[#This Row],[Precio unit]]</f>
        <v>0</v>
      </c>
      <c r="X1981" s="8"/>
      <c r="Y1981" s="8"/>
      <c r="Z1981" s="8" t="str">
        <f>+Tabla3[[#This Row],[Referencia]]&amp;Tabla3[[#This Row],[Desc detalle ext 1]]</f>
        <v/>
      </c>
      <c r="AA1981" s="128" t="e">
        <f>+VLOOKUP(Tabla3[[#This Row],[CODIGO2]],ESTANDAR!$B$3:$C$9,2,FALSE)</f>
        <v>#N/A</v>
      </c>
      <c r="AB1981" s="128" t="str">
        <f>+MID(Tabla3[[#This Row],['# Viaje]],10,1)</f>
        <v/>
      </c>
    </row>
    <row r="1982" spans="1:28" ht="15" hidden="1" customHeight="1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6"/>
      <c r="M1982" s="25"/>
      <c r="N1982" s="25"/>
      <c r="O1982" s="27"/>
      <c r="P1982" s="7"/>
      <c r="Q1982" s="16">
        <f>+IF(IFERROR(VLOOKUP(Tabla3[[#This Row],[Cliente factura]],Tabla4[[NIT]:[TOTAL CREDITO]],3,FALSE),0)="",0,IFERROR(VLOOKUP(Tabla3[[#This Row],[Cliente factura]],Tabla4[[NIT]:[TOTAL CREDITO]],3,FALSE),0))</f>
        <v>0</v>
      </c>
      <c r="R1982" s="9">
        <f>+IFERROR(VLOOKUP(Tabla3[[#This Row],[Cliente factura]],Tabla4[[NIT]:[TOTAL CREDITO]],6,FALSE),0)</f>
        <v>0</v>
      </c>
      <c r="S1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2" s="10" t="e">
        <f>VLOOKUP(Tabla3[[#This Row],[Razón social cliente factura]]&amp;Tabla3[[#This Row],[Desc. ciudad]],'Estandar de Rutas'!$C$1:$E$553,2,FALSE)</f>
        <v>#N/A</v>
      </c>
      <c r="U1982" s="130">
        <f>IFERROR(VLOOKUP(Tabla3[[#This Row],[Referencia]]&amp;Tabla3[[#This Row],[Desc detalle ext 1]],Tabla1[[Referencia-Color]:[Disponibilidad]],3,FALSE),0)</f>
        <v>0</v>
      </c>
      <c r="V1982" s="13"/>
      <c r="W1982" s="17">
        <f>+Tabla3[[#This Row],[Cant. Programada]]*Tabla3[[#This Row],[Precio unit]]</f>
        <v>0</v>
      </c>
      <c r="X1982" s="8"/>
      <c r="Y1982" s="8"/>
      <c r="Z1982" s="8" t="str">
        <f>+Tabla3[[#This Row],[Referencia]]&amp;Tabla3[[#This Row],[Desc detalle ext 1]]</f>
        <v/>
      </c>
      <c r="AA1982" s="128" t="e">
        <f>+VLOOKUP(Tabla3[[#This Row],[CODIGO2]],ESTANDAR!$B$3:$C$9,2,FALSE)</f>
        <v>#N/A</v>
      </c>
      <c r="AB1982" s="128" t="str">
        <f>+MID(Tabla3[[#This Row],['# Viaje]],10,1)</f>
        <v/>
      </c>
    </row>
    <row r="1983" spans="1:28" ht="15" hidden="1" customHeight="1">
      <c r="A1983" s="25"/>
      <c r="B1983" s="26"/>
      <c r="C1983" s="25"/>
      <c r="D1983" s="25"/>
      <c r="E1983" s="25"/>
      <c r="F1983" s="25"/>
      <c r="G1983" s="25"/>
      <c r="H1983" s="25"/>
      <c r="I1983" s="25"/>
      <c r="J1983" s="25"/>
      <c r="K1983" s="25"/>
      <c r="L1983" s="26"/>
      <c r="M1983" s="25"/>
      <c r="N1983" s="25"/>
      <c r="O1983" s="27"/>
      <c r="P1983" s="7"/>
      <c r="Q1983" s="16">
        <f>+IF(IFERROR(VLOOKUP(Tabla3[[#This Row],[Cliente factura]],Tabla4[[NIT]:[TOTAL CREDITO]],3,FALSE),0)="",0,IFERROR(VLOOKUP(Tabla3[[#This Row],[Cliente factura]],Tabla4[[NIT]:[TOTAL CREDITO]],3,FALSE),0))</f>
        <v>0</v>
      </c>
      <c r="R1983" s="9">
        <f>+IFERROR(VLOOKUP(Tabla3[[#This Row],[Cliente factura]],Tabla4[[NIT]:[TOTAL CREDITO]],6,FALSE),0)</f>
        <v>0</v>
      </c>
      <c r="S1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3" s="10" t="e">
        <f>VLOOKUP(Tabla3[[#This Row],[Razón social cliente factura]]&amp;Tabla3[[#This Row],[Desc. ciudad]],'Estandar de Rutas'!$C$1:$E$553,2,FALSE)</f>
        <v>#N/A</v>
      </c>
      <c r="U1983" s="130">
        <f>IFERROR(VLOOKUP(Tabla3[[#This Row],[Referencia]]&amp;Tabla3[[#This Row],[Desc detalle ext 1]],Tabla1[[Referencia-Color]:[Disponibilidad]],3,FALSE),0)</f>
        <v>0</v>
      </c>
      <c r="V1983" s="13"/>
      <c r="W1983" s="17">
        <f>+Tabla3[[#This Row],[Cant. Programada]]*Tabla3[[#This Row],[Precio unit]]</f>
        <v>0</v>
      </c>
      <c r="X1983" s="8"/>
      <c r="Y1983" s="8"/>
      <c r="Z1983" s="8" t="str">
        <f>+Tabla3[[#This Row],[Referencia]]&amp;Tabla3[[#This Row],[Desc detalle ext 1]]</f>
        <v/>
      </c>
      <c r="AA1983" s="128" t="e">
        <f>+VLOOKUP(Tabla3[[#This Row],[CODIGO2]],ESTANDAR!$B$3:$C$9,2,FALSE)</f>
        <v>#N/A</v>
      </c>
      <c r="AB1983" s="128" t="str">
        <f>+MID(Tabla3[[#This Row],['# Viaje]],10,1)</f>
        <v/>
      </c>
    </row>
    <row r="1984" spans="1:28" ht="15" hidden="1" customHeight="1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6"/>
      <c r="M1984" s="25"/>
      <c r="N1984" s="25"/>
      <c r="O1984" s="27"/>
      <c r="P1984" s="7"/>
      <c r="Q1984" s="16">
        <f>+IF(IFERROR(VLOOKUP(Tabla3[[#This Row],[Cliente factura]],Tabla4[[NIT]:[TOTAL CREDITO]],3,FALSE),0)="",0,IFERROR(VLOOKUP(Tabla3[[#This Row],[Cliente factura]],Tabla4[[NIT]:[TOTAL CREDITO]],3,FALSE),0))</f>
        <v>0</v>
      </c>
      <c r="R1984" s="9">
        <f>+IFERROR(VLOOKUP(Tabla3[[#This Row],[Cliente factura]],Tabla4[[NIT]:[TOTAL CREDITO]],6,FALSE),0)</f>
        <v>0</v>
      </c>
      <c r="S1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4" s="10" t="e">
        <f>VLOOKUP(Tabla3[[#This Row],[Razón social cliente factura]]&amp;Tabla3[[#This Row],[Desc. ciudad]],'Estandar de Rutas'!$C$1:$E$553,2,FALSE)</f>
        <v>#N/A</v>
      </c>
      <c r="U1984" s="130">
        <f>IFERROR(VLOOKUP(Tabla3[[#This Row],[Referencia]]&amp;Tabla3[[#This Row],[Desc detalle ext 1]],Tabla1[[Referencia-Color]:[Disponibilidad]],3,FALSE),0)</f>
        <v>0</v>
      </c>
      <c r="V1984" s="13"/>
      <c r="W1984" s="17">
        <f>+Tabla3[[#This Row],[Cant. Programada]]*Tabla3[[#This Row],[Precio unit]]</f>
        <v>0</v>
      </c>
      <c r="X1984" s="8"/>
      <c r="Y1984" s="8"/>
      <c r="Z1984" s="8" t="str">
        <f>+Tabla3[[#This Row],[Referencia]]&amp;Tabla3[[#This Row],[Desc detalle ext 1]]</f>
        <v/>
      </c>
      <c r="AA1984" s="128" t="e">
        <f>+VLOOKUP(Tabla3[[#This Row],[CODIGO2]],ESTANDAR!$B$3:$C$9,2,FALSE)</f>
        <v>#N/A</v>
      </c>
      <c r="AB1984" s="128" t="str">
        <f>+MID(Tabla3[[#This Row],['# Viaje]],10,1)</f>
        <v/>
      </c>
    </row>
    <row r="1985" spans="1:28" ht="15" hidden="1" customHeight="1">
      <c r="A1985" s="25"/>
      <c r="B1985" s="26"/>
      <c r="C1985" s="25"/>
      <c r="D1985" s="25"/>
      <c r="E1985" s="25"/>
      <c r="F1985" s="25"/>
      <c r="G1985" s="25"/>
      <c r="H1985" s="25"/>
      <c r="I1985" s="25"/>
      <c r="J1985" s="25"/>
      <c r="K1985" s="25"/>
      <c r="L1985" s="26"/>
      <c r="M1985" s="25"/>
      <c r="N1985" s="25"/>
      <c r="O1985" s="27"/>
      <c r="P1985" s="7"/>
      <c r="Q1985" s="16">
        <f>+IF(IFERROR(VLOOKUP(Tabla3[[#This Row],[Cliente factura]],Tabla4[[NIT]:[TOTAL CREDITO]],3,FALSE),0)="",0,IFERROR(VLOOKUP(Tabla3[[#This Row],[Cliente factura]],Tabla4[[NIT]:[TOTAL CREDITO]],3,FALSE),0))</f>
        <v>0</v>
      </c>
      <c r="R1985" s="9">
        <f>+IFERROR(VLOOKUP(Tabla3[[#This Row],[Cliente factura]],Tabla4[[NIT]:[TOTAL CREDITO]],6,FALSE),0)</f>
        <v>0</v>
      </c>
      <c r="S1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5" s="10" t="e">
        <f>VLOOKUP(Tabla3[[#This Row],[Razón social cliente factura]]&amp;Tabla3[[#This Row],[Desc. ciudad]],'Estandar de Rutas'!$C$1:$E$553,2,FALSE)</f>
        <v>#N/A</v>
      </c>
      <c r="U1985" s="130">
        <f>IFERROR(VLOOKUP(Tabla3[[#This Row],[Referencia]]&amp;Tabla3[[#This Row],[Desc detalle ext 1]],Tabla1[[Referencia-Color]:[Disponibilidad]],3,FALSE),0)</f>
        <v>0</v>
      </c>
      <c r="V1985" s="13"/>
      <c r="W1985" s="17">
        <f>+Tabla3[[#This Row],[Cant. Programada]]*Tabla3[[#This Row],[Precio unit]]</f>
        <v>0</v>
      </c>
      <c r="X1985" s="8"/>
      <c r="Y1985" s="8"/>
      <c r="Z1985" s="8" t="str">
        <f>+Tabla3[[#This Row],[Referencia]]&amp;Tabla3[[#This Row],[Desc detalle ext 1]]</f>
        <v/>
      </c>
      <c r="AA1985" s="128" t="e">
        <f>+VLOOKUP(Tabla3[[#This Row],[CODIGO2]],ESTANDAR!$B$3:$C$9,2,FALSE)</f>
        <v>#N/A</v>
      </c>
      <c r="AB1985" s="128" t="str">
        <f>+MID(Tabla3[[#This Row],['# Viaje]],10,1)</f>
        <v/>
      </c>
    </row>
    <row r="1986" spans="1:28" ht="15" hidden="1" customHeight="1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6"/>
      <c r="M1986" s="25"/>
      <c r="N1986" s="25"/>
      <c r="O1986" s="27"/>
      <c r="P1986" s="7"/>
      <c r="Q1986" s="16">
        <f>+IF(IFERROR(VLOOKUP(Tabla3[[#This Row],[Cliente factura]],Tabla4[[NIT]:[TOTAL CREDITO]],3,FALSE),0)="",0,IFERROR(VLOOKUP(Tabla3[[#This Row],[Cliente factura]],Tabla4[[NIT]:[TOTAL CREDITO]],3,FALSE),0))</f>
        <v>0</v>
      </c>
      <c r="R1986" s="9">
        <f>+IFERROR(VLOOKUP(Tabla3[[#This Row],[Cliente factura]],Tabla4[[NIT]:[TOTAL CREDITO]],6,FALSE),0)</f>
        <v>0</v>
      </c>
      <c r="S1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6" s="10" t="e">
        <f>VLOOKUP(Tabla3[[#This Row],[Razón social cliente factura]]&amp;Tabla3[[#This Row],[Desc. ciudad]],'Estandar de Rutas'!$C$1:$E$553,2,FALSE)</f>
        <v>#N/A</v>
      </c>
      <c r="U1986" s="130">
        <f>IFERROR(VLOOKUP(Tabla3[[#This Row],[Referencia]]&amp;Tabla3[[#This Row],[Desc detalle ext 1]],Tabla1[[Referencia-Color]:[Disponibilidad]],3,FALSE),0)</f>
        <v>0</v>
      </c>
      <c r="V1986" s="13"/>
      <c r="W1986" s="17">
        <f>+Tabla3[[#This Row],[Cant. Programada]]*Tabla3[[#This Row],[Precio unit]]</f>
        <v>0</v>
      </c>
      <c r="X1986" s="8"/>
      <c r="Y1986" s="8"/>
      <c r="Z1986" s="8" t="str">
        <f>+Tabla3[[#This Row],[Referencia]]&amp;Tabla3[[#This Row],[Desc detalle ext 1]]</f>
        <v/>
      </c>
      <c r="AA1986" s="128" t="e">
        <f>+VLOOKUP(Tabla3[[#This Row],[CODIGO2]],ESTANDAR!$B$3:$C$9,2,FALSE)</f>
        <v>#N/A</v>
      </c>
      <c r="AB1986" s="128" t="str">
        <f>+MID(Tabla3[[#This Row],['# Viaje]],10,1)</f>
        <v/>
      </c>
    </row>
    <row r="1987" spans="1:28" ht="15" hidden="1" customHeight="1">
      <c r="A1987" s="25"/>
      <c r="B1987" s="26"/>
      <c r="C1987" s="25"/>
      <c r="D1987" s="25"/>
      <c r="E1987" s="25"/>
      <c r="F1987" s="25"/>
      <c r="G1987" s="25"/>
      <c r="H1987" s="25"/>
      <c r="I1987" s="25"/>
      <c r="J1987" s="25"/>
      <c r="K1987" s="25"/>
      <c r="L1987" s="26"/>
      <c r="M1987" s="25"/>
      <c r="N1987" s="25"/>
      <c r="O1987" s="27"/>
      <c r="P1987" s="7"/>
      <c r="Q1987" s="16">
        <f>+IF(IFERROR(VLOOKUP(Tabla3[[#This Row],[Cliente factura]],Tabla4[[NIT]:[TOTAL CREDITO]],3,FALSE),0)="",0,IFERROR(VLOOKUP(Tabla3[[#This Row],[Cliente factura]],Tabla4[[NIT]:[TOTAL CREDITO]],3,FALSE),0))</f>
        <v>0</v>
      </c>
      <c r="R1987" s="9">
        <f>+IFERROR(VLOOKUP(Tabla3[[#This Row],[Cliente factura]],Tabla4[[NIT]:[TOTAL CREDITO]],6,FALSE),0)</f>
        <v>0</v>
      </c>
      <c r="S1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7" s="10" t="e">
        <f>VLOOKUP(Tabla3[[#This Row],[Razón social cliente factura]]&amp;Tabla3[[#This Row],[Desc. ciudad]],'Estandar de Rutas'!$C$1:$E$553,2,FALSE)</f>
        <v>#N/A</v>
      </c>
      <c r="U1987" s="130">
        <f>IFERROR(VLOOKUP(Tabla3[[#This Row],[Referencia]]&amp;Tabla3[[#This Row],[Desc detalle ext 1]],Tabla1[[Referencia-Color]:[Disponibilidad]],3,FALSE),0)</f>
        <v>0</v>
      </c>
      <c r="V1987" s="13"/>
      <c r="W1987" s="17">
        <f>+Tabla3[[#This Row],[Cant. Programada]]*Tabla3[[#This Row],[Precio unit]]</f>
        <v>0</v>
      </c>
      <c r="X1987" s="8"/>
      <c r="Y1987" s="8"/>
      <c r="Z1987" s="8" t="str">
        <f>+Tabla3[[#This Row],[Referencia]]&amp;Tabla3[[#This Row],[Desc detalle ext 1]]</f>
        <v/>
      </c>
      <c r="AA1987" s="128" t="e">
        <f>+VLOOKUP(Tabla3[[#This Row],[CODIGO2]],ESTANDAR!$B$3:$C$9,2,FALSE)</f>
        <v>#N/A</v>
      </c>
      <c r="AB1987" s="128" t="str">
        <f>+MID(Tabla3[[#This Row],['# Viaje]],10,1)</f>
        <v/>
      </c>
    </row>
    <row r="1988" spans="1:28" ht="15" hidden="1" customHeight="1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6"/>
      <c r="M1988" s="25"/>
      <c r="N1988" s="25"/>
      <c r="O1988" s="27"/>
      <c r="P1988" s="7"/>
      <c r="Q1988" s="16">
        <f>+IF(IFERROR(VLOOKUP(Tabla3[[#This Row],[Cliente factura]],Tabla4[[NIT]:[TOTAL CREDITO]],3,FALSE),0)="",0,IFERROR(VLOOKUP(Tabla3[[#This Row],[Cliente factura]],Tabla4[[NIT]:[TOTAL CREDITO]],3,FALSE),0))</f>
        <v>0</v>
      </c>
      <c r="R1988" s="9">
        <f>+IFERROR(VLOOKUP(Tabla3[[#This Row],[Cliente factura]],Tabla4[[NIT]:[TOTAL CREDITO]],6,FALSE),0)</f>
        <v>0</v>
      </c>
      <c r="S1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8" s="10" t="e">
        <f>VLOOKUP(Tabla3[[#This Row],[Razón social cliente factura]]&amp;Tabla3[[#This Row],[Desc. ciudad]],'Estandar de Rutas'!$C$1:$E$553,2,FALSE)</f>
        <v>#N/A</v>
      </c>
      <c r="U1988" s="130">
        <f>IFERROR(VLOOKUP(Tabla3[[#This Row],[Referencia]]&amp;Tabla3[[#This Row],[Desc detalle ext 1]],Tabla1[[Referencia-Color]:[Disponibilidad]],3,FALSE),0)</f>
        <v>0</v>
      </c>
      <c r="V1988" s="13"/>
      <c r="W1988" s="17">
        <f>+Tabla3[[#This Row],[Cant. Programada]]*Tabla3[[#This Row],[Precio unit]]</f>
        <v>0</v>
      </c>
      <c r="X1988" s="8"/>
      <c r="Y1988" s="8"/>
      <c r="Z1988" s="8" t="str">
        <f>+Tabla3[[#This Row],[Referencia]]&amp;Tabla3[[#This Row],[Desc detalle ext 1]]</f>
        <v/>
      </c>
      <c r="AA1988" s="128" t="e">
        <f>+VLOOKUP(Tabla3[[#This Row],[CODIGO2]],ESTANDAR!$B$3:$C$9,2,FALSE)</f>
        <v>#N/A</v>
      </c>
      <c r="AB1988" s="128" t="str">
        <f>+MID(Tabla3[[#This Row],['# Viaje]],10,1)</f>
        <v/>
      </c>
    </row>
    <row r="1989" spans="1:28" ht="15" hidden="1" customHeight="1">
      <c r="A1989" s="25"/>
      <c r="B1989" s="26"/>
      <c r="C1989" s="25"/>
      <c r="D1989" s="25"/>
      <c r="E1989" s="25"/>
      <c r="F1989" s="25"/>
      <c r="G1989" s="25"/>
      <c r="H1989" s="25"/>
      <c r="I1989" s="25"/>
      <c r="J1989" s="25"/>
      <c r="K1989" s="25"/>
      <c r="L1989" s="26"/>
      <c r="M1989" s="25"/>
      <c r="N1989" s="25"/>
      <c r="O1989" s="27"/>
      <c r="P1989" s="7"/>
      <c r="Q1989" s="16">
        <f>+IF(IFERROR(VLOOKUP(Tabla3[[#This Row],[Cliente factura]],Tabla4[[NIT]:[TOTAL CREDITO]],3,FALSE),0)="",0,IFERROR(VLOOKUP(Tabla3[[#This Row],[Cliente factura]],Tabla4[[NIT]:[TOTAL CREDITO]],3,FALSE),0))</f>
        <v>0</v>
      </c>
      <c r="R1989" s="9">
        <f>+IFERROR(VLOOKUP(Tabla3[[#This Row],[Cliente factura]],Tabla4[[NIT]:[TOTAL CREDITO]],6,FALSE),0)</f>
        <v>0</v>
      </c>
      <c r="S1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9" s="10" t="e">
        <f>VLOOKUP(Tabla3[[#This Row],[Razón social cliente factura]]&amp;Tabla3[[#This Row],[Desc. ciudad]],'Estandar de Rutas'!$C$1:$E$553,2,FALSE)</f>
        <v>#N/A</v>
      </c>
      <c r="U1989" s="130">
        <f>IFERROR(VLOOKUP(Tabla3[[#This Row],[Referencia]]&amp;Tabla3[[#This Row],[Desc detalle ext 1]],Tabla1[[Referencia-Color]:[Disponibilidad]],3,FALSE),0)</f>
        <v>0</v>
      </c>
      <c r="V1989" s="13"/>
      <c r="W1989" s="17">
        <f>+Tabla3[[#This Row],[Cant. Programada]]*Tabla3[[#This Row],[Precio unit]]</f>
        <v>0</v>
      </c>
      <c r="X1989" s="8"/>
      <c r="Y1989" s="8"/>
      <c r="Z1989" s="8" t="str">
        <f>+Tabla3[[#This Row],[Referencia]]&amp;Tabla3[[#This Row],[Desc detalle ext 1]]</f>
        <v/>
      </c>
      <c r="AA1989" s="128" t="e">
        <f>+VLOOKUP(Tabla3[[#This Row],[CODIGO2]],ESTANDAR!$B$3:$C$9,2,FALSE)</f>
        <v>#N/A</v>
      </c>
      <c r="AB1989" s="128" t="str">
        <f>+MID(Tabla3[[#This Row],['# Viaje]],10,1)</f>
        <v/>
      </c>
    </row>
    <row r="1990" spans="1:28" ht="15" hidden="1" customHeight="1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6"/>
      <c r="M1990" s="25"/>
      <c r="N1990" s="25"/>
      <c r="O1990" s="27"/>
      <c r="P1990" s="7"/>
      <c r="Q1990" s="16">
        <f>+IF(IFERROR(VLOOKUP(Tabla3[[#This Row],[Cliente factura]],Tabla4[[NIT]:[TOTAL CREDITO]],3,FALSE),0)="",0,IFERROR(VLOOKUP(Tabla3[[#This Row],[Cliente factura]],Tabla4[[NIT]:[TOTAL CREDITO]],3,FALSE),0))</f>
        <v>0</v>
      </c>
      <c r="R1990" s="9">
        <f>+IFERROR(VLOOKUP(Tabla3[[#This Row],[Cliente factura]],Tabla4[[NIT]:[TOTAL CREDITO]],6,FALSE),0)</f>
        <v>0</v>
      </c>
      <c r="S1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0" s="10" t="e">
        <f>VLOOKUP(Tabla3[[#This Row],[Razón social cliente factura]]&amp;Tabla3[[#This Row],[Desc. ciudad]],'Estandar de Rutas'!$C$1:$E$553,2,FALSE)</f>
        <v>#N/A</v>
      </c>
      <c r="U1990" s="130">
        <f>IFERROR(VLOOKUP(Tabla3[[#This Row],[Referencia]]&amp;Tabla3[[#This Row],[Desc detalle ext 1]],Tabla1[[Referencia-Color]:[Disponibilidad]],3,FALSE),0)</f>
        <v>0</v>
      </c>
      <c r="V1990" s="13"/>
      <c r="W1990" s="17">
        <f>+Tabla3[[#This Row],[Cant. Programada]]*Tabla3[[#This Row],[Precio unit]]</f>
        <v>0</v>
      </c>
      <c r="X1990" s="8"/>
      <c r="Y1990" s="8"/>
      <c r="Z1990" s="8" t="str">
        <f>+Tabla3[[#This Row],[Referencia]]&amp;Tabla3[[#This Row],[Desc detalle ext 1]]</f>
        <v/>
      </c>
      <c r="AA1990" s="128" t="e">
        <f>+VLOOKUP(Tabla3[[#This Row],[CODIGO2]],ESTANDAR!$B$3:$C$9,2,FALSE)</f>
        <v>#N/A</v>
      </c>
      <c r="AB1990" s="128" t="str">
        <f>+MID(Tabla3[[#This Row],['# Viaje]],10,1)</f>
        <v/>
      </c>
    </row>
    <row r="1991" spans="1:28" ht="15" hidden="1" customHeight="1">
      <c r="A1991" s="25"/>
      <c r="B1991" s="26"/>
      <c r="C1991" s="25"/>
      <c r="D1991" s="25"/>
      <c r="E1991" s="25"/>
      <c r="F1991" s="25"/>
      <c r="G1991" s="25"/>
      <c r="H1991" s="25"/>
      <c r="I1991" s="25"/>
      <c r="J1991" s="25"/>
      <c r="K1991" s="25"/>
      <c r="L1991" s="26"/>
      <c r="M1991" s="25"/>
      <c r="N1991" s="25"/>
      <c r="O1991" s="27"/>
      <c r="P1991" s="7"/>
      <c r="Q1991" s="16">
        <f>+IF(IFERROR(VLOOKUP(Tabla3[[#This Row],[Cliente factura]],Tabla4[[NIT]:[TOTAL CREDITO]],3,FALSE),0)="",0,IFERROR(VLOOKUP(Tabla3[[#This Row],[Cliente factura]],Tabla4[[NIT]:[TOTAL CREDITO]],3,FALSE),0))</f>
        <v>0</v>
      </c>
      <c r="R1991" s="9">
        <f>+IFERROR(VLOOKUP(Tabla3[[#This Row],[Cliente factura]],Tabla4[[NIT]:[TOTAL CREDITO]],6,FALSE),0)</f>
        <v>0</v>
      </c>
      <c r="S1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1" s="10" t="e">
        <f>VLOOKUP(Tabla3[[#This Row],[Razón social cliente factura]]&amp;Tabla3[[#This Row],[Desc. ciudad]],'Estandar de Rutas'!$C$1:$E$553,2,FALSE)</f>
        <v>#N/A</v>
      </c>
      <c r="U1991" s="130">
        <f>IFERROR(VLOOKUP(Tabla3[[#This Row],[Referencia]]&amp;Tabla3[[#This Row],[Desc detalle ext 1]],Tabla1[[Referencia-Color]:[Disponibilidad]],3,FALSE),0)</f>
        <v>0</v>
      </c>
      <c r="V1991" s="13"/>
      <c r="W1991" s="17">
        <f>+Tabla3[[#This Row],[Cant. Programada]]*Tabla3[[#This Row],[Precio unit]]</f>
        <v>0</v>
      </c>
      <c r="X1991" s="8"/>
      <c r="Y1991" s="8"/>
      <c r="Z1991" s="8" t="str">
        <f>+Tabla3[[#This Row],[Referencia]]&amp;Tabla3[[#This Row],[Desc detalle ext 1]]</f>
        <v/>
      </c>
      <c r="AA1991" s="128" t="e">
        <f>+VLOOKUP(Tabla3[[#This Row],[CODIGO2]],ESTANDAR!$B$3:$C$9,2,FALSE)</f>
        <v>#N/A</v>
      </c>
      <c r="AB1991" s="128" t="str">
        <f>+MID(Tabla3[[#This Row],['# Viaje]],10,1)</f>
        <v/>
      </c>
    </row>
    <row r="1992" spans="1:28" ht="15" hidden="1" customHeight="1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6"/>
      <c r="M1992" s="25"/>
      <c r="N1992" s="25"/>
      <c r="O1992" s="27"/>
      <c r="P1992" s="7"/>
      <c r="Q1992" s="16">
        <f>+IF(IFERROR(VLOOKUP(Tabla3[[#This Row],[Cliente factura]],Tabla4[[NIT]:[TOTAL CREDITO]],3,FALSE),0)="",0,IFERROR(VLOOKUP(Tabla3[[#This Row],[Cliente factura]],Tabla4[[NIT]:[TOTAL CREDITO]],3,FALSE),0))</f>
        <v>0</v>
      </c>
      <c r="R1992" s="9">
        <f>+IFERROR(VLOOKUP(Tabla3[[#This Row],[Cliente factura]],Tabla4[[NIT]:[TOTAL CREDITO]],6,FALSE),0)</f>
        <v>0</v>
      </c>
      <c r="S1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2" s="10" t="e">
        <f>VLOOKUP(Tabla3[[#This Row],[Razón social cliente factura]]&amp;Tabla3[[#This Row],[Desc. ciudad]],'Estandar de Rutas'!$C$1:$E$553,2,FALSE)</f>
        <v>#N/A</v>
      </c>
      <c r="U1992" s="130">
        <f>IFERROR(VLOOKUP(Tabla3[[#This Row],[Referencia]]&amp;Tabla3[[#This Row],[Desc detalle ext 1]],Tabla1[[Referencia-Color]:[Disponibilidad]],3,FALSE),0)</f>
        <v>0</v>
      </c>
      <c r="V1992" s="13"/>
      <c r="W1992" s="17">
        <f>+Tabla3[[#This Row],[Cant. Programada]]*Tabla3[[#This Row],[Precio unit]]</f>
        <v>0</v>
      </c>
      <c r="X1992" s="8"/>
      <c r="Y1992" s="8"/>
      <c r="Z1992" s="8" t="str">
        <f>+Tabla3[[#This Row],[Referencia]]&amp;Tabla3[[#This Row],[Desc detalle ext 1]]</f>
        <v/>
      </c>
      <c r="AA1992" s="128" t="e">
        <f>+VLOOKUP(Tabla3[[#This Row],[CODIGO2]],ESTANDAR!$B$3:$C$9,2,FALSE)</f>
        <v>#N/A</v>
      </c>
      <c r="AB1992" s="128" t="str">
        <f>+MID(Tabla3[[#This Row],['# Viaje]],10,1)</f>
        <v/>
      </c>
    </row>
    <row r="1993" spans="1:28" ht="15" hidden="1" customHeight="1">
      <c r="A1993" s="25"/>
      <c r="B1993" s="26"/>
      <c r="C1993" s="25"/>
      <c r="D1993" s="25"/>
      <c r="E1993" s="25"/>
      <c r="F1993" s="25"/>
      <c r="G1993" s="25"/>
      <c r="H1993" s="25"/>
      <c r="I1993" s="25"/>
      <c r="J1993" s="25"/>
      <c r="K1993" s="25"/>
      <c r="L1993" s="26"/>
      <c r="M1993" s="25"/>
      <c r="N1993" s="25"/>
      <c r="O1993" s="27"/>
      <c r="P1993" s="7"/>
      <c r="Q1993" s="16">
        <f>+IF(IFERROR(VLOOKUP(Tabla3[[#This Row],[Cliente factura]],Tabla4[[NIT]:[TOTAL CREDITO]],3,FALSE),0)="",0,IFERROR(VLOOKUP(Tabla3[[#This Row],[Cliente factura]],Tabla4[[NIT]:[TOTAL CREDITO]],3,FALSE),0))</f>
        <v>0</v>
      </c>
      <c r="R1993" s="9">
        <f>+IFERROR(VLOOKUP(Tabla3[[#This Row],[Cliente factura]],Tabla4[[NIT]:[TOTAL CREDITO]],6,FALSE),0)</f>
        <v>0</v>
      </c>
      <c r="S1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3" s="10" t="e">
        <f>VLOOKUP(Tabla3[[#This Row],[Razón social cliente factura]]&amp;Tabla3[[#This Row],[Desc. ciudad]],'Estandar de Rutas'!$C$1:$E$553,2,FALSE)</f>
        <v>#N/A</v>
      </c>
      <c r="U1993" s="130">
        <f>IFERROR(VLOOKUP(Tabla3[[#This Row],[Referencia]]&amp;Tabla3[[#This Row],[Desc detalle ext 1]],Tabla1[[Referencia-Color]:[Disponibilidad]],3,FALSE),0)</f>
        <v>0</v>
      </c>
      <c r="V1993" s="13"/>
      <c r="W1993" s="17">
        <f>+Tabla3[[#This Row],[Cant. Programada]]*Tabla3[[#This Row],[Precio unit]]</f>
        <v>0</v>
      </c>
      <c r="X1993" s="8"/>
      <c r="Y1993" s="8"/>
      <c r="Z1993" s="8" t="str">
        <f>+Tabla3[[#This Row],[Referencia]]&amp;Tabla3[[#This Row],[Desc detalle ext 1]]</f>
        <v/>
      </c>
      <c r="AA1993" s="128" t="e">
        <f>+VLOOKUP(Tabla3[[#This Row],[CODIGO2]],ESTANDAR!$B$3:$C$9,2,FALSE)</f>
        <v>#N/A</v>
      </c>
      <c r="AB1993" s="128" t="str">
        <f>+MID(Tabla3[[#This Row],['# Viaje]],10,1)</f>
        <v/>
      </c>
    </row>
    <row r="1994" spans="1:28" ht="15" hidden="1" customHeight="1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6"/>
      <c r="M1994" s="25"/>
      <c r="N1994" s="25"/>
      <c r="O1994" s="27"/>
      <c r="P1994" s="7"/>
      <c r="Q1994" s="16">
        <f>+IF(IFERROR(VLOOKUP(Tabla3[[#This Row],[Cliente factura]],Tabla4[[NIT]:[TOTAL CREDITO]],3,FALSE),0)="",0,IFERROR(VLOOKUP(Tabla3[[#This Row],[Cliente factura]],Tabla4[[NIT]:[TOTAL CREDITO]],3,FALSE),0))</f>
        <v>0</v>
      </c>
      <c r="R1994" s="9">
        <f>+IFERROR(VLOOKUP(Tabla3[[#This Row],[Cliente factura]],Tabla4[[NIT]:[TOTAL CREDITO]],6,FALSE),0)</f>
        <v>0</v>
      </c>
      <c r="S1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4" s="10" t="e">
        <f>VLOOKUP(Tabla3[[#This Row],[Razón social cliente factura]]&amp;Tabla3[[#This Row],[Desc. ciudad]],'Estandar de Rutas'!$C$1:$E$553,2,FALSE)</f>
        <v>#N/A</v>
      </c>
      <c r="U1994" s="130">
        <f>IFERROR(VLOOKUP(Tabla3[[#This Row],[Referencia]]&amp;Tabla3[[#This Row],[Desc detalle ext 1]],Tabla1[[Referencia-Color]:[Disponibilidad]],3,FALSE),0)</f>
        <v>0</v>
      </c>
      <c r="V1994" s="13"/>
      <c r="W1994" s="17">
        <f>+Tabla3[[#This Row],[Cant. Programada]]*Tabla3[[#This Row],[Precio unit]]</f>
        <v>0</v>
      </c>
      <c r="X1994" s="8"/>
      <c r="Y1994" s="8"/>
      <c r="Z1994" s="8" t="str">
        <f>+Tabla3[[#This Row],[Referencia]]&amp;Tabla3[[#This Row],[Desc detalle ext 1]]</f>
        <v/>
      </c>
      <c r="AA1994" s="128" t="e">
        <f>+VLOOKUP(Tabla3[[#This Row],[CODIGO2]],ESTANDAR!$B$3:$C$9,2,FALSE)</f>
        <v>#N/A</v>
      </c>
      <c r="AB1994" s="128" t="str">
        <f>+MID(Tabla3[[#This Row],['# Viaje]],10,1)</f>
        <v/>
      </c>
    </row>
    <row r="1995" spans="1:28" ht="15" hidden="1" customHeight="1">
      <c r="A1995" s="25"/>
      <c r="B1995" s="26"/>
      <c r="C1995" s="25"/>
      <c r="D1995" s="25"/>
      <c r="E1995" s="25"/>
      <c r="F1995" s="25"/>
      <c r="G1995" s="25"/>
      <c r="H1995" s="25"/>
      <c r="I1995" s="25"/>
      <c r="J1995" s="25"/>
      <c r="K1995" s="25"/>
      <c r="L1995" s="26"/>
      <c r="M1995" s="25"/>
      <c r="N1995" s="25"/>
      <c r="O1995" s="27"/>
      <c r="P1995" s="7"/>
      <c r="Q1995" s="16">
        <f>+IF(IFERROR(VLOOKUP(Tabla3[[#This Row],[Cliente factura]],Tabla4[[NIT]:[TOTAL CREDITO]],3,FALSE),0)="",0,IFERROR(VLOOKUP(Tabla3[[#This Row],[Cliente factura]],Tabla4[[NIT]:[TOTAL CREDITO]],3,FALSE),0))</f>
        <v>0</v>
      </c>
      <c r="R1995" s="9">
        <f>+IFERROR(VLOOKUP(Tabla3[[#This Row],[Cliente factura]],Tabla4[[NIT]:[TOTAL CREDITO]],6,FALSE),0)</f>
        <v>0</v>
      </c>
      <c r="S1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5" s="10" t="e">
        <f>VLOOKUP(Tabla3[[#This Row],[Razón social cliente factura]]&amp;Tabla3[[#This Row],[Desc. ciudad]],'Estandar de Rutas'!$C$1:$E$553,2,FALSE)</f>
        <v>#N/A</v>
      </c>
      <c r="U1995" s="130">
        <f>IFERROR(VLOOKUP(Tabla3[[#This Row],[Referencia]]&amp;Tabla3[[#This Row],[Desc detalle ext 1]],Tabla1[[Referencia-Color]:[Disponibilidad]],3,FALSE),0)</f>
        <v>0</v>
      </c>
      <c r="V1995" s="13"/>
      <c r="W1995" s="17">
        <f>+Tabla3[[#This Row],[Cant. Programada]]*Tabla3[[#This Row],[Precio unit]]</f>
        <v>0</v>
      </c>
      <c r="X1995" s="8"/>
      <c r="Y1995" s="8"/>
      <c r="Z1995" s="8" t="str">
        <f>+Tabla3[[#This Row],[Referencia]]&amp;Tabla3[[#This Row],[Desc detalle ext 1]]</f>
        <v/>
      </c>
      <c r="AA1995" s="128" t="e">
        <f>+VLOOKUP(Tabla3[[#This Row],[CODIGO2]],ESTANDAR!$B$3:$C$9,2,FALSE)</f>
        <v>#N/A</v>
      </c>
      <c r="AB1995" s="128" t="str">
        <f>+MID(Tabla3[[#This Row],['# Viaje]],10,1)</f>
        <v/>
      </c>
    </row>
    <row r="1996" spans="1:28" ht="15" hidden="1" customHeight="1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6"/>
      <c r="M1996" s="25"/>
      <c r="N1996" s="25"/>
      <c r="O1996" s="27"/>
      <c r="P1996" s="7"/>
      <c r="Q1996" s="16">
        <f>+IF(IFERROR(VLOOKUP(Tabla3[[#This Row],[Cliente factura]],Tabla4[[NIT]:[TOTAL CREDITO]],3,FALSE),0)="",0,IFERROR(VLOOKUP(Tabla3[[#This Row],[Cliente factura]],Tabla4[[NIT]:[TOTAL CREDITO]],3,FALSE),0))</f>
        <v>0</v>
      </c>
      <c r="R1996" s="9">
        <f>+IFERROR(VLOOKUP(Tabla3[[#This Row],[Cliente factura]],Tabla4[[NIT]:[TOTAL CREDITO]],6,FALSE),0)</f>
        <v>0</v>
      </c>
      <c r="S1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6" s="10" t="e">
        <f>VLOOKUP(Tabla3[[#This Row],[Razón social cliente factura]]&amp;Tabla3[[#This Row],[Desc. ciudad]],'Estandar de Rutas'!$C$1:$E$553,2,FALSE)</f>
        <v>#N/A</v>
      </c>
      <c r="U1996" s="130">
        <f>IFERROR(VLOOKUP(Tabla3[[#This Row],[Referencia]]&amp;Tabla3[[#This Row],[Desc detalle ext 1]],Tabla1[[Referencia-Color]:[Disponibilidad]],3,FALSE),0)</f>
        <v>0</v>
      </c>
      <c r="V1996" s="13"/>
      <c r="W1996" s="17">
        <f>+Tabla3[[#This Row],[Cant. Programada]]*Tabla3[[#This Row],[Precio unit]]</f>
        <v>0</v>
      </c>
      <c r="X1996" s="8"/>
      <c r="Y1996" s="8"/>
      <c r="Z1996" s="8" t="str">
        <f>+Tabla3[[#This Row],[Referencia]]&amp;Tabla3[[#This Row],[Desc detalle ext 1]]</f>
        <v/>
      </c>
      <c r="AA1996" s="128" t="e">
        <f>+VLOOKUP(Tabla3[[#This Row],[CODIGO2]],ESTANDAR!$B$3:$C$9,2,FALSE)</f>
        <v>#N/A</v>
      </c>
      <c r="AB1996" s="128" t="str">
        <f>+MID(Tabla3[[#This Row],['# Viaje]],10,1)</f>
        <v/>
      </c>
    </row>
    <row r="1997" spans="1:28" ht="15" hidden="1" customHeight="1">
      <c r="A1997" s="25"/>
      <c r="B1997" s="26"/>
      <c r="C1997" s="25"/>
      <c r="D1997" s="25"/>
      <c r="E1997" s="25"/>
      <c r="F1997" s="25"/>
      <c r="G1997" s="25"/>
      <c r="H1997" s="25"/>
      <c r="I1997" s="25"/>
      <c r="J1997" s="25"/>
      <c r="K1997" s="25"/>
      <c r="L1997" s="26"/>
      <c r="M1997" s="25"/>
      <c r="N1997" s="25"/>
      <c r="O1997" s="27"/>
      <c r="P1997" s="7"/>
      <c r="Q1997" s="16">
        <f>+IF(IFERROR(VLOOKUP(Tabla3[[#This Row],[Cliente factura]],Tabla4[[NIT]:[TOTAL CREDITO]],3,FALSE),0)="",0,IFERROR(VLOOKUP(Tabla3[[#This Row],[Cliente factura]],Tabla4[[NIT]:[TOTAL CREDITO]],3,FALSE),0))</f>
        <v>0</v>
      </c>
      <c r="R1997" s="9">
        <f>+IFERROR(VLOOKUP(Tabla3[[#This Row],[Cliente factura]],Tabla4[[NIT]:[TOTAL CREDITO]],6,FALSE),0)</f>
        <v>0</v>
      </c>
      <c r="S1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7" s="10" t="e">
        <f>VLOOKUP(Tabla3[[#This Row],[Razón social cliente factura]]&amp;Tabla3[[#This Row],[Desc. ciudad]],'Estandar de Rutas'!$C$1:$E$553,2,FALSE)</f>
        <v>#N/A</v>
      </c>
      <c r="U1997" s="130">
        <f>IFERROR(VLOOKUP(Tabla3[[#This Row],[Referencia]]&amp;Tabla3[[#This Row],[Desc detalle ext 1]],Tabla1[[Referencia-Color]:[Disponibilidad]],3,FALSE),0)</f>
        <v>0</v>
      </c>
      <c r="V1997" s="13"/>
      <c r="W1997" s="17">
        <f>+Tabla3[[#This Row],[Cant. Programada]]*Tabla3[[#This Row],[Precio unit]]</f>
        <v>0</v>
      </c>
      <c r="X1997" s="8"/>
      <c r="Y1997" s="8"/>
      <c r="Z1997" s="8" t="str">
        <f>+Tabla3[[#This Row],[Referencia]]&amp;Tabla3[[#This Row],[Desc detalle ext 1]]</f>
        <v/>
      </c>
      <c r="AA1997" s="128" t="e">
        <f>+VLOOKUP(Tabla3[[#This Row],[CODIGO2]],ESTANDAR!$B$3:$C$9,2,FALSE)</f>
        <v>#N/A</v>
      </c>
      <c r="AB1997" s="128" t="str">
        <f>+MID(Tabla3[[#This Row],['# Viaje]],10,1)</f>
        <v/>
      </c>
    </row>
    <row r="1998" spans="1:28" ht="15" hidden="1" customHeight="1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6"/>
      <c r="M1998" s="25"/>
      <c r="N1998" s="25"/>
      <c r="O1998" s="27"/>
      <c r="P1998" s="7"/>
      <c r="Q1998" s="16">
        <f>+IF(IFERROR(VLOOKUP(Tabla3[[#This Row],[Cliente factura]],Tabla4[[NIT]:[TOTAL CREDITO]],3,FALSE),0)="",0,IFERROR(VLOOKUP(Tabla3[[#This Row],[Cliente factura]],Tabla4[[NIT]:[TOTAL CREDITO]],3,FALSE),0))</f>
        <v>0</v>
      </c>
      <c r="R1998" s="9">
        <f>+IFERROR(VLOOKUP(Tabla3[[#This Row],[Cliente factura]],Tabla4[[NIT]:[TOTAL CREDITO]],6,FALSE),0)</f>
        <v>0</v>
      </c>
      <c r="S1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8" s="10" t="e">
        <f>VLOOKUP(Tabla3[[#This Row],[Razón social cliente factura]]&amp;Tabla3[[#This Row],[Desc. ciudad]],'Estandar de Rutas'!$C$1:$E$553,2,FALSE)</f>
        <v>#N/A</v>
      </c>
      <c r="U1998" s="130">
        <f>IFERROR(VLOOKUP(Tabla3[[#This Row],[Referencia]]&amp;Tabla3[[#This Row],[Desc detalle ext 1]],Tabla1[[Referencia-Color]:[Disponibilidad]],3,FALSE),0)</f>
        <v>0</v>
      </c>
      <c r="V1998" s="13"/>
      <c r="W1998" s="17">
        <f>+Tabla3[[#This Row],[Cant. Programada]]*Tabla3[[#This Row],[Precio unit]]</f>
        <v>0</v>
      </c>
      <c r="X1998" s="8"/>
      <c r="Y1998" s="8"/>
      <c r="Z1998" s="8" t="str">
        <f>+Tabla3[[#This Row],[Referencia]]&amp;Tabla3[[#This Row],[Desc detalle ext 1]]</f>
        <v/>
      </c>
      <c r="AA1998" s="128" t="e">
        <f>+VLOOKUP(Tabla3[[#This Row],[CODIGO2]],ESTANDAR!$B$3:$C$9,2,FALSE)</f>
        <v>#N/A</v>
      </c>
      <c r="AB1998" s="128" t="str">
        <f>+MID(Tabla3[[#This Row],['# Viaje]],10,1)</f>
        <v/>
      </c>
    </row>
    <row r="1999" spans="1:28" ht="15" hidden="1" customHeight="1">
      <c r="A1999" s="25"/>
      <c r="B1999" s="26"/>
      <c r="C1999" s="25"/>
      <c r="D1999" s="25"/>
      <c r="E1999" s="25"/>
      <c r="F1999" s="25"/>
      <c r="G1999" s="25"/>
      <c r="H1999" s="25"/>
      <c r="I1999" s="25"/>
      <c r="J1999" s="25"/>
      <c r="K1999" s="25"/>
      <c r="L1999" s="26"/>
      <c r="M1999" s="25"/>
      <c r="N1999" s="25"/>
      <c r="O1999" s="27"/>
      <c r="P1999" s="7"/>
      <c r="Q1999" s="16">
        <f>+IF(IFERROR(VLOOKUP(Tabla3[[#This Row],[Cliente factura]],Tabla4[[NIT]:[TOTAL CREDITO]],3,FALSE),0)="",0,IFERROR(VLOOKUP(Tabla3[[#This Row],[Cliente factura]],Tabla4[[NIT]:[TOTAL CREDITO]],3,FALSE),0))</f>
        <v>0</v>
      </c>
      <c r="R1999" s="9">
        <f>+IFERROR(VLOOKUP(Tabla3[[#This Row],[Cliente factura]],Tabla4[[NIT]:[TOTAL CREDITO]],6,FALSE),0)</f>
        <v>0</v>
      </c>
      <c r="S1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9" s="10" t="e">
        <f>VLOOKUP(Tabla3[[#This Row],[Razón social cliente factura]]&amp;Tabla3[[#This Row],[Desc. ciudad]],'Estandar de Rutas'!$C$1:$E$553,2,FALSE)</f>
        <v>#N/A</v>
      </c>
      <c r="U1999" s="130">
        <f>IFERROR(VLOOKUP(Tabla3[[#This Row],[Referencia]]&amp;Tabla3[[#This Row],[Desc detalle ext 1]],Tabla1[[Referencia-Color]:[Disponibilidad]],3,FALSE),0)</f>
        <v>0</v>
      </c>
      <c r="V1999" s="13"/>
      <c r="W1999" s="17">
        <f>+Tabla3[[#This Row],[Cant. Programada]]*Tabla3[[#This Row],[Precio unit]]</f>
        <v>0</v>
      </c>
      <c r="X1999" s="8"/>
      <c r="Y1999" s="8"/>
      <c r="Z1999" s="8" t="str">
        <f>+Tabla3[[#This Row],[Referencia]]&amp;Tabla3[[#This Row],[Desc detalle ext 1]]</f>
        <v/>
      </c>
      <c r="AA1999" s="128" t="e">
        <f>+VLOOKUP(Tabla3[[#This Row],[CODIGO2]],ESTANDAR!$B$3:$C$9,2,FALSE)</f>
        <v>#N/A</v>
      </c>
      <c r="AB1999" s="128" t="str">
        <f>+MID(Tabla3[[#This Row],['# Viaje]],10,1)</f>
        <v/>
      </c>
    </row>
    <row r="2000" spans="1:28" ht="15" hidden="1" customHeight="1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6"/>
      <c r="M2000" s="25"/>
      <c r="N2000" s="25"/>
      <c r="O2000" s="27"/>
      <c r="P2000" s="7"/>
      <c r="Q2000" s="16">
        <f>+IF(IFERROR(VLOOKUP(Tabla3[[#This Row],[Cliente factura]],Tabla4[[NIT]:[TOTAL CREDITO]],3,FALSE),0)="",0,IFERROR(VLOOKUP(Tabla3[[#This Row],[Cliente factura]],Tabla4[[NIT]:[TOTAL CREDITO]],3,FALSE),0))</f>
        <v>0</v>
      </c>
      <c r="R2000" s="9">
        <f>+IFERROR(VLOOKUP(Tabla3[[#This Row],[Cliente factura]],Tabla4[[NIT]:[TOTAL CREDITO]],6,FALSE),0)</f>
        <v>0</v>
      </c>
      <c r="S2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0" s="10" t="e">
        <f>VLOOKUP(Tabla3[[#This Row],[Razón social cliente factura]]&amp;Tabla3[[#This Row],[Desc. ciudad]],'Estandar de Rutas'!$C$1:$E$553,2,FALSE)</f>
        <v>#N/A</v>
      </c>
      <c r="U2000" s="130">
        <f>IFERROR(VLOOKUP(Tabla3[[#This Row],[Referencia]]&amp;Tabla3[[#This Row],[Desc detalle ext 1]],Tabla1[[Referencia-Color]:[Disponibilidad]],3,FALSE),0)</f>
        <v>0</v>
      </c>
      <c r="V2000" s="13"/>
      <c r="W2000" s="17">
        <f>+Tabla3[[#This Row],[Cant. Programada]]*Tabla3[[#This Row],[Precio unit]]</f>
        <v>0</v>
      </c>
      <c r="X2000" s="8"/>
      <c r="Y2000" s="8"/>
      <c r="Z2000" s="8" t="str">
        <f>+Tabla3[[#This Row],[Referencia]]&amp;Tabla3[[#This Row],[Desc detalle ext 1]]</f>
        <v/>
      </c>
      <c r="AA2000" s="128" t="e">
        <f>+VLOOKUP(Tabla3[[#This Row],[CODIGO2]],ESTANDAR!$B$3:$C$9,2,FALSE)</f>
        <v>#N/A</v>
      </c>
      <c r="AB2000" s="128" t="str">
        <f>+MID(Tabla3[[#This Row],['# Viaje]],10,1)</f>
        <v/>
      </c>
    </row>
    <row r="2001" spans="1:28" ht="15" hidden="1" customHeight="1">
      <c r="A2001" s="25"/>
      <c r="B2001" s="26"/>
      <c r="C2001" s="25"/>
      <c r="D2001" s="25"/>
      <c r="E2001" s="25"/>
      <c r="F2001" s="25"/>
      <c r="G2001" s="25"/>
      <c r="H2001" s="25"/>
      <c r="I2001" s="25"/>
      <c r="J2001" s="25"/>
      <c r="K2001" s="25"/>
      <c r="L2001" s="26"/>
      <c r="M2001" s="25"/>
      <c r="N2001" s="25"/>
      <c r="O2001" s="27"/>
      <c r="P2001" s="7"/>
      <c r="Q2001" s="16">
        <f>+IF(IFERROR(VLOOKUP(Tabla3[[#This Row],[Cliente factura]],Tabla4[[NIT]:[TOTAL CREDITO]],3,FALSE),0)="",0,IFERROR(VLOOKUP(Tabla3[[#This Row],[Cliente factura]],Tabla4[[NIT]:[TOTAL CREDITO]],3,FALSE),0))</f>
        <v>0</v>
      </c>
      <c r="R2001" s="9">
        <f>+IFERROR(VLOOKUP(Tabla3[[#This Row],[Cliente factura]],Tabla4[[NIT]:[TOTAL CREDITO]],6,FALSE),0)</f>
        <v>0</v>
      </c>
      <c r="S2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1" s="10" t="e">
        <f>VLOOKUP(Tabla3[[#This Row],[Razón social cliente factura]]&amp;Tabla3[[#This Row],[Desc. ciudad]],'Estandar de Rutas'!$C$1:$E$553,2,FALSE)</f>
        <v>#N/A</v>
      </c>
      <c r="U2001" s="130">
        <f>IFERROR(VLOOKUP(Tabla3[[#This Row],[Referencia]]&amp;Tabla3[[#This Row],[Desc detalle ext 1]],Tabla1[[Referencia-Color]:[Disponibilidad]],3,FALSE),0)</f>
        <v>0</v>
      </c>
      <c r="V2001" s="13"/>
      <c r="W2001" s="17">
        <f>+Tabla3[[#This Row],[Cant. Programada]]*Tabla3[[#This Row],[Precio unit]]</f>
        <v>0</v>
      </c>
      <c r="X2001" s="8"/>
      <c r="Y2001" s="8"/>
      <c r="Z2001" s="8" t="str">
        <f>+Tabla3[[#This Row],[Referencia]]&amp;Tabla3[[#This Row],[Desc detalle ext 1]]</f>
        <v/>
      </c>
      <c r="AA2001" s="128" t="e">
        <f>+VLOOKUP(Tabla3[[#This Row],[CODIGO2]],ESTANDAR!$B$3:$C$9,2,FALSE)</f>
        <v>#N/A</v>
      </c>
      <c r="AB2001" s="128" t="str">
        <f>+MID(Tabla3[[#This Row],['# Viaje]],10,1)</f>
        <v/>
      </c>
    </row>
    <row r="2002" spans="1:28" ht="15" hidden="1" customHeight="1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6"/>
      <c r="M2002" s="25"/>
      <c r="N2002" s="25"/>
      <c r="O2002" s="27"/>
      <c r="P2002" s="7"/>
      <c r="Q2002" s="16">
        <f>+IF(IFERROR(VLOOKUP(Tabla3[[#This Row],[Cliente factura]],Tabla4[[NIT]:[TOTAL CREDITO]],3,FALSE),0)="",0,IFERROR(VLOOKUP(Tabla3[[#This Row],[Cliente factura]],Tabla4[[NIT]:[TOTAL CREDITO]],3,FALSE),0))</f>
        <v>0</v>
      </c>
      <c r="R2002" s="9">
        <f>+IFERROR(VLOOKUP(Tabla3[[#This Row],[Cliente factura]],Tabla4[[NIT]:[TOTAL CREDITO]],6,FALSE),0)</f>
        <v>0</v>
      </c>
      <c r="S2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2" s="10" t="e">
        <f>VLOOKUP(Tabla3[[#This Row],[Razón social cliente factura]]&amp;Tabla3[[#This Row],[Desc. ciudad]],'Estandar de Rutas'!$C$1:$E$553,2,FALSE)</f>
        <v>#N/A</v>
      </c>
      <c r="U2002" s="130">
        <f>IFERROR(VLOOKUP(Tabla3[[#This Row],[Referencia]]&amp;Tabla3[[#This Row],[Desc detalle ext 1]],Tabla1[[Referencia-Color]:[Disponibilidad]],3,FALSE),0)</f>
        <v>0</v>
      </c>
      <c r="V2002" s="13"/>
      <c r="W2002" s="17">
        <f>+Tabla3[[#This Row],[Cant. Programada]]*Tabla3[[#This Row],[Precio unit]]</f>
        <v>0</v>
      </c>
      <c r="X2002" s="8"/>
      <c r="Y2002" s="8"/>
      <c r="Z2002" s="8" t="str">
        <f>+Tabla3[[#This Row],[Referencia]]&amp;Tabla3[[#This Row],[Desc detalle ext 1]]</f>
        <v/>
      </c>
      <c r="AA2002" s="128" t="e">
        <f>+VLOOKUP(Tabla3[[#This Row],[CODIGO2]],ESTANDAR!$B$3:$C$9,2,FALSE)</f>
        <v>#N/A</v>
      </c>
      <c r="AB2002" s="128" t="str">
        <f>+MID(Tabla3[[#This Row],['# Viaje]],10,1)</f>
        <v/>
      </c>
    </row>
    <row r="2003" spans="1:28" ht="15" hidden="1" customHeight="1">
      <c r="A2003" s="25"/>
      <c r="B2003" s="26"/>
      <c r="C2003" s="25"/>
      <c r="D2003" s="25"/>
      <c r="E2003" s="25"/>
      <c r="F2003" s="25"/>
      <c r="G2003" s="25"/>
      <c r="H2003" s="25"/>
      <c r="I2003" s="25"/>
      <c r="J2003" s="25"/>
      <c r="K2003" s="25"/>
      <c r="L2003" s="26"/>
      <c r="M2003" s="25"/>
      <c r="N2003" s="25"/>
      <c r="O2003" s="27"/>
      <c r="P2003" s="7"/>
      <c r="Q2003" s="16">
        <f>+IF(IFERROR(VLOOKUP(Tabla3[[#This Row],[Cliente factura]],Tabla4[[NIT]:[TOTAL CREDITO]],3,FALSE),0)="",0,IFERROR(VLOOKUP(Tabla3[[#This Row],[Cliente factura]],Tabla4[[NIT]:[TOTAL CREDITO]],3,FALSE),0))</f>
        <v>0</v>
      </c>
      <c r="R2003" s="9">
        <f>+IFERROR(VLOOKUP(Tabla3[[#This Row],[Cliente factura]],Tabla4[[NIT]:[TOTAL CREDITO]],6,FALSE),0)</f>
        <v>0</v>
      </c>
      <c r="S2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3" s="10" t="e">
        <f>VLOOKUP(Tabla3[[#This Row],[Razón social cliente factura]]&amp;Tabla3[[#This Row],[Desc. ciudad]],'Estandar de Rutas'!$C$1:$E$553,2,FALSE)</f>
        <v>#N/A</v>
      </c>
      <c r="U2003" s="130">
        <f>IFERROR(VLOOKUP(Tabla3[[#This Row],[Referencia]]&amp;Tabla3[[#This Row],[Desc detalle ext 1]],Tabla1[[Referencia-Color]:[Disponibilidad]],3,FALSE),0)</f>
        <v>0</v>
      </c>
      <c r="V2003" s="13"/>
      <c r="W2003" s="17">
        <f>+Tabla3[[#This Row],[Cant. Programada]]*Tabla3[[#This Row],[Precio unit]]</f>
        <v>0</v>
      </c>
      <c r="X2003" s="8"/>
      <c r="Y2003" s="8"/>
      <c r="Z2003" s="8" t="str">
        <f>+Tabla3[[#This Row],[Referencia]]&amp;Tabla3[[#This Row],[Desc detalle ext 1]]</f>
        <v/>
      </c>
      <c r="AA2003" s="128" t="e">
        <f>+VLOOKUP(Tabla3[[#This Row],[CODIGO2]],ESTANDAR!$B$3:$C$9,2,FALSE)</f>
        <v>#N/A</v>
      </c>
      <c r="AB2003" s="128" t="str">
        <f>+MID(Tabla3[[#This Row],['# Viaje]],10,1)</f>
        <v/>
      </c>
    </row>
    <row r="2004" spans="1:28" ht="15" hidden="1" customHeight="1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6"/>
      <c r="M2004" s="25"/>
      <c r="N2004" s="25"/>
      <c r="O2004" s="27"/>
      <c r="P2004" s="7"/>
      <c r="Q2004" s="16">
        <f>+IF(IFERROR(VLOOKUP(Tabla3[[#This Row],[Cliente factura]],Tabla4[[NIT]:[TOTAL CREDITO]],3,FALSE),0)="",0,IFERROR(VLOOKUP(Tabla3[[#This Row],[Cliente factura]],Tabla4[[NIT]:[TOTAL CREDITO]],3,FALSE),0))</f>
        <v>0</v>
      </c>
      <c r="R2004" s="9">
        <f>+IFERROR(VLOOKUP(Tabla3[[#This Row],[Cliente factura]],Tabla4[[NIT]:[TOTAL CREDITO]],6,FALSE),0)</f>
        <v>0</v>
      </c>
      <c r="S2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4" s="10" t="e">
        <f>VLOOKUP(Tabla3[[#This Row],[Razón social cliente factura]]&amp;Tabla3[[#This Row],[Desc. ciudad]],'Estandar de Rutas'!$C$1:$E$553,2,FALSE)</f>
        <v>#N/A</v>
      </c>
      <c r="U2004" s="130">
        <f>IFERROR(VLOOKUP(Tabla3[[#This Row],[Referencia]]&amp;Tabla3[[#This Row],[Desc detalle ext 1]],Tabla1[[Referencia-Color]:[Disponibilidad]],3,FALSE),0)</f>
        <v>0</v>
      </c>
      <c r="V2004" s="13"/>
      <c r="W2004" s="17">
        <f>+Tabla3[[#This Row],[Cant. Programada]]*Tabla3[[#This Row],[Precio unit]]</f>
        <v>0</v>
      </c>
      <c r="X2004" s="8"/>
      <c r="Y2004" s="8"/>
      <c r="Z2004" s="8" t="str">
        <f>+Tabla3[[#This Row],[Referencia]]&amp;Tabla3[[#This Row],[Desc detalle ext 1]]</f>
        <v/>
      </c>
      <c r="AA2004" s="128" t="e">
        <f>+VLOOKUP(Tabla3[[#This Row],[CODIGO2]],ESTANDAR!$B$3:$C$9,2,FALSE)</f>
        <v>#N/A</v>
      </c>
      <c r="AB2004" s="128" t="str">
        <f>+MID(Tabla3[[#This Row],['# Viaje]],10,1)</f>
        <v/>
      </c>
    </row>
    <row r="2005" spans="1:28" ht="15" hidden="1" customHeight="1">
      <c r="A2005" s="25"/>
      <c r="B2005" s="26"/>
      <c r="C2005" s="25"/>
      <c r="D2005" s="25"/>
      <c r="E2005" s="25"/>
      <c r="F2005" s="25"/>
      <c r="G2005" s="25"/>
      <c r="H2005" s="25"/>
      <c r="I2005" s="25"/>
      <c r="J2005" s="25"/>
      <c r="K2005" s="25"/>
      <c r="L2005" s="26"/>
      <c r="M2005" s="25"/>
      <c r="N2005" s="25"/>
      <c r="O2005" s="27"/>
      <c r="P2005" s="7"/>
      <c r="Q2005" s="16">
        <f>+IF(IFERROR(VLOOKUP(Tabla3[[#This Row],[Cliente factura]],Tabla4[[NIT]:[TOTAL CREDITO]],3,FALSE),0)="",0,IFERROR(VLOOKUP(Tabla3[[#This Row],[Cliente factura]],Tabla4[[NIT]:[TOTAL CREDITO]],3,FALSE),0))</f>
        <v>0</v>
      </c>
      <c r="R2005" s="9">
        <f>+IFERROR(VLOOKUP(Tabla3[[#This Row],[Cliente factura]],Tabla4[[NIT]:[TOTAL CREDITO]],6,FALSE),0)</f>
        <v>0</v>
      </c>
      <c r="S2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5" s="10" t="e">
        <f>VLOOKUP(Tabla3[[#This Row],[Razón social cliente factura]]&amp;Tabla3[[#This Row],[Desc. ciudad]],'Estandar de Rutas'!$C$1:$E$553,2,FALSE)</f>
        <v>#N/A</v>
      </c>
      <c r="U2005" s="130">
        <f>IFERROR(VLOOKUP(Tabla3[[#This Row],[Referencia]]&amp;Tabla3[[#This Row],[Desc detalle ext 1]],Tabla1[[Referencia-Color]:[Disponibilidad]],3,FALSE),0)</f>
        <v>0</v>
      </c>
      <c r="V2005" s="13"/>
      <c r="W2005" s="17">
        <f>+Tabla3[[#This Row],[Cant. Programada]]*Tabla3[[#This Row],[Precio unit]]</f>
        <v>0</v>
      </c>
      <c r="X2005" s="8"/>
      <c r="Y2005" s="8"/>
      <c r="Z2005" s="8" t="str">
        <f>+Tabla3[[#This Row],[Referencia]]&amp;Tabla3[[#This Row],[Desc detalle ext 1]]</f>
        <v/>
      </c>
      <c r="AA2005" s="128" t="e">
        <f>+VLOOKUP(Tabla3[[#This Row],[CODIGO2]],ESTANDAR!$B$3:$C$9,2,FALSE)</f>
        <v>#N/A</v>
      </c>
      <c r="AB2005" s="128" t="str">
        <f>+MID(Tabla3[[#This Row],['# Viaje]],10,1)</f>
        <v/>
      </c>
    </row>
    <row r="2006" spans="1:28" ht="15" hidden="1" customHeight="1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6"/>
      <c r="M2006" s="25"/>
      <c r="N2006" s="25"/>
      <c r="O2006" s="27"/>
      <c r="P2006" s="7"/>
      <c r="Q2006" s="16">
        <f>+IF(IFERROR(VLOOKUP(Tabla3[[#This Row],[Cliente factura]],Tabla4[[NIT]:[TOTAL CREDITO]],3,FALSE),0)="",0,IFERROR(VLOOKUP(Tabla3[[#This Row],[Cliente factura]],Tabla4[[NIT]:[TOTAL CREDITO]],3,FALSE),0))</f>
        <v>0</v>
      </c>
      <c r="R2006" s="9">
        <f>+IFERROR(VLOOKUP(Tabla3[[#This Row],[Cliente factura]],Tabla4[[NIT]:[TOTAL CREDITO]],6,FALSE),0)</f>
        <v>0</v>
      </c>
      <c r="S2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6" s="10" t="e">
        <f>VLOOKUP(Tabla3[[#This Row],[Razón social cliente factura]]&amp;Tabla3[[#This Row],[Desc. ciudad]],'Estandar de Rutas'!$C$1:$E$553,2,FALSE)</f>
        <v>#N/A</v>
      </c>
      <c r="U2006" s="130">
        <f>IFERROR(VLOOKUP(Tabla3[[#This Row],[Referencia]]&amp;Tabla3[[#This Row],[Desc detalle ext 1]],Tabla1[[Referencia-Color]:[Disponibilidad]],3,FALSE),0)</f>
        <v>0</v>
      </c>
      <c r="V2006" s="13"/>
      <c r="W2006" s="17">
        <f>+Tabla3[[#This Row],[Cant. Programada]]*Tabla3[[#This Row],[Precio unit]]</f>
        <v>0</v>
      </c>
      <c r="X2006" s="8"/>
      <c r="Y2006" s="8"/>
      <c r="Z2006" s="8" t="str">
        <f>+Tabla3[[#This Row],[Referencia]]&amp;Tabla3[[#This Row],[Desc detalle ext 1]]</f>
        <v/>
      </c>
      <c r="AA2006" s="128" t="e">
        <f>+VLOOKUP(Tabla3[[#This Row],[CODIGO2]],ESTANDAR!$B$3:$C$9,2,FALSE)</f>
        <v>#N/A</v>
      </c>
      <c r="AB2006" s="128" t="str">
        <f>+MID(Tabla3[[#This Row],['# Viaje]],10,1)</f>
        <v/>
      </c>
    </row>
    <row r="2007" spans="1:28" ht="15" hidden="1" customHeight="1">
      <c r="A2007" s="25"/>
      <c r="B2007" s="26"/>
      <c r="C2007" s="25"/>
      <c r="D2007" s="25"/>
      <c r="E2007" s="25"/>
      <c r="F2007" s="25"/>
      <c r="G2007" s="25"/>
      <c r="H2007" s="25"/>
      <c r="I2007" s="25"/>
      <c r="J2007" s="25"/>
      <c r="K2007" s="25"/>
      <c r="L2007" s="26"/>
      <c r="M2007" s="25"/>
      <c r="N2007" s="25"/>
      <c r="O2007" s="27"/>
      <c r="P2007" s="7"/>
      <c r="Q2007" s="16">
        <f>+IF(IFERROR(VLOOKUP(Tabla3[[#This Row],[Cliente factura]],Tabla4[[NIT]:[TOTAL CREDITO]],3,FALSE),0)="",0,IFERROR(VLOOKUP(Tabla3[[#This Row],[Cliente factura]],Tabla4[[NIT]:[TOTAL CREDITO]],3,FALSE),0))</f>
        <v>0</v>
      </c>
      <c r="R2007" s="9">
        <f>+IFERROR(VLOOKUP(Tabla3[[#This Row],[Cliente factura]],Tabla4[[NIT]:[TOTAL CREDITO]],6,FALSE),0)</f>
        <v>0</v>
      </c>
      <c r="S2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7" s="10" t="e">
        <f>VLOOKUP(Tabla3[[#This Row],[Razón social cliente factura]]&amp;Tabla3[[#This Row],[Desc. ciudad]],'Estandar de Rutas'!$C$1:$E$553,2,FALSE)</f>
        <v>#N/A</v>
      </c>
      <c r="U2007" s="130">
        <f>IFERROR(VLOOKUP(Tabla3[[#This Row],[Referencia]]&amp;Tabla3[[#This Row],[Desc detalle ext 1]],Tabla1[[Referencia-Color]:[Disponibilidad]],3,FALSE),0)</f>
        <v>0</v>
      </c>
      <c r="V2007" s="13"/>
      <c r="W2007" s="17">
        <f>+Tabla3[[#This Row],[Cant. Programada]]*Tabla3[[#This Row],[Precio unit]]</f>
        <v>0</v>
      </c>
      <c r="X2007" s="8"/>
      <c r="Y2007" s="8"/>
      <c r="Z2007" s="8" t="str">
        <f>+Tabla3[[#This Row],[Referencia]]&amp;Tabla3[[#This Row],[Desc detalle ext 1]]</f>
        <v/>
      </c>
      <c r="AA2007" s="128" t="e">
        <f>+VLOOKUP(Tabla3[[#This Row],[CODIGO2]],ESTANDAR!$B$3:$C$9,2,FALSE)</f>
        <v>#N/A</v>
      </c>
      <c r="AB2007" s="128" t="str">
        <f>+MID(Tabla3[[#This Row],['# Viaje]],10,1)</f>
        <v/>
      </c>
    </row>
    <row r="2008" spans="1:28" ht="15" hidden="1" customHeight="1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6"/>
      <c r="M2008" s="25"/>
      <c r="N2008" s="25"/>
      <c r="O2008" s="27"/>
      <c r="P2008" s="7"/>
      <c r="Q2008" s="16">
        <f>+IF(IFERROR(VLOOKUP(Tabla3[[#This Row],[Cliente factura]],Tabla4[[NIT]:[TOTAL CREDITO]],3,FALSE),0)="",0,IFERROR(VLOOKUP(Tabla3[[#This Row],[Cliente factura]],Tabla4[[NIT]:[TOTAL CREDITO]],3,FALSE),0))</f>
        <v>0</v>
      </c>
      <c r="R2008" s="9">
        <f>+IFERROR(VLOOKUP(Tabla3[[#This Row],[Cliente factura]],Tabla4[[NIT]:[TOTAL CREDITO]],6,FALSE),0)</f>
        <v>0</v>
      </c>
      <c r="S2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8" s="10" t="e">
        <f>VLOOKUP(Tabla3[[#This Row],[Razón social cliente factura]]&amp;Tabla3[[#This Row],[Desc. ciudad]],'Estandar de Rutas'!$C$1:$E$553,2,FALSE)</f>
        <v>#N/A</v>
      </c>
      <c r="U2008" s="130">
        <f>IFERROR(VLOOKUP(Tabla3[[#This Row],[Referencia]]&amp;Tabla3[[#This Row],[Desc detalle ext 1]],Tabla1[[Referencia-Color]:[Disponibilidad]],3,FALSE),0)</f>
        <v>0</v>
      </c>
      <c r="V2008" s="13"/>
      <c r="W2008" s="17">
        <f>+Tabla3[[#This Row],[Cant. Programada]]*Tabla3[[#This Row],[Precio unit]]</f>
        <v>0</v>
      </c>
      <c r="X2008" s="8"/>
      <c r="Y2008" s="8"/>
      <c r="Z2008" s="8" t="str">
        <f>+Tabla3[[#This Row],[Referencia]]&amp;Tabla3[[#This Row],[Desc detalle ext 1]]</f>
        <v/>
      </c>
      <c r="AA2008" s="128" t="e">
        <f>+VLOOKUP(Tabla3[[#This Row],[CODIGO2]],ESTANDAR!$B$3:$C$9,2,FALSE)</f>
        <v>#N/A</v>
      </c>
      <c r="AB2008" s="128" t="str">
        <f>+MID(Tabla3[[#This Row],['# Viaje]],10,1)</f>
        <v/>
      </c>
    </row>
    <row r="2009" spans="1:28" ht="15" hidden="1" customHeight="1">
      <c r="A2009" s="25"/>
      <c r="B2009" s="26"/>
      <c r="C2009" s="25"/>
      <c r="D2009" s="25"/>
      <c r="E2009" s="25"/>
      <c r="F2009" s="25"/>
      <c r="G2009" s="25"/>
      <c r="H2009" s="25"/>
      <c r="I2009" s="25"/>
      <c r="J2009" s="25"/>
      <c r="K2009" s="25"/>
      <c r="L2009" s="26"/>
      <c r="M2009" s="25"/>
      <c r="N2009" s="25"/>
      <c r="O2009" s="27"/>
      <c r="P2009" s="7"/>
      <c r="Q2009" s="16">
        <f>+IF(IFERROR(VLOOKUP(Tabla3[[#This Row],[Cliente factura]],Tabla4[[NIT]:[TOTAL CREDITO]],3,FALSE),0)="",0,IFERROR(VLOOKUP(Tabla3[[#This Row],[Cliente factura]],Tabla4[[NIT]:[TOTAL CREDITO]],3,FALSE),0))</f>
        <v>0</v>
      </c>
      <c r="R2009" s="9">
        <f>+IFERROR(VLOOKUP(Tabla3[[#This Row],[Cliente factura]],Tabla4[[NIT]:[TOTAL CREDITO]],6,FALSE),0)</f>
        <v>0</v>
      </c>
      <c r="S2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9" s="10" t="e">
        <f>VLOOKUP(Tabla3[[#This Row],[Razón social cliente factura]]&amp;Tabla3[[#This Row],[Desc. ciudad]],'Estandar de Rutas'!$C$1:$E$553,2,FALSE)</f>
        <v>#N/A</v>
      </c>
      <c r="U2009" s="130">
        <f>IFERROR(VLOOKUP(Tabla3[[#This Row],[Referencia]]&amp;Tabla3[[#This Row],[Desc detalle ext 1]],Tabla1[[Referencia-Color]:[Disponibilidad]],3,FALSE),0)</f>
        <v>0</v>
      </c>
      <c r="V2009" s="13"/>
      <c r="W2009" s="17">
        <f>+Tabla3[[#This Row],[Cant. Programada]]*Tabla3[[#This Row],[Precio unit]]</f>
        <v>0</v>
      </c>
      <c r="X2009" s="8"/>
      <c r="Y2009" s="8"/>
      <c r="Z2009" s="8" t="str">
        <f>+Tabla3[[#This Row],[Referencia]]&amp;Tabla3[[#This Row],[Desc detalle ext 1]]</f>
        <v/>
      </c>
      <c r="AA2009" s="128" t="e">
        <f>+VLOOKUP(Tabla3[[#This Row],[CODIGO2]],ESTANDAR!$B$3:$C$9,2,FALSE)</f>
        <v>#N/A</v>
      </c>
      <c r="AB2009" s="128" t="str">
        <f>+MID(Tabla3[[#This Row],['# Viaje]],10,1)</f>
        <v/>
      </c>
    </row>
    <row r="2010" spans="1:28" ht="15" hidden="1" customHeight="1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6"/>
      <c r="M2010" s="25"/>
      <c r="N2010" s="25"/>
      <c r="O2010" s="27"/>
      <c r="P2010" s="7"/>
      <c r="Q2010" s="16">
        <f>+IF(IFERROR(VLOOKUP(Tabla3[[#This Row],[Cliente factura]],Tabla4[[NIT]:[TOTAL CREDITO]],3,FALSE),0)="",0,IFERROR(VLOOKUP(Tabla3[[#This Row],[Cliente factura]],Tabla4[[NIT]:[TOTAL CREDITO]],3,FALSE),0))</f>
        <v>0</v>
      </c>
      <c r="R2010" s="9">
        <f>+IFERROR(VLOOKUP(Tabla3[[#This Row],[Cliente factura]],Tabla4[[NIT]:[TOTAL CREDITO]],6,FALSE),0)</f>
        <v>0</v>
      </c>
      <c r="S2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0" s="10" t="e">
        <f>VLOOKUP(Tabla3[[#This Row],[Razón social cliente factura]]&amp;Tabla3[[#This Row],[Desc. ciudad]],'Estandar de Rutas'!$C$1:$E$553,2,FALSE)</f>
        <v>#N/A</v>
      </c>
      <c r="U2010" s="130">
        <f>IFERROR(VLOOKUP(Tabla3[[#This Row],[Referencia]]&amp;Tabla3[[#This Row],[Desc detalle ext 1]],Tabla1[[Referencia-Color]:[Disponibilidad]],3,FALSE),0)</f>
        <v>0</v>
      </c>
      <c r="V2010" s="13"/>
      <c r="W2010" s="17">
        <f>+Tabla3[[#This Row],[Cant. Programada]]*Tabla3[[#This Row],[Precio unit]]</f>
        <v>0</v>
      </c>
      <c r="X2010" s="8"/>
      <c r="Y2010" s="8"/>
      <c r="Z2010" s="8" t="str">
        <f>+Tabla3[[#This Row],[Referencia]]&amp;Tabla3[[#This Row],[Desc detalle ext 1]]</f>
        <v/>
      </c>
      <c r="AA2010" s="128" t="e">
        <f>+VLOOKUP(Tabla3[[#This Row],[CODIGO2]],ESTANDAR!$B$3:$C$9,2,FALSE)</f>
        <v>#N/A</v>
      </c>
      <c r="AB2010" s="128" t="str">
        <f>+MID(Tabla3[[#This Row],['# Viaje]],10,1)</f>
        <v/>
      </c>
    </row>
    <row r="2011" spans="1:28" ht="15" hidden="1" customHeight="1">
      <c r="A2011" s="25"/>
      <c r="B2011" s="26"/>
      <c r="C2011" s="25"/>
      <c r="D2011" s="25"/>
      <c r="E2011" s="25"/>
      <c r="F2011" s="25"/>
      <c r="G2011" s="25"/>
      <c r="H2011" s="25"/>
      <c r="I2011" s="25"/>
      <c r="J2011" s="25"/>
      <c r="K2011" s="25"/>
      <c r="L2011" s="26"/>
      <c r="M2011" s="25"/>
      <c r="N2011" s="25"/>
      <c r="O2011" s="27"/>
      <c r="P2011" s="7"/>
      <c r="Q2011" s="16">
        <f>+IF(IFERROR(VLOOKUP(Tabla3[[#This Row],[Cliente factura]],Tabla4[[NIT]:[TOTAL CREDITO]],3,FALSE),0)="",0,IFERROR(VLOOKUP(Tabla3[[#This Row],[Cliente factura]],Tabla4[[NIT]:[TOTAL CREDITO]],3,FALSE),0))</f>
        <v>0</v>
      </c>
      <c r="R2011" s="9">
        <f>+IFERROR(VLOOKUP(Tabla3[[#This Row],[Cliente factura]],Tabla4[[NIT]:[TOTAL CREDITO]],6,FALSE),0)</f>
        <v>0</v>
      </c>
      <c r="S2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1" s="10" t="e">
        <f>VLOOKUP(Tabla3[[#This Row],[Razón social cliente factura]]&amp;Tabla3[[#This Row],[Desc. ciudad]],'Estandar de Rutas'!$C$1:$E$553,2,FALSE)</f>
        <v>#N/A</v>
      </c>
      <c r="U2011" s="130">
        <f>IFERROR(VLOOKUP(Tabla3[[#This Row],[Referencia]]&amp;Tabla3[[#This Row],[Desc detalle ext 1]],Tabla1[[Referencia-Color]:[Disponibilidad]],3,FALSE),0)</f>
        <v>0</v>
      </c>
      <c r="V2011" s="13"/>
      <c r="W2011" s="17">
        <f>+Tabla3[[#This Row],[Cant. Programada]]*Tabla3[[#This Row],[Precio unit]]</f>
        <v>0</v>
      </c>
      <c r="X2011" s="8"/>
      <c r="Y2011" s="8"/>
      <c r="Z2011" s="8" t="str">
        <f>+Tabla3[[#This Row],[Referencia]]&amp;Tabla3[[#This Row],[Desc detalle ext 1]]</f>
        <v/>
      </c>
      <c r="AA2011" s="128" t="e">
        <f>+VLOOKUP(Tabla3[[#This Row],[CODIGO2]],ESTANDAR!$B$3:$C$9,2,FALSE)</f>
        <v>#N/A</v>
      </c>
      <c r="AB2011" s="128" t="str">
        <f>+MID(Tabla3[[#This Row],['# Viaje]],10,1)</f>
        <v/>
      </c>
    </row>
    <row r="2012" spans="1:28" ht="15" hidden="1" customHeight="1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6"/>
      <c r="M2012" s="25"/>
      <c r="N2012" s="25"/>
      <c r="O2012" s="27"/>
      <c r="P2012" s="7"/>
      <c r="Q2012" s="16">
        <f>+IF(IFERROR(VLOOKUP(Tabla3[[#This Row],[Cliente factura]],Tabla4[[NIT]:[TOTAL CREDITO]],3,FALSE),0)="",0,IFERROR(VLOOKUP(Tabla3[[#This Row],[Cliente factura]],Tabla4[[NIT]:[TOTAL CREDITO]],3,FALSE),0))</f>
        <v>0</v>
      </c>
      <c r="R2012" s="9">
        <f>+IFERROR(VLOOKUP(Tabla3[[#This Row],[Cliente factura]],Tabla4[[NIT]:[TOTAL CREDITO]],6,FALSE),0)</f>
        <v>0</v>
      </c>
      <c r="S2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2" s="10" t="e">
        <f>VLOOKUP(Tabla3[[#This Row],[Razón social cliente factura]]&amp;Tabla3[[#This Row],[Desc. ciudad]],'Estandar de Rutas'!$C$1:$E$553,2,FALSE)</f>
        <v>#N/A</v>
      </c>
      <c r="U2012" s="130">
        <f>IFERROR(VLOOKUP(Tabla3[[#This Row],[Referencia]]&amp;Tabla3[[#This Row],[Desc detalle ext 1]],Tabla1[[Referencia-Color]:[Disponibilidad]],3,FALSE),0)</f>
        <v>0</v>
      </c>
      <c r="V2012" s="13"/>
      <c r="W2012" s="17">
        <f>+Tabla3[[#This Row],[Cant. Programada]]*Tabla3[[#This Row],[Precio unit]]</f>
        <v>0</v>
      </c>
      <c r="X2012" s="8"/>
      <c r="Y2012" s="8"/>
      <c r="Z2012" s="8" t="str">
        <f>+Tabla3[[#This Row],[Referencia]]&amp;Tabla3[[#This Row],[Desc detalle ext 1]]</f>
        <v/>
      </c>
      <c r="AA2012" s="128" t="e">
        <f>+VLOOKUP(Tabla3[[#This Row],[CODIGO2]],ESTANDAR!$B$3:$C$9,2,FALSE)</f>
        <v>#N/A</v>
      </c>
      <c r="AB2012" s="128" t="str">
        <f>+MID(Tabla3[[#This Row],['# Viaje]],10,1)</f>
        <v/>
      </c>
    </row>
    <row r="2013" spans="1:28" ht="15" hidden="1" customHeight="1">
      <c r="A2013" s="25"/>
      <c r="B2013" s="26"/>
      <c r="C2013" s="25"/>
      <c r="D2013" s="25"/>
      <c r="E2013" s="25"/>
      <c r="F2013" s="25"/>
      <c r="G2013" s="25"/>
      <c r="H2013" s="25"/>
      <c r="I2013" s="25"/>
      <c r="J2013" s="25"/>
      <c r="K2013" s="25"/>
      <c r="L2013" s="26"/>
      <c r="M2013" s="25"/>
      <c r="N2013" s="25"/>
      <c r="O2013" s="27"/>
      <c r="P2013" s="7"/>
      <c r="Q2013" s="16">
        <f>+IF(IFERROR(VLOOKUP(Tabla3[[#This Row],[Cliente factura]],Tabla4[[NIT]:[TOTAL CREDITO]],3,FALSE),0)="",0,IFERROR(VLOOKUP(Tabla3[[#This Row],[Cliente factura]],Tabla4[[NIT]:[TOTAL CREDITO]],3,FALSE),0))</f>
        <v>0</v>
      </c>
      <c r="R2013" s="9">
        <f>+IFERROR(VLOOKUP(Tabla3[[#This Row],[Cliente factura]],Tabla4[[NIT]:[TOTAL CREDITO]],6,FALSE),0)</f>
        <v>0</v>
      </c>
      <c r="S2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3" s="10" t="e">
        <f>VLOOKUP(Tabla3[[#This Row],[Razón social cliente factura]]&amp;Tabla3[[#This Row],[Desc. ciudad]],'Estandar de Rutas'!$C$1:$E$553,2,FALSE)</f>
        <v>#N/A</v>
      </c>
      <c r="U2013" s="130">
        <f>IFERROR(VLOOKUP(Tabla3[[#This Row],[Referencia]]&amp;Tabla3[[#This Row],[Desc detalle ext 1]],Tabla1[[Referencia-Color]:[Disponibilidad]],3,FALSE),0)</f>
        <v>0</v>
      </c>
      <c r="V2013" s="13"/>
      <c r="W2013" s="17">
        <f>+Tabla3[[#This Row],[Cant. Programada]]*Tabla3[[#This Row],[Precio unit]]</f>
        <v>0</v>
      </c>
      <c r="X2013" s="8"/>
      <c r="Y2013" s="8"/>
      <c r="Z2013" s="8" t="str">
        <f>+Tabla3[[#This Row],[Referencia]]&amp;Tabla3[[#This Row],[Desc detalle ext 1]]</f>
        <v/>
      </c>
      <c r="AA2013" s="128" t="e">
        <f>+VLOOKUP(Tabla3[[#This Row],[CODIGO2]],ESTANDAR!$B$3:$C$9,2,FALSE)</f>
        <v>#N/A</v>
      </c>
      <c r="AB2013" s="128" t="str">
        <f>+MID(Tabla3[[#This Row],['# Viaje]],10,1)</f>
        <v/>
      </c>
    </row>
    <row r="2014" spans="1:28" ht="15" hidden="1" customHeight="1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6"/>
      <c r="M2014" s="25"/>
      <c r="N2014" s="25"/>
      <c r="O2014" s="27"/>
      <c r="P2014" s="7"/>
      <c r="Q2014" s="16">
        <f>+IF(IFERROR(VLOOKUP(Tabla3[[#This Row],[Cliente factura]],Tabla4[[NIT]:[TOTAL CREDITO]],3,FALSE),0)="",0,IFERROR(VLOOKUP(Tabla3[[#This Row],[Cliente factura]],Tabla4[[NIT]:[TOTAL CREDITO]],3,FALSE),0))</f>
        <v>0</v>
      </c>
      <c r="R2014" s="9">
        <f>+IFERROR(VLOOKUP(Tabla3[[#This Row],[Cliente factura]],Tabla4[[NIT]:[TOTAL CREDITO]],6,FALSE),0)</f>
        <v>0</v>
      </c>
      <c r="S2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4" s="10" t="e">
        <f>VLOOKUP(Tabla3[[#This Row],[Razón social cliente factura]]&amp;Tabla3[[#This Row],[Desc. ciudad]],'Estandar de Rutas'!$C$1:$E$553,2,FALSE)</f>
        <v>#N/A</v>
      </c>
      <c r="U2014" s="130">
        <f>IFERROR(VLOOKUP(Tabla3[[#This Row],[Referencia]]&amp;Tabla3[[#This Row],[Desc detalle ext 1]],Tabla1[[Referencia-Color]:[Disponibilidad]],3,FALSE),0)</f>
        <v>0</v>
      </c>
      <c r="V2014" s="13"/>
      <c r="W2014" s="17">
        <f>+Tabla3[[#This Row],[Cant. Programada]]*Tabla3[[#This Row],[Precio unit]]</f>
        <v>0</v>
      </c>
      <c r="X2014" s="8"/>
      <c r="Y2014" s="8"/>
      <c r="Z2014" s="8" t="str">
        <f>+Tabla3[[#This Row],[Referencia]]&amp;Tabla3[[#This Row],[Desc detalle ext 1]]</f>
        <v/>
      </c>
      <c r="AA2014" s="128" t="e">
        <f>+VLOOKUP(Tabla3[[#This Row],[CODIGO2]],ESTANDAR!$B$3:$C$9,2,FALSE)</f>
        <v>#N/A</v>
      </c>
      <c r="AB2014" s="128" t="str">
        <f>+MID(Tabla3[[#This Row],['# Viaje]],10,1)</f>
        <v/>
      </c>
    </row>
    <row r="2015" spans="1:28" ht="15" hidden="1" customHeight="1">
      <c r="A2015" s="25"/>
      <c r="B2015" s="26"/>
      <c r="C2015" s="25"/>
      <c r="D2015" s="25"/>
      <c r="E2015" s="25"/>
      <c r="F2015" s="25"/>
      <c r="G2015" s="25"/>
      <c r="H2015" s="25"/>
      <c r="I2015" s="25"/>
      <c r="J2015" s="25"/>
      <c r="K2015" s="25"/>
      <c r="L2015" s="26"/>
      <c r="M2015" s="25"/>
      <c r="N2015" s="25"/>
      <c r="O2015" s="27"/>
      <c r="P2015" s="7"/>
      <c r="Q2015" s="16">
        <f>+IF(IFERROR(VLOOKUP(Tabla3[[#This Row],[Cliente factura]],Tabla4[[NIT]:[TOTAL CREDITO]],3,FALSE),0)="",0,IFERROR(VLOOKUP(Tabla3[[#This Row],[Cliente factura]],Tabla4[[NIT]:[TOTAL CREDITO]],3,FALSE),0))</f>
        <v>0</v>
      </c>
      <c r="R2015" s="9">
        <f>+IFERROR(VLOOKUP(Tabla3[[#This Row],[Cliente factura]],Tabla4[[NIT]:[TOTAL CREDITO]],6,FALSE),0)</f>
        <v>0</v>
      </c>
      <c r="S2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5" s="10" t="e">
        <f>VLOOKUP(Tabla3[[#This Row],[Razón social cliente factura]]&amp;Tabla3[[#This Row],[Desc. ciudad]],'Estandar de Rutas'!$C$1:$E$553,2,FALSE)</f>
        <v>#N/A</v>
      </c>
      <c r="U2015" s="130">
        <f>IFERROR(VLOOKUP(Tabla3[[#This Row],[Referencia]]&amp;Tabla3[[#This Row],[Desc detalle ext 1]],Tabla1[[Referencia-Color]:[Disponibilidad]],3,FALSE),0)</f>
        <v>0</v>
      </c>
      <c r="V2015" s="13"/>
      <c r="W2015" s="17">
        <f>+Tabla3[[#This Row],[Cant. Programada]]*Tabla3[[#This Row],[Precio unit]]</f>
        <v>0</v>
      </c>
      <c r="X2015" s="8"/>
      <c r="Y2015" s="8"/>
      <c r="Z2015" s="8" t="str">
        <f>+Tabla3[[#This Row],[Referencia]]&amp;Tabla3[[#This Row],[Desc detalle ext 1]]</f>
        <v/>
      </c>
      <c r="AA2015" s="128" t="e">
        <f>+VLOOKUP(Tabla3[[#This Row],[CODIGO2]],ESTANDAR!$B$3:$C$9,2,FALSE)</f>
        <v>#N/A</v>
      </c>
      <c r="AB2015" s="128" t="str">
        <f>+MID(Tabla3[[#This Row],['# Viaje]],10,1)</f>
        <v/>
      </c>
    </row>
    <row r="2016" spans="1:28" ht="15" hidden="1" customHeight="1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6"/>
      <c r="M2016" s="25"/>
      <c r="N2016" s="25"/>
      <c r="O2016" s="27"/>
      <c r="P2016" s="7"/>
      <c r="Q2016" s="16">
        <f>+IF(IFERROR(VLOOKUP(Tabla3[[#This Row],[Cliente factura]],Tabla4[[NIT]:[TOTAL CREDITO]],3,FALSE),0)="",0,IFERROR(VLOOKUP(Tabla3[[#This Row],[Cliente factura]],Tabla4[[NIT]:[TOTAL CREDITO]],3,FALSE),0))</f>
        <v>0</v>
      </c>
      <c r="R2016" s="9">
        <f>+IFERROR(VLOOKUP(Tabla3[[#This Row],[Cliente factura]],Tabla4[[NIT]:[TOTAL CREDITO]],6,FALSE),0)</f>
        <v>0</v>
      </c>
      <c r="S2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6" s="10" t="e">
        <f>VLOOKUP(Tabla3[[#This Row],[Razón social cliente factura]]&amp;Tabla3[[#This Row],[Desc. ciudad]],'Estandar de Rutas'!$C$1:$E$553,2,FALSE)</f>
        <v>#N/A</v>
      </c>
      <c r="U2016" s="130">
        <f>IFERROR(VLOOKUP(Tabla3[[#This Row],[Referencia]]&amp;Tabla3[[#This Row],[Desc detalle ext 1]],Tabla1[[Referencia-Color]:[Disponibilidad]],3,FALSE),0)</f>
        <v>0</v>
      </c>
      <c r="V2016" s="13"/>
      <c r="W2016" s="17">
        <f>+Tabla3[[#This Row],[Cant. Programada]]*Tabla3[[#This Row],[Precio unit]]</f>
        <v>0</v>
      </c>
      <c r="X2016" s="8"/>
      <c r="Y2016" s="8"/>
      <c r="Z2016" s="8" t="str">
        <f>+Tabla3[[#This Row],[Referencia]]&amp;Tabla3[[#This Row],[Desc detalle ext 1]]</f>
        <v/>
      </c>
      <c r="AA2016" s="128" t="e">
        <f>+VLOOKUP(Tabla3[[#This Row],[CODIGO2]],ESTANDAR!$B$3:$C$9,2,FALSE)</f>
        <v>#N/A</v>
      </c>
      <c r="AB2016" s="128" t="str">
        <f>+MID(Tabla3[[#This Row],['# Viaje]],10,1)</f>
        <v/>
      </c>
    </row>
    <row r="2017" spans="1:28" ht="15" hidden="1" customHeight="1">
      <c r="A2017" s="25"/>
      <c r="B2017" s="26"/>
      <c r="C2017" s="25"/>
      <c r="D2017" s="25"/>
      <c r="E2017" s="25"/>
      <c r="F2017" s="25"/>
      <c r="G2017" s="25"/>
      <c r="H2017" s="25"/>
      <c r="I2017" s="25"/>
      <c r="J2017" s="25"/>
      <c r="K2017" s="25"/>
      <c r="L2017" s="26"/>
      <c r="M2017" s="25"/>
      <c r="N2017" s="25"/>
      <c r="O2017" s="27"/>
      <c r="P2017" s="7"/>
      <c r="Q2017" s="16">
        <f>+IF(IFERROR(VLOOKUP(Tabla3[[#This Row],[Cliente factura]],Tabla4[[NIT]:[TOTAL CREDITO]],3,FALSE),0)="",0,IFERROR(VLOOKUP(Tabla3[[#This Row],[Cliente factura]],Tabla4[[NIT]:[TOTAL CREDITO]],3,FALSE),0))</f>
        <v>0</v>
      </c>
      <c r="R2017" s="9">
        <f>+IFERROR(VLOOKUP(Tabla3[[#This Row],[Cliente factura]],Tabla4[[NIT]:[TOTAL CREDITO]],6,FALSE),0)</f>
        <v>0</v>
      </c>
      <c r="S2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7" s="10" t="e">
        <f>VLOOKUP(Tabla3[[#This Row],[Razón social cliente factura]]&amp;Tabla3[[#This Row],[Desc. ciudad]],'Estandar de Rutas'!$C$1:$E$553,2,FALSE)</f>
        <v>#N/A</v>
      </c>
      <c r="U2017" s="130">
        <f>IFERROR(VLOOKUP(Tabla3[[#This Row],[Referencia]]&amp;Tabla3[[#This Row],[Desc detalle ext 1]],Tabla1[[Referencia-Color]:[Disponibilidad]],3,FALSE),0)</f>
        <v>0</v>
      </c>
      <c r="V2017" s="13"/>
      <c r="W2017" s="17">
        <f>+Tabla3[[#This Row],[Cant. Programada]]*Tabla3[[#This Row],[Precio unit]]</f>
        <v>0</v>
      </c>
      <c r="X2017" s="8"/>
      <c r="Y2017" s="8"/>
      <c r="Z2017" s="8" t="str">
        <f>+Tabla3[[#This Row],[Referencia]]&amp;Tabla3[[#This Row],[Desc detalle ext 1]]</f>
        <v/>
      </c>
      <c r="AA2017" s="128" t="e">
        <f>+VLOOKUP(Tabla3[[#This Row],[CODIGO2]],ESTANDAR!$B$3:$C$9,2,FALSE)</f>
        <v>#N/A</v>
      </c>
      <c r="AB2017" s="128" t="str">
        <f>+MID(Tabla3[[#This Row],['# Viaje]],10,1)</f>
        <v/>
      </c>
    </row>
    <row r="2018" spans="1:28" ht="15" hidden="1" customHeight="1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6"/>
      <c r="M2018" s="25"/>
      <c r="N2018" s="25"/>
      <c r="O2018" s="27"/>
      <c r="P2018" s="7"/>
      <c r="Q2018" s="16">
        <f>+IF(IFERROR(VLOOKUP(Tabla3[[#This Row],[Cliente factura]],Tabla4[[NIT]:[TOTAL CREDITO]],3,FALSE),0)="",0,IFERROR(VLOOKUP(Tabla3[[#This Row],[Cliente factura]],Tabla4[[NIT]:[TOTAL CREDITO]],3,FALSE),0))</f>
        <v>0</v>
      </c>
      <c r="R2018" s="9">
        <f>+IFERROR(VLOOKUP(Tabla3[[#This Row],[Cliente factura]],Tabla4[[NIT]:[TOTAL CREDITO]],6,FALSE),0)</f>
        <v>0</v>
      </c>
      <c r="S2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8" s="10" t="e">
        <f>VLOOKUP(Tabla3[[#This Row],[Razón social cliente factura]]&amp;Tabla3[[#This Row],[Desc. ciudad]],'Estandar de Rutas'!$C$1:$E$553,2,FALSE)</f>
        <v>#N/A</v>
      </c>
      <c r="U2018" s="130">
        <f>IFERROR(VLOOKUP(Tabla3[[#This Row],[Referencia]]&amp;Tabla3[[#This Row],[Desc detalle ext 1]],Tabla1[[Referencia-Color]:[Disponibilidad]],3,FALSE),0)</f>
        <v>0</v>
      </c>
      <c r="V2018" s="13"/>
      <c r="W2018" s="17">
        <f>+Tabla3[[#This Row],[Cant. Programada]]*Tabla3[[#This Row],[Precio unit]]</f>
        <v>0</v>
      </c>
      <c r="X2018" s="8"/>
      <c r="Y2018" s="8"/>
      <c r="Z2018" s="8" t="str">
        <f>+Tabla3[[#This Row],[Referencia]]&amp;Tabla3[[#This Row],[Desc detalle ext 1]]</f>
        <v/>
      </c>
      <c r="AA2018" s="128" t="e">
        <f>+VLOOKUP(Tabla3[[#This Row],[CODIGO2]],ESTANDAR!$B$3:$C$9,2,FALSE)</f>
        <v>#N/A</v>
      </c>
      <c r="AB2018" s="128" t="str">
        <f>+MID(Tabla3[[#This Row],['# Viaje]],10,1)</f>
        <v/>
      </c>
    </row>
    <row r="2019" spans="1:28" ht="15" hidden="1" customHeight="1">
      <c r="A2019" s="25"/>
      <c r="B2019" s="26"/>
      <c r="C2019" s="25"/>
      <c r="D2019" s="25"/>
      <c r="E2019" s="25"/>
      <c r="F2019" s="25"/>
      <c r="G2019" s="25"/>
      <c r="H2019" s="25"/>
      <c r="I2019" s="25"/>
      <c r="J2019" s="25"/>
      <c r="K2019" s="25"/>
      <c r="L2019" s="26"/>
      <c r="M2019" s="25"/>
      <c r="N2019" s="25"/>
      <c r="O2019" s="27"/>
      <c r="P2019" s="7"/>
      <c r="Q2019" s="16">
        <f>+IF(IFERROR(VLOOKUP(Tabla3[[#This Row],[Cliente factura]],Tabla4[[NIT]:[TOTAL CREDITO]],3,FALSE),0)="",0,IFERROR(VLOOKUP(Tabla3[[#This Row],[Cliente factura]],Tabla4[[NIT]:[TOTAL CREDITO]],3,FALSE),0))</f>
        <v>0</v>
      </c>
      <c r="R2019" s="9">
        <f>+IFERROR(VLOOKUP(Tabla3[[#This Row],[Cliente factura]],Tabla4[[NIT]:[TOTAL CREDITO]],6,FALSE),0)</f>
        <v>0</v>
      </c>
      <c r="S2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9" s="10" t="e">
        <f>VLOOKUP(Tabla3[[#This Row],[Razón social cliente factura]]&amp;Tabla3[[#This Row],[Desc. ciudad]],'Estandar de Rutas'!$C$1:$E$553,2,FALSE)</f>
        <v>#N/A</v>
      </c>
      <c r="U2019" s="130">
        <f>IFERROR(VLOOKUP(Tabla3[[#This Row],[Referencia]]&amp;Tabla3[[#This Row],[Desc detalle ext 1]],Tabla1[[Referencia-Color]:[Disponibilidad]],3,FALSE),0)</f>
        <v>0</v>
      </c>
      <c r="V2019" s="13"/>
      <c r="W2019" s="17">
        <f>+Tabla3[[#This Row],[Cant. Programada]]*Tabla3[[#This Row],[Precio unit]]</f>
        <v>0</v>
      </c>
      <c r="X2019" s="8"/>
      <c r="Y2019" s="8"/>
      <c r="Z2019" s="8" t="str">
        <f>+Tabla3[[#This Row],[Referencia]]&amp;Tabla3[[#This Row],[Desc detalle ext 1]]</f>
        <v/>
      </c>
      <c r="AA2019" s="128" t="e">
        <f>+VLOOKUP(Tabla3[[#This Row],[CODIGO2]],ESTANDAR!$B$3:$C$9,2,FALSE)</f>
        <v>#N/A</v>
      </c>
      <c r="AB2019" s="128" t="str">
        <f>+MID(Tabla3[[#This Row],['# Viaje]],10,1)</f>
        <v/>
      </c>
    </row>
    <row r="2020" spans="1:28" ht="15" hidden="1" customHeight="1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6"/>
      <c r="M2020" s="25"/>
      <c r="N2020" s="25"/>
      <c r="O2020" s="27"/>
      <c r="P2020" s="7"/>
      <c r="Q2020" s="16">
        <f>+IF(IFERROR(VLOOKUP(Tabla3[[#This Row],[Cliente factura]],Tabla4[[NIT]:[TOTAL CREDITO]],3,FALSE),0)="",0,IFERROR(VLOOKUP(Tabla3[[#This Row],[Cliente factura]],Tabla4[[NIT]:[TOTAL CREDITO]],3,FALSE),0))</f>
        <v>0</v>
      </c>
      <c r="R2020" s="9">
        <f>+IFERROR(VLOOKUP(Tabla3[[#This Row],[Cliente factura]],Tabla4[[NIT]:[TOTAL CREDITO]],6,FALSE),0)</f>
        <v>0</v>
      </c>
      <c r="S2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0" s="10" t="e">
        <f>VLOOKUP(Tabla3[[#This Row],[Razón social cliente factura]]&amp;Tabla3[[#This Row],[Desc. ciudad]],'Estandar de Rutas'!$C$1:$E$553,2,FALSE)</f>
        <v>#N/A</v>
      </c>
      <c r="U2020" s="130">
        <f>IFERROR(VLOOKUP(Tabla3[[#This Row],[Referencia]]&amp;Tabla3[[#This Row],[Desc detalle ext 1]],Tabla1[[Referencia-Color]:[Disponibilidad]],3,FALSE),0)</f>
        <v>0</v>
      </c>
      <c r="V2020" s="13"/>
      <c r="W2020" s="17">
        <f>+Tabla3[[#This Row],[Cant. Programada]]*Tabla3[[#This Row],[Precio unit]]</f>
        <v>0</v>
      </c>
      <c r="X2020" s="8"/>
      <c r="Y2020" s="8"/>
      <c r="Z2020" s="8" t="str">
        <f>+Tabla3[[#This Row],[Referencia]]&amp;Tabla3[[#This Row],[Desc detalle ext 1]]</f>
        <v/>
      </c>
      <c r="AA2020" s="128" t="e">
        <f>+VLOOKUP(Tabla3[[#This Row],[CODIGO2]],ESTANDAR!$B$3:$C$9,2,FALSE)</f>
        <v>#N/A</v>
      </c>
      <c r="AB2020" s="128" t="str">
        <f>+MID(Tabla3[[#This Row],['# Viaje]],10,1)</f>
        <v/>
      </c>
    </row>
    <row r="2021" spans="1:28" ht="15" hidden="1" customHeight="1">
      <c r="A2021" s="25"/>
      <c r="B2021" s="26"/>
      <c r="C2021" s="25"/>
      <c r="D2021" s="25"/>
      <c r="E2021" s="25"/>
      <c r="F2021" s="25"/>
      <c r="G2021" s="25"/>
      <c r="H2021" s="25"/>
      <c r="I2021" s="25"/>
      <c r="J2021" s="25"/>
      <c r="K2021" s="25"/>
      <c r="L2021" s="26"/>
      <c r="M2021" s="25"/>
      <c r="N2021" s="25"/>
      <c r="O2021" s="27"/>
      <c r="P2021" s="7"/>
      <c r="Q2021" s="16">
        <f>+IF(IFERROR(VLOOKUP(Tabla3[[#This Row],[Cliente factura]],Tabla4[[NIT]:[TOTAL CREDITO]],3,FALSE),0)="",0,IFERROR(VLOOKUP(Tabla3[[#This Row],[Cliente factura]],Tabla4[[NIT]:[TOTAL CREDITO]],3,FALSE),0))</f>
        <v>0</v>
      </c>
      <c r="R2021" s="9">
        <f>+IFERROR(VLOOKUP(Tabla3[[#This Row],[Cliente factura]],Tabla4[[NIT]:[TOTAL CREDITO]],6,FALSE),0)</f>
        <v>0</v>
      </c>
      <c r="S2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1" s="10" t="e">
        <f>VLOOKUP(Tabla3[[#This Row],[Razón social cliente factura]]&amp;Tabla3[[#This Row],[Desc. ciudad]],'Estandar de Rutas'!$C$1:$E$553,2,FALSE)</f>
        <v>#N/A</v>
      </c>
      <c r="U2021" s="130">
        <f>IFERROR(VLOOKUP(Tabla3[[#This Row],[Referencia]]&amp;Tabla3[[#This Row],[Desc detalle ext 1]],Tabla1[[Referencia-Color]:[Disponibilidad]],3,FALSE),0)</f>
        <v>0</v>
      </c>
      <c r="V2021" s="13"/>
      <c r="W2021" s="17">
        <f>+Tabla3[[#This Row],[Cant. Programada]]*Tabla3[[#This Row],[Precio unit]]</f>
        <v>0</v>
      </c>
      <c r="X2021" s="8"/>
      <c r="Y2021" s="8"/>
      <c r="Z2021" s="8" t="str">
        <f>+Tabla3[[#This Row],[Referencia]]&amp;Tabla3[[#This Row],[Desc detalle ext 1]]</f>
        <v/>
      </c>
      <c r="AA2021" s="128" t="e">
        <f>+VLOOKUP(Tabla3[[#This Row],[CODIGO2]],ESTANDAR!$B$3:$C$9,2,FALSE)</f>
        <v>#N/A</v>
      </c>
      <c r="AB2021" s="128" t="str">
        <f>+MID(Tabla3[[#This Row],['# Viaje]],10,1)</f>
        <v/>
      </c>
    </row>
    <row r="2022" spans="1:28" ht="15" hidden="1" customHeight="1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6"/>
      <c r="M2022" s="25"/>
      <c r="N2022" s="25"/>
      <c r="O2022" s="27"/>
      <c r="P2022" s="7"/>
      <c r="Q2022" s="16">
        <f>+IF(IFERROR(VLOOKUP(Tabla3[[#This Row],[Cliente factura]],Tabla4[[NIT]:[TOTAL CREDITO]],3,FALSE),0)="",0,IFERROR(VLOOKUP(Tabla3[[#This Row],[Cliente factura]],Tabla4[[NIT]:[TOTAL CREDITO]],3,FALSE),0))</f>
        <v>0</v>
      </c>
      <c r="R2022" s="9">
        <f>+IFERROR(VLOOKUP(Tabla3[[#This Row],[Cliente factura]],Tabla4[[NIT]:[TOTAL CREDITO]],6,FALSE),0)</f>
        <v>0</v>
      </c>
      <c r="S2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2" s="10" t="e">
        <f>VLOOKUP(Tabla3[[#This Row],[Razón social cliente factura]]&amp;Tabla3[[#This Row],[Desc. ciudad]],'Estandar de Rutas'!$C$1:$E$553,2,FALSE)</f>
        <v>#N/A</v>
      </c>
      <c r="U2022" s="130">
        <f>IFERROR(VLOOKUP(Tabla3[[#This Row],[Referencia]]&amp;Tabla3[[#This Row],[Desc detalle ext 1]],Tabla1[[Referencia-Color]:[Disponibilidad]],3,FALSE),0)</f>
        <v>0</v>
      </c>
      <c r="V2022" s="13"/>
      <c r="W2022" s="17">
        <f>+Tabla3[[#This Row],[Cant. Programada]]*Tabla3[[#This Row],[Precio unit]]</f>
        <v>0</v>
      </c>
      <c r="X2022" s="8"/>
      <c r="Y2022" s="8"/>
      <c r="Z2022" s="8" t="str">
        <f>+Tabla3[[#This Row],[Referencia]]&amp;Tabla3[[#This Row],[Desc detalle ext 1]]</f>
        <v/>
      </c>
      <c r="AA2022" s="128" t="e">
        <f>+VLOOKUP(Tabla3[[#This Row],[CODIGO2]],ESTANDAR!$B$3:$C$9,2,FALSE)</f>
        <v>#N/A</v>
      </c>
      <c r="AB2022" s="128" t="str">
        <f>+MID(Tabla3[[#This Row],['# Viaje]],10,1)</f>
        <v/>
      </c>
    </row>
    <row r="2023" spans="1:28" ht="15" hidden="1" customHeight="1">
      <c r="A2023" s="25"/>
      <c r="B2023" s="26"/>
      <c r="C2023" s="25"/>
      <c r="D2023" s="25"/>
      <c r="E2023" s="25"/>
      <c r="F2023" s="25"/>
      <c r="G2023" s="25"/>
      <c r="H2023" s="25"/>
      <c r="I2023" s="25"/>
      <c r="J2023" s="25"/>
      <c r="K2023" s="25"/>
      <c r="L2023" s="26"/>
      <c r="M2023" s="25"/>
      <c r="N2023" s="25"/>
      <c r="O2023" s="27"/>
      <c r="P2023" s="7"/>
      <c r="Q2023" s="16">
        <f>+IF(IFERROR(VLOOKUP(Tabla3[[#This Row],[Cliente factura]],Tabla4[[NIT]:[TOTAL CREDITO]],3,FALSE),0)="",0,IFERROR(VLOOKUP(Tabla3[[#This Row],[Cliente factura]],Tabla4[[NIT]:[TOTAL CREDITO]],3,FALSE),0))</f>
        <v>0</v>
      </c>
      <c r="R2023" s="9">
        <f>+IFERROR(VLOOKUP(Tabla3[[#This Row],[Cliente factura]],Tabla4[[NIT]:[TOTAL CREDITO]],6,FALSE),0)</f>
        <v>0</v>
      </c>
      <c r="S2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3" s="10" t="e">
        <f>VLOOKUP(Tabla3[[#This Row],[Razón social cliente factura]]&amp;Tabla3[[#This Row],[Desc. ciudad]],'Estandar de Rutas'!$C$1:$E$553,2,FALSE)</f>
        <v>#N/A</v>
      </c>
      <c r="U2023" s="130">
        <f>IFERROR(VLOOKUP(Tabla3[[#This Row],[Referencia]]&amp;Tabla3[[#This Row],[Desc detalle ext 1]],Tabla1[[Referencia-Color]:[Disponibilidad]],3,FALSE),0)</f>
        <v>0</v>
      </c>
      <c r="V2023" s="13"/>
      <c r="W2023" s="17">
        <f>+Tabla3[[#This Row],[Cant. Programada]]*Tabla3[[#This Row],[Precio unit]]</f>
        <v>0</v>
      </c>
      <c r="X2023" s="8"/>
      <c r="Y2023" s="8"/>
      <c r="Z2023" s="8" t="str">
        <f>+Tabla3[[#This Row],[Referencia]]&amp;Tabla3[[#This Row],[Desc detalle ext 1]]</f>
        <v/>
      </c>
      <c r="AA2023" s="128" t="e">
        <f>+VLOOKUP(Tabla3[[#This Row],[CODIGO2]],ESTANDAR!$B$3:$C$9,2,FALSE)</f>
        <v>#N/A</v>
      </c>
      <c r="AB2023" s="128" t="str">
        <f>+MID(Tabla3[[#This Row],['# Viaje]],10,1)</f>
        <v/>
      </c>
    </row>
    <row r="2024" spans="1:28" ht="15" hidden="1" customHeight="1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6"/>
      <c r="M2024" s="25"/>
      <c r="N2024" s="25"/>
      <c r="O2024" s="27"/>
      <c r="P2024" s="7"/>
      <c r="Q2024" s="16">
        <f>+IF(IFERROR(VLOOKUP(Tabla3[[#This Row],[Cliente factura]],Tabla4[[NIT]:[TOTAL CREDITO]],3,FALSE),0)="",0,IFERROR(VLOOKUP(Tabla3[[#This Row],[Cliente factura]],Tabla4[[NIT]:[TOTAL CREDITO]],3,FALSE),0))</f>
        <v>0</v>
      </c>
      <c r="R2024" s="9">
        <f>+IFERROR(VLOOKUP(Tabla3[[#This Row],[Cliente factura]],Tabla4[[NIT]:[TOTAL CREDITO]],6,FALSE),0)</f>
        <v>0</v>
      </c>
      <c r="S2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4" s="10" t="e">
        <f>VLOOKUP(Tabla3[[#This Row],[Razón social cliente factura]]&amp;Tabla3[[#This Row],[Desc. ciudad]],'Estandar de Rutas'!$C$1:$E$553,2,FALSE)</f>
        <v>#N/A</v>
      </c>
      <c r="U2024" s="130">
        <f>IFERROR(VLOOKUP(Tabla3[[#This Row],[Referencia]]&amp;Tabla3[[#This Row],[Desc detalle ext 1]],Tabla1[[Referencia-Color]:[Disponibilidad]],3,FALSE),0)</f>
        <v>0</v>
      </c>
      <c r="V2024" s="13"/>
      <c r="W2024" s="17">
        <f>+Tabla3[[#This Row],[Cant. Programada]]*Tabla3[[#This Row],[Precio unit]]</f>
        <v>0</v>
      </c>
      <c r="X2024" s="8"/>
      <c r="Y2024" s="8"/>
      <c r="Z2024" s="8" t="str">
        <f>+Tabla3[[#This Row],[Referencia]]&amp;Tabla3[[#This Row],[Desc detalle ext 1]]</f>
        <v/>
      </c>
      <c r="AA2024" s="128" t="e">
        <f>+VLOOKUP(Tabla3[[#This Row],[CODIGO2]],ESTANDAR!$B$3:$C$9,2,FALSE)</f>
        <v>#N/A</v>
      </c>
      <c r="AB2024" s="128" t="str">
        <f>+MID(Tabla3[[#This Row],['# Viaje]],10,1)</f>
        <v/>
      </c>
    </row>
    <row r="2025" spans="1:28" ht="15" hidden="1" customHeight="1">
      <c r="A2025" s="25"/>
      <c r="B2025" s="26"/>
      <c r="C2025" s="25"/>
      <c r="D2025" s="25"/>
      <c r="E2025" s="25"/>
      <c r="F2025" s="25"/>
      <c r="G2025" s="25"/>
      <c r="H2025" s="25"/>
      <c r="I2025" s="25"/>
      <c r="J2025" s="25"/>
      <c r="K2025" s="25"/>
      <c r="L2025" s="26"/>
      <c r="M2025" s="25"/>
      <c r="N2025" s="25"/>
      <c r="O2025" s="27"/>
      <c r="P2025" s="7"/>
      <c r="Q2025" s="16">
        <f>+IF(IFERROR(VLOOKUP(Tabla3[[#This Row],[Cliente factura]],Tabla4[[NIT]:[TOTAL CREDITO]],3,FALSE),0)="",0,IFERROR(VLOOKUP(Tabla3[[#This Row],[Cliente factura]],Tabla4[[NIT]:[TOTAL CREDITO]],3,FALSE),0))</f>
        <v>0</v>
      </c>
      <c r="R2025" s="9">
        <f>+IFERROR(VLOOKUP(Tabla3[[#This Row],[Cliente factura]],Tabla4[[NIT]:[TOTAL CREDITO]],6,FALSE),0)</f>
        <v>0</v>
      </c>
      <c r="S2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5" s="10" t="e">
        <f>VLOOKUP(Tabla3[[#This Row],[Razón social cliente factura]]&amp;Tabla3[[#This Row],[Desc. ciudad]],'Estandar de Rutas'!$C$1:$E$553,2,FALSE)</f>
        <v>#N/A</v>
      </c>
      <c r="U2025" s="130">
        <f>IFERROR(VLOOKUP(Tabla3[[#This Row],[Referencia]]&amp;Tabla3[[#This Row],[Desc detalle ext 1]],Tabla1[[Referencia-Color]:[Disponibilidad]],3,FALSE),0)</f>
        <v>0</v>
      </c>
      <c r="V2025" s="13"/>
      <c r="W2025" s="17">
        <f>+Tabla3[[#This Row],[Cant. Programada]]*Tabla3[[#This Row],[Precio unit]]</f>
        <v>0</v>
      </c>
      <c r="X2025" s="8"/>
      <c r="Y2025" s="8"/>
      <c r="Z2025" s="8" t="str">
        <f>+Tabla3[[#This Row],[Referencia]]&amp;Tabla3[[#This Row],[Desc detalle ext 1]]</f>
        <v/>
      </c>
      <c r="AA2025" s="128" t="e">
        <f>+VLOOKUP(Tabla3[[#This Row],[CODIGO2]],ESTANDAR!$B$3:$C$9,2,FALSE)</f>
        <v>#N/A</v>
      </c>
      <c r="AB2025" s="128" t="str">
        <f>+MID(Tabla3[[#This Row],['# Viaje]],10,1)</f>
        <v/>
      </c>
    </row>
    <row r="2026" spans="1:28" ht="15" hidden="1" customHeight="1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6"/>
      <c r="M2026" s="25"/>
      <c r="N2026" s="25"/>
      <c r="O2026" s="27"/>
      <c r="P2026" s="7"/>
      <c r="Q2026" s="16">
        <f>+IF(IFERROR(VLOOKUP(Tabla3[[#This Row],[Cliente factura]],Tabla4[[NIT]:[TOTAL CREDITO]],3,FALSE),0)="",0,IFERROR(VLOOKUP(Tabla3[[#This Row],[Cliente factura]],Tabla4[[NIT]:[TOTAL CREDITO]],3,FALSE),0))</f>
        <v>0</v>
      </c>
      <c r="R2026" s="9">
        <f>+IFERROR(VLOOKUP(Tabla3[[#This Row],[Cliente factura]],Tabla4[[NIT]:[TOTAL CREDITO]],6,FALSE),0)</f>
        <v>0</v>
      </c>
      <c r="S2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6" s="10" t="e">
        <f>VLOOKUP(Tabla3[[#This Row],[Razón social cliente factura]]&amp;Tabla3[[#This Row],[Desc. ciudad]],'Estandar de Rutas'!$C$1:$E$553,2,FALSE)</f>
        <v>#N/A</v>
      </c>
      <c r="U2026" s="130">
        <f>IFERROR(VLOOKUP(Tabla3[[#This Row],[Referencia]]&amp;Tabla3[[#This Row],[Desc detalle ext 1]],Tabla1[[Referencia-Color]:[Disponibilidad]],3,FALSE),0)</f>
        <v>0</v>
      </c>
      <c r="V2026" s="13"/>
      <c r="W2026" s="17">
        <f>+Tabla3[[#This Row],[Cant. Programada]]*Tabla3[[#This Row],[Precio unit]]</f>
        <v>0</v>
      </c>
      <c r="X2026" s="8"/>
      <c r="Y2026" s="8"/>
      <c r="Z2026" s="8" t="str">
        <f>+Tabla3[[#This Row],[Referencia]]&amp;Tabla3[[#This Row],[Desc detalle ext 1]]</f>
        <v/>
      </c>
      <c r="AA2026" s="128" t="e">
        <f>+VLOOKUP(Tabla3[[#This Row],[CODIGO2]],ESTANDAR!$B$3:$C$9,2,FALSE)</f>
        <v>#N/A</v>
      </c>
      <c r="AB2026" s="128" t="str">
        <f>+MID(Tabla3[[#This Row],['# Viaje]],10,1)</f>
        <v/>
      </c>
    </row>
    <row r="2027" spans="1:28" ht="15" hidden="1" customHeight="1">
      <c r="A2027" s="25"/>
      <c r="B2027" s="26"/>
      <c r="C2027" s="25"/>
      <c r="D2027" s="25"/>
      <c r="E2027" s="25"/>
      <c r="F2027" s="25"/>
      <c r="G2027" s="25"/>
      <c r="H2027" s="25"/>
      <c r="I2027" s="25"/>
      <c r="J2027" s="25"/>
      <c r="K2027" s="25"/>
      <c r="L2027" s="26"/>
      <c r="M2027" s="25"/>
      <c r="N2027" s="25"/>
      <c r="O2027" s="27"/>
      <c r="P2027" s="7"/>
      <c r="Q2027" s="16">
        <f>+IF(IFERROR(VLOOKUP(Tabla3[[#This Row],[Cliente factura]],Tabla4[[NIT]:[TOTAL CREDITO]],3,FALSE),0)="",0,IFERROR(VLOOKUP(Tabla3[[#This Row],[Cliente factura]],Tabla4[[NIT]:[TOTAL CREDITO]],3,FALSE),0))</f>
        <v>0</v>
      </c>
      <c r="R2027" s="9">
        <f>+IFERROR(VLOOKUP(Tabla3[[#This Row],[Cliente factura]],Tabla4[[NIT]:[TOTAL CREDITO]],6,FALSE),0)</f>
        <v>0</v>
      </c>
      <c r="S2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7" s="10" t="e">
        <f>VLOOKUP(Tabla3[[#This Row],[Razón social cliente factura]]&amp;Tabla3[[#This Row],[Desc. ciudad]],'Estandar de Rutas'!$C$1:$E$553,2,FALSE)</f>
        <v>#N/A</v>
      </c>
      <c r="U2027" s="130">
        <f>IFERROR(VLOOKUP(Tabla3[[#This Row],[Referencia]]&amp;Tabla3[[#This Row],[Desc detalle ext 1]],Tabla1[[Referencia-Color]:[Disponibilidad]],3,FALSE),0)</f>
        <v>0</v>
      </c>
      <c r="V2027" s="13"/>
      <c r="W2027" s="17">
        <f>+Tabla3[[#This Row],[Cant. Programada]]*Tabla3[[#This Row],[Precio unit]]</f>
        <v>0</v>
      </c>
      <c r="X2027" s="8"/>
      <c r="Y2027" s="8"/>
      <c r="Z2027" s="8" t="str">
        <f>+Tabla3[[#This Row],[Referencia]]&amp;Tabla3[[#This Row],[Desc detalle ext 1]]</f>
        <v/>
      </c>
      <c r="AA2027" s="128" t="e">
        <f>+VLOOKUP(Tabla3[[#This Row],[CODIGO2]],ESTANDAR!$B$3:$C$9,2,FALSE)</f>
        <v>#N/A</v>
      </c>
      <c r="AB2027" s="128" t="str">
        <f>+MID(Tabla3[[#This Row],['# Viaje]],10,1)</f>
        <v/>
      </c>
    </row>
    <row r="2028" spans="1:28" ht="15" hidden="1" customHeight="1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6"/>
      <c r="M2028" s="25"/>
      <c r="N2028" s="25"/>
      <c r="O2028" s="27"/>
      <c r="P2028" s="7"/>
      <c r="Q2028" s="16">
        <f>+IF(IFERROR(VLOOKUP(Tabla3[[#This Row],[Cliente factura]],Tabla4[[NIT]:[TOTAL CREDITO]],3,FALSE),0)="",0,IFERROR(VLOOKUP(Tabla3[[#This Row],[Cliente factura]],Tabla4[[NIT]:[TOTAL CREDITO]],3,FALSE),0))</f>
        <v>0</v>
      </c>
      <c r="R2028" s="9">
        <f>+IFERROR(VLOOKUP(Tabla3[[#This Row],[Cliente factura]],Tabla4[[NIT]:[TOTAL CREDITO]],6,FALSE),0)</f>
        <v>0</v>
      </c>
      <c r="S2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8" s="10" t="e">
        <f>VLOOKUP(Tabla3[[#This Row],[Razón social cliente factura]]&amp;Tabla3[[#This Row],[Desc. ciudad]],'Estandar de Rutas'!$C$1:$E$553,2,FALSE)</f>
        <v>#N/A</v>
      </c>
      <c r="U2028" s="130">
        <f>IFERROR(VLOOKUP(Tabla3[[#This Row],[Referencia]]&amp;Tabla3[[#This Row],[Desc detalle ext 1]],Tabla1[[Referencia-Color]:[Disponibilidad]],3,FALSE),0)</f>
        <v>0</v>
      </c>
      <c r="V2028" s="13"/>
      <c r="W2028" s="17">
        <f>+Tabla3[[#This Row],[Cant. Programada]]*Tabla3[[#This Row],[Precio unit]]</f>
        <v>0</v>
      </c>
      <c r="X2028" s="8"/>
      <c r="Y2028" s="8"/>
      <c r="Z2028" s="8" t="str">
        <f>+Tabla3[[#This Row],[Referencia]]&amp;Tabla3[[#This Row],[Desc detalle ext 1]]</f>
        <v/>
      </c>
      <c r="AA2028" s="128" t="e">
        <f>+VLOOKUP(Tabla3[[#This Row],[CODIGO2]],ESTANDAR!$B$3:$C$9,2,FALSE)</f>
        <v>#N/A</v>
      </c>
      <c r="AB2028" s="128" t="str">
        <f>+MID(Tabla3[[#This Row],['# Viaje]],10,1)</f>
        <v/>
      </c>
    </row>
    <row r="2029" spans="1:28" ht="15" hidden="1" customHeight="1">
      <c r="A2029" s="25"/>
      <c r="B2029" s="26"/>
      <c r="C2029" s="25"/>
      <c r="D2029" s="25"/>
      <c r="E2029" s="25"/>
      <c r="F2029" s="25"/>
      <c r="G2029" s="25"/>
      <c r="H2029" s="25"/>
      <c r="I2029" s="25"/>
      <c r="J2029" s="25"/>
      <c r="K2029" s="25"/>
      <c r="L2029" s="26"/>
      <c r="M2029" s="25"/>
      <c r="N2029" s="25"/>
      <c r="O2029" s="27"/>
      <c r="P2029" s="7"/>
      <c r="Q2029" s="16">
        <f>+IF(IFERROR(VLOOKUP(Tabla3[[#This Row],[Cliente factura]],Tabla4[[NIT]:[TOTAL CREDITO]],3,FALSE),0)="",0,IFERROR(VLOOKUP(Tabla3[[#This Row],[Cliente factura]],Tabla4[[NIT]:[TOTAL CREDITO]],3,FALSE),0))</f>
        <v>0</v>
      </c>
      <c r="R2029" s="9">
        <f>+IFERROR(VLOOKUP(Tabla3[[#This Row],[Cliente factura]],Tabla4[[NIT]:[TOTAL CREDITO]],6,FALSE),0)</f>
        <v>0</v>
      </c>
      <c r="S2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9" s="10" t="e">
        <f>VLOOKUP(Tabla3[[#This Row],[Razón social cliente factura]]&amp;Tabla3[[#This Row],[Desc. ciudad]],'Estandar de Rutas'!$C$1:$E$553,2,FALSE)</f>
        <v>#N/A</v>
      </c>
      <c r="U2029" s="130">
        <f>IFERROR(VLOOKUP(Tabla3[[#This Row],[Referencia]]&amp;Tabla3[[#This Row],[Desc detalle ext 1]],Tabla1[[Referencia-Color]:[Disponibilidad]],3,FALSE),0)</f>
        <v>0</v>
      </c>
      <c r="V2029" s="13"/>
      <c r="W2029" s="17">
        <f>+Tabla3[[#This Row],[Cant. Programada]]*Tabla3[[#This Row],[Precio unit]]</f>
        <v>0</v>
      </c>
      <c r="X2029" s="8"/>
      <c r="Y2029" s="8"/>
      <c r="Z2029" s="8" t="str">
        <f>+Tabla3[[#This Row],[Referencia]]&amp;Tabla3[[#This Row],[Desc detalle ext 1]]</f>
        <v/>
      </c>
      <c r="AA2029" s="128" t="e">
        <f>+VLOOKUP(Tabla3[[#This Row],[CODIGO2]],ESTANDAR!$B$3:$C$9,2,FALSE)</f>
        <v>#N/A</v>
      </c>
      <c r="AB2029" s="128" t="str">
        <f>+MID(Tabla3[[#This Row],['# Viaje]],10,1)</f>
        <v/>
      </c>
    </row>
    <row r="2030" spans="1:28" ht="15" hidden="1" customHeight="1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6"/>
      <c r="M2030" s="25"/>
      <c r="N2030" s="25"/>
      <c r="O2030" s="27"/>
      <c r="P2030" s="7"/>
      <c r="Q2030" s="16">
        <f>+IF(IFERROR(VLOOKUP(Tabla3[[#This Row],[Cliente factura]],Tabla4[[NIT]:[TOTAL CREDITO]],3,FALSE),0)="",0,IFERROR(VLOOKUP(Tabla3[[#This Row],[Cliente factura]],Tabla4[[NIT]:[TOTAL CREDITO]],3,FALSE),0))</f>
        <v>0</v>
      </c>
      <c r="R2030" s="9">
        <f>+IFERROR(VLOOKUP(Tabla3[[#This Row],[Cliente factura]],Tabla4[[NIT]:[TOTAL CREDITO]],6,FALSE),0)</f>
        <v>0</v>
      </c>
      <c r="S2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0" s="10" t="e">
        <f>VLOOKUP(Tabla3[[#This Row],[Razón social cliente factura]]&amp;Tabla3[[#This Row],[Desc. ciudad]],'Estandar de Rutas'!$C$1:$E$553,2,FALSE)</f>
        <v>#N/A</v>
      </c>
      <c r="U2030" s="130">
        <f>IFERROR(VLOOKUP(Tabla3[[#This Row],[Referencia]]&amp;Tabla3[[#This Row],[Desc detalle ext 1]],Tabla1[[Referencia-Color]:[Disponibilidad]],3,FALSE),0)</f>
        <v>0</v>
      </c>
      <c r="V2030" s="13"/>
      <c r="W2030" s="17">
        <f>+Tabla3[[#This Row],[Cant. Programada]]*Tabla3[[#This Row],[Precio unit]]</f>
        <v>0</v>
      </c>
      <c r="X2030" s="8"/>
      <c r="Y2030" s="8"/>
      <c r="Z2030" s="8" t="str">
        <f>+Tabla3[[#This Row],[Referencia]]&amp;Tabla3[[#This Row],[Desc detalle ext 1]]</f>
        <v/>
      </c>
      <c r="AA2030" s="128" t="e">
        <f>+VLOOKUP(Tabla3[[#This Row],[CODIGO2]],ESTANDAR!$B$3:$C$9,2,FALSE)</f>
        <v>#N/A</v>
      </c>
      <c r="AB2030" s="128" t="str">
        <f>+MID(Tabla3[[#This Row],['# Viaje]],10,1)</f>
        <v/>
      </c>
    </row>
    <row r="2031" spans="1:28" ht="15" hidden="1" customHeight="1">
      <c r="A2031" s="25"/>
      <c r="B2031" s="26"/>
      <c r="C2031" s="25"/>
      <c r="D2031" s="25"/>
      <c r="E2031" s="25"/>
      <c r="F2031" s="25"/>
      <c r="G2031" s="25"/>
      <c r="H2031" s="25"/>
      <c r="I2031" s="25"/>
      <c r="J2031" s="25"/>
      <c r="K2031" s="25"/>
      <c r="L2031" s="26"/>
      <c r="M2031" s="25"/>
      <c r="N2031" s="25"/>
      <c r="O2031" s="27"/>
      <c r="P2031" s="7"/>
      <c r="Q2031" s="16">
        <f>+IF(IFERROR(VLOOKUP(Tabla3[[#This Row],[Cliente factura]],Tabla4[[NIT]:[TOTAL CREDITO]],3,FALSE),0)="",0,IFERROR(VLOOKUP(Tabla3[[#This Row],[Cliente factura]],Tabla4[[NIT]:[TOTAL CREDITO]],3,FALSE),0))</f>
        <v>0</v>
      </c>
      <c r="R2031" s="9">
        <f>+IFERROR(VLOOKUP(Tabla3[[#This Row],[Cliente factura]],Tabla4[[NIT]:[TOTAL CREDITO]],6,FALSE),0)</f>
        <v>0</v>
      </c>
      <c r="S2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1" s="10" t="e">
        <f>VLOOKUP(Tabla3[[#This Row],[Razón social cliente factura]]&amp;Tabla3[[#This Row],[Desc. ciudad]],'Estandar de Rutas'!$C$1:$E$553,2,FALSE)</f>
        <v>#N/A</v>
      </c>
      <c r="U2031" s="130">
        <f>IFERROR(VLOOKUP(Tabla3[[#This Row],[Referencia]]&amp;Tabla3[[#This Row],[Desc detalle ext 1]],Tabla1[[Referencia-Color]:[Disponibilidad]],3,FALSE),0)</f>
        <v>0</v>
      </c>
      <c r="V2031" s="13"/>
      <c r="W2031" s="17">
        <f>+Tabla3[[#This Row],[Cant. Programada]]*Tabla3[[#This Row],[Precio unit]]</f>
        <v>0</v>
      </c>
      <c r="X2031" s="8"/>
      <c r="Y2031" s="8"/>
      <c r="Z2031" s="8" t="str">
        <f>+Tabla3[[#This Row],[Referencia]]&amp;Tabla3[[#This Row],[Desc detalle ext 1]]</f>
        <v/>
      </c>
      <c r="AA2031" s="128" t="e">
        <f>+VLOOKUP(Tabla3[[#This Row],[CODIGO2]],ESTANDAR!$B$3:$C$9,2,FALSE)</f>
        <v>#N/A</v>
      </c>
      <c r="AB2031" s="128" t="str">
        <f>+MID(Tabla3[[#This Row],['# Viaje]],10,1)</f>
        <v/>
      </c>
    </row>
    <row r="2032" spans="1:28" ht="15" hidden="1" customHeight="1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6"/>
      <c r="M2032" s="25"/>
      <c r="N2032" s="25"/>
      <c r="O2032" s="27"/>
      <c r="P2032" s="7"/>
      <c r="Q2032" s="16">
        <f>+IF(IFERROR(VLOOKUP(Tabla3[[#This Row],[Cliente factura]],Tabla4[[NIT]:[TOTAL CREDITO]],3,FALSE),0)="",0,IFERROR(VLOOKUP(Tabla3[[#This Row],[Cliente factura]],Tabla4[[NIT]:[TOTAL CREDITO]],3,FALSE),0))</f>
        <v>0</v>
      </c>
      <c r="R2032" s="9">
        <f>+IFERROR(VLOOKUP(Tabla3[[#This Row],[Cliente factura]],Tabla4[[NIT]:[TOTAL CREDITO]],6,FALSE),0)</f>
        <v>0</v>
      </c>
      <c r="S2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2" s="10" t="e">
        <f>VLOOKUP(Tabla3[[#This Row],[Razón social cliente factura]]&amp;Tabla3[[#This Row],[Desc. ciudad]],'Estandar de Rutas'!$C$1:$E$553,2,FALSE)</f>
        <v>#N/A</v>
      </c>
      <c r="U2032" s="130">
        <f>IFERROR(VLOOKUP(Tabla3[[#This Row],[Referencia]]&amp;Tabla3[[#This Row],[Desc detalle ext 1]],Tabla1[[Referencia-Color]:[Disponibilidad]],3,FALSE),0)</f>
        <v>0</v>
      </c>
      <c r="V2032" s="13"/>
      <c r="W2032" s="17">
        <f>+Tabla3[[#This Row],[Cant. Programada]]*Tabla3[[#This Row],[Precio unit]]</f>
        <v>0</v>
      </c>
      <c r="X2032" s="8"/>
      <c r="Y2032" s="8"/>
      <c r="Z2032" s="8" t="str">
        <f>+Tabla3[[#This Row],[Referencia]]&amp;Tabla3[[#This Row],[Desc detalle ext 1]]</f>
        <v/>
      </c>
      <c r="AA2032" s="128" t="e">
        <f>+VLOOKUP(Tabla3[[#This Row],[CODIGO2]],ESTANDAR!$B$3:$C$9,2,FALSE)</f>
        <v>#N/A</v>
      </c>
      <c r="AB2032" s="128" t="str">
        <f>+MID(Tabla3[[#This Row],['# Viaje]],10,1)</f>
        <v/>
      </c>
    </row>
    <row r="2033" spans="1:28" ht="15" hidden="1" customHeight="1">
      <c r="A2033" s="25"/>
      <c r="B2033" s="26"/>
      <c r="C2033" s="25"/>
      <c r="D2033" s="25"/>
      <c r="E2033" s="25"/>
      <c r="F2033" s="25"/>
      <c r="G2033" s="25"/>
      <c r="H2033" s="25"/>
      <c r="I2033" s="25"/>
      <c r="J2033" s="25"/>
      <c r="K2033" s="25"/>
      <c r="L2033" s="26"/>
      <c r="M2033" s="25"/>
      <c r="N2033" s="25"/>
      <c r="O2033" s="27"/>
      <c r="P2033" s="7"/>
      <c r="Q2033" s="16">
        <f>+IF(IFERROR(VLOOKUP(Tabla3[[#This Row],[Cliente factura]],Tabla4[[NIT]:[TOTAL CREDITO]],3,FALSE),0)="",0,IFERROR(VLOOKUP(Tabla3[[#This Row],[Cliente factura]],Tabla4[[NIT]:[TOTAL CREDITO]],3,FALSE),0))</f>
        <v>0</v>
      </c>
      <c r="R2033" s="9">
        <f>+IFERROR(VLOOKUP(Tabla3[[#This Row],[Cliente factura]],Tabla4[[NIT]:[TOTAL CREDITO]],6,FALSE),0)</f>
        <v>0</v>
      </c>
      <c r="S2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3" s="10" t="e">
        <f>VLOOKUP(Tabla3[[#This Row],[Razón social cliente factura]]&amp;Tabla3[[#This Row],[Desc. ciudad]],'Estandar de Rutas'!$C$1:$E$553,2,FALSE)</f>
        <v>#N/A</v>
      </c>
      <c r="U2033" s="130">
        <f>IFERROR(VLOOKUP(Tabla3[[#This Row],[Referencia]]&amp;Tabla3[[#This Row],[Desc detalle ext 1]],Tabla1[[Referencia-Color]:[Disponibilidad]],3,FALSE),0)</f>
        <v>0</v>
      </c>
      <c r="V2033" s="13"/>
      <c r="W2033" s="17">
        <f>+Tabla3[[#This Row],[Cant. Programada]]*Tabla3[[#This Row],[Precio unit]]</f>
        <v>0</v>
      </c>
      <c r="X2033" s="8"/>
      <c r="Y2033" s="8"/>
      <c r="Z2033" s="8" t="str">
        <f>+Tabla3[[#This Row],[Referencia]]&amp;Tabla3[[#This Row],[Desc detalle ext 1]]</f>
        <v/>
      </c>
      <c r="AA2033" s="128" t="e">
        <f>+VLOOKUP(Tabla3[[#This Row],[CODIGO2]],ESTANDAR!$B$3:$C$9,2,FALSE)</f>
        <v>#N/A</v>
      </c>
      <c r="AB2033" s="128" t="str">
        <f>+MID(Tabla3[[#This Row],['# Viaje]],10,1)</f>
        <v/>
      </c>
    </row>
    <row r="2034" spans="1:28" ht="15" hidden="1" customHeight="1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6"/>
      <c r="M2034" s="25"/>
      <c r="N2034" s="25"/>
      <c r="O2034" s="27"/>
      <c r="P2034" s="7"/>
      <c r="Q2034" s="16">
        <f>+IF(IFERROR(VLOOKUP(Tabla3[[#This Row],[Cliente factura]],Tabla4[[NIT]:[TOTAL CREDITO]],3,FALSE),0)="",0,IFERROR(VLOOKUP(Tabla3[[#This Row],[Cliente factura]],Tabla4[[NIT]:[TOTAL CREDITO]],3,FALSE),0))</f>
        <v>0</v>
      </c>
      <c r="R2034" s="9">
        <f>+IFERROR(VLOOKUP(Tabla3[[#This Row],[Cliente factura]],Tabla4[[NIT]:[TOTAL CREDITO]],6,FALSE),0)</f>
        <v>0</v>
      </c>
      <c r="S2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4" s="10" t="e">
        <f>VLOOKUP(Tabla3[[#This Row],[Razón social cliente factura]]&amp;Tabla3[[#This Row],[Desc. ciudad]],'Estandar de Rutas'!$C$1:$E$553,2,FALSE)</f>
        <v>#N/A</v>
      </c>
      <c r="U2034" s="130">
        <f>IFERROR(VLOOKUP(Tabla3[[#This Row],[Referencia]]&amp;Tabla3[[#This Row],[Desc detalle ext 1]],Tabla1[[Referencia-Color]:[Disponibilidad]],3,FALSE),0)</f>
        <v>0</v>
      </c>
      <c r="V2034" s="13"/>
      <c r="W2034" s="17">
        <f>+Tabla3[[#This Row],[Cant. Programada]]*Tabla3[[#This Row],[Precio unit]]</f>
        <v>0</v>
      </c>
      <c r="X2034" s="8"/>
      <c r="Y2034" s="8"/>
      <c r="Z2034" s="8" t="str">
        <f>+Tabla3[[#This Row],[Referencia]]&amp;Tabla3[[#This Row],[Desc detalle ext 1]]</f>
        <v/>
      </c>
      <c r="AA2034" s="128" t="e">
        <f>+VLOOKUP(Tabla3[[#This Row],[CODIGO2]],ESTANDAR!$B$3:$C$9,2,FALSE)</f>
        <v>#N/A</v>
      </c>
      <c r="AB2034" s="128" t="str">
        <f>+MID(Tabla3[[#This Row],['# Viaje]],10,1)</f>
        <v/>
      </c>
    </row>
    <row r="2035" spans="1:28" ht="15" hidden="1" customHeight="1">
      <c r="A2035" s="25"/>
      <c r="B2035" s="26"/>
      <c r="C2035" s="25"/>
      <c r="D2035" s="25"/>
      <c r="E2035" s="25"/>
      <c r="F2035" s="25"/>
      <c r="G2035" s="25"/>
      <c r="H2035" s="25"/>
      <c r="I2035" s="25"/>
      <c r="J2035" s="25"/>
      <c r="K2035" s="25"/>
      <c r="L2035" s="26"/>
      <c r="M2035" s="25"/>
      <c r="N2035" s="25"/>
      <c r="O2035" s="27"/>
      <c r="P2035" s="7"/>
      <c r="Q2035" s="16">
        <f>+IF(IFERROR(VLOOKUP(Tabla3[[#This Row],[Cliente factura]],Tabla4[[NIT]:[TOTAL CREDITO]],3,FALSE),0)="",0,IFERROR(VLOOKUP(Tabla3[[#This Row],[Cliente factura]],Tabla4[[NIT]:[TOTAL CREDITO]],3,FALSE),0))</f>
        <v>0</v>
      </c>
      <c r="R2035" s="9">
        <f>+IFERROR(VLOOKUP(Tabla3[[#This Row],[Cliente factura]],Tabla4[[NIT]:[TOTAL CREDITO]],6,FALSE),0)</f>
        <v>0</v>
      </c>
      <c r="S2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5" s="10" t="e">
        <f>VLOOKUP(Tabla3[[#This Row],[Razón social cliente factura]]&amp;Tabla3[[#This Row],[Desc. ciudad]],'Estandar de Rutas'!$C$1:$E$553,2,FALSE)</f>
        <v>#N/A</v>
      </c>
      <c r="U2035" s="130">
        <f>IFERROR(VLOOKUP(Tabla3[[#This Row],[Referencia]]&amp;Tabla3[[#This Row],[Desc detalle ext 1]],Tabla1[[Referencia-Color]:[Disponibilidad]],3,FALSE),0)</f>
        <v>0</v>
      </c>
      <c r="V2035" s="13"/>
      <c r="W2035" s="17">
        <f>+Tabla3[[#This Row],[Cant. Programada]]*Tabla3[[#This Row],[Precio unit]]</f>
        <v>0</v>
      </c>
      <c r="X2035" s="8"/>
      <c r="Y2035" s="8"/>
      <c r="Z2035" s="8" t="str">
        <f>+Tabla3[[#This Row],[Referencia]]&amp;Tabla3[[#This Row],[Desc detalle ext 1]]</f>
        <v/>
      </c>
      <c r="AA2035" s="128" t="e">
        <f>+VLOOKUP(Tabla3[[#This Row],[CODIGO2]],ESTANDAR!$B$3:$C$9,2,FALSE)</f>
        <v>#N/A</v>
      </c>
      <c r="AB2035" s="128" t="str">
        <f>+MID(Tabla3[[#This Row],['# Viaje]],10,1)</f>
        <v/>
      </c>
    </row>
    <row r="2036" spans="1:28" ht="15" hidden="1" customHeight="1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6"/>
      <c r="M2036" s="25"/>
      <c r="N2036" s="25"/>
      <c r="O2036" s="27"/>
      <c r="P2036" s="7"/>
      <c r="Q2036" s="16">
        <f>+IF(IFERROR(VLOOKUP(Tabla3[[#This Row],[Cliente factura]],Tabla4[[NIT]:[TOTAL CREDITO]],3,FALSE),0)="",0,IFERROR(VLOOKUP(Tabla3[[#This Row],[Cliente factura]],Tabla4[[NIT]:[TOTAL CREDITO]],3,FALSE),0))</f>
        <v>0</v>
      </c>
      <c r="R2036" s="9">
        <f>+IFERROR(VLOOKUP(Tabla3[[#This Row],[Cliente factura]],Tabla4[[NIT]:[TOTAL CREDITO]],6,FALSE),0)</f>
        <v>0</v>
      </c>
      <c r="S2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6" s="10" t="e">
        <f>VLOOKUP(Tabla3[[#This Row],[Razón social cliente factura]]&amp;Tabla3[[#This Row],[Desc. ciudad]],'Estandar de Rutas'!$C$1:$E$553,2,FALSE)</f>
        <v>#N/A</v>
      </c>
      <c r="U2036" s="130">
        <f>IFERROR(VLOOKUP(Tabla3[[#This Row],[Referencia]]&amp;Tabla3[[#This Row],[Desc detalle ext 1]],Tabla1[[Referencia-Color]:[Disponibilidad]],3,FALSE),0)</f>
        <v>0</v>
      </c>
      <c r="V2036" s="13"/>
      <c r="W2036" s="17">
        <f>+Tabla3[[#This Row],[Cant. Programada]]*Tabla3[[#This Row],[Precio unit]]</f>
        <v>0</v>
      </c>
      <c r="X2036" s="8"/>
      <c r="Y2036" s="8"/>
      <c r="Z2036" s="8" t="str">
        <f>+Tabla3[[#This Row],[Referencia]]&amp;Tabla3[[#This Row],[Desc detalle ext 1]]</f>
        <v/>
      </c>
      <c r="AA2036" s="128" t="e">
        <f>+VLOOKUP(Tabla3[[#This Row],[CODIGO2]],ESTANDAR!$B$3:$C$9,2,FALSE)</f>
        <v>#N/A</v>
      </c>
      <c r="AB2036" s="128" t="str">
        <f>+MID(Tabla3[[#This Row],['# Viaje]],10,1)</f>
        <v/>
      </c>
    </row>
    <row r="2037" spans="1:28" ht="15" hidden="1" customHeight="1">
      <c r="A2037" s="25"/>
      <c r="B2037" s="26"/>
      <c r="C2037" s="25"/>
      <c r="D2037" s="25"/>
      <c r="E2037" s="25"/>
      <c r="F2037" s="25"/>
      <c r="G2037" s="25"/>
      <c r="H2037" s="25"/>
      <c r="I2037" s="25"/>
      <c r="J2037" s="25"/>
      <c r="K2037" s="25"/>
      <c r="L2037" s="26"/>
      <c r="M2037" s="25"/>
      <c r="N2037" s="25"/>
      <c r="O2037" s="27"/>
      <c r="P2037" s="7"/>
      <c r="Q2037" s="16">
        <f>+IF(IFERROR(VLOOKUP(Tabla3[[#This Row],[Cliente factura]],Tabla4[[NIT]:[TOTAL CREDITO]],3,FALSE),0)="",0,IFERROR(VLOOKUP(Tabla3[[#This Row],[Cliente factura]],Tabla4[[NIT]:[TOTAL CREDITO]],3,FALSE),0))</f>
        <v>0</v>
      </c>
      <c r="R2037" s="9">
        <f>+IFERROR(VLOOKUP(Tabla3[[#This Row],[Cliente factura]],Tabla4[[NIT]:[TOTAL CREDITO]],6,FALSE),0)</f>
        <v>0</v>
      </c>
      <c r="S2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7" s="10" t="e">
        <f>VLOOKUP(Tabla3[[#This Row],[Razón social cliente factura]]&amp;Tabla3[[#This Row],[Desc. ciudad]],'Estandar de Rutas'!$C$1:$E$553,2,FALSE)</f>
        <v>#N/A</v>
      </c>
      <c r="U2037" s="130">
        <f>IFERROR(VLOOKUP(Tabla3[[#This Row],[Referencia]]&amp;Tabla3[[#This Row],[Desc detalle ext 1]],Tabla1[[Referencia-Color]:[Disponibilidad]],3,FALSE),0)</f>
        <v>0</v>
      </c>
      <c r="V2037" s="13"/>
      <c r="W2037" s="17">
        <f>+Tabla3[[#This Row],[Cant. Programada]]*Tabla3[[#This Row],[Precio unit]]</f>
        <v>0</v>
      </c>
      <c r="X2037" s="8"/>
      <c r="Y2037" s="8"/>
      <c r="Z2037" s="8" t="str">
        <f>+Tabla3[[#This Row],[Referencia]]&amp;Tabla3[[#This Row],[Desc detalle ext 1]]</f>
        <v/>
      </c>
      <c r="AA2037" s="128" t="e">
        <f>+VLOOKUP(Tabla3[[#This Row],[CODIGO2]],ESTANDAR!$B$3:$C$9,2,FALSE)</f>
        <v>#N/A</v>
      </c>
      <c r="AB2037" s="128" t="str">
        <f>+MID(Tabla3[[#This Row],['# Viaje]],10,1)</f>
        <v/>
      </c>
    </row>
    <row r="2038" spans="1:28" ht="15" hidden="1" customHeight="1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6"/>
      <c r="M2038" s="25"/>
      <c r="N2038" s="25"/>
      <c r="O2038" s="27"/>
      <c r="P2038" s="7"/>
      <c r="Q2038" s="16">
        <f>+IF(IFERROR(VLOOKUP(Tabla3[[#This Row],[Cliente factura]],Tabla4[[NIT]:[TOTAL CREDITO]],3,FALSE),0)="",0,IFERROR(VLOOKUP(Tabla3[[#This Row],[Cliente factura]],Tabla4[[NIT]:[TOTAL CREDITO]],3,FALSE),0))</f>
        <v>0</v>
      </c>
      <c r="R2038" s="9">
        <f>+IFERROR(VLOOKUP(Tabla3[[#This Row],[Cliente factura]],Tabla4[[NIT]:[TOTAL CREDITO]],6,FALSE),0)</f>
        <v>0</v>
      </c>
      <c r="S2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8" s="10" t="e">
        <f>VLOOKUP(Tabla3[[#This Row],[Razón social cliente factura]]&amp;Tabla3[[#This Row],[Desc. ciudad]],'Estandar de Rutas'!$C$1:$E$553,2,FALSE)</f>
        <v>#N/A</v>
      </c>
      <c r="U2038" s="130">
        <f>IFERROR(VLOOKUP(Tabla3[[#This Row],[Referencia]]&amp;Tabla3[[#This Row],[Desc detalle ext 1]],Tabla1[[Referencia-Color]:[Disponibilidad]],3,FALSE),0)</f>
        <v>0</v>
      </c>
      <c r="V2038" s="13"/>
      <c r="W2038" s="17">
        <f>+Tabla3[[#This Row],[Cant. Programada]]*Tabla3[[#This Row],[Precio unit]]</f>
        <v>0</v>
      </c>
      <c r="X2038" s="8"/>
      <c r="Y2038" s="8"/>
      <c r="Z2038" s="8" t="str">
        <f>+Tabla3[[#This Row],[Referencia]]&amp;Tabla3[[#This Row],[Desc detalle ext 1]]</f>
        <v/>
      </c>
      <c r="AA2038" s="128" t="e">
        <f>+VLOOKUP(Tabla3[[#This Row],[CODIGO2]],ESTANDAR!$B$3:$C$9,2,FALSE)</f>
        <v>#N/A</v>
      </c>
      <c r="AB2038" s="128" t="str">
        <f>+MID(Tabla3[[#This Row],['# Viaje]],10,1)</f>
        <v/>
      </c>
    </row>
    <row r="2039" spans="1:28" ht="15" hidden="1" customHeight="1">
      <c r="A2039" s="25"/>
      <c r="B2039" s="26"/>
      <c r="C2039" s="25"/>
      <c r="D2039" s="25"/>
      <c r="E2039" s="25"/>
      <c r="F2039" s="25"/>
      <c r="G2039" s="25"/>
      <c r="H2039" s="25"/>
      <c r="I2039" s="25"/>
      <c r="J2039" s="25"/>
      <c r="K2039" s="25"/>
      <c r="L2039" s="26"/>
      <c r="M2039" s="25"/>
      <c r="N2039" s="25"/>
      <c r="O2039" s="27"/>
      <c r="P2039" s="7"/>
      <c r="Q2039" s="16">
        <f>+IF(IFERROR(VLOOKUP(Tabla3[[#This Row],[Cliente factura]],Tabla4[[NIT]:[TOTAL CREDITO]],3,FALSE),0)="",0,IFERROR(VLOOKUP(Tabla3[[#This Row],[Cliente factura]],Tabla4[[NIT]:[TOTAL CREDITO]],3,FALSE),0))</f>
        <v>0</v>
      </c>
      <c r="R2039" s="9">
        <f>+IFERROR(VLOOKUP(Tabla3[[#This Row],[Cliente factura]],Tabla4[[NIT]:[TOTAL CREDITO]],6,FALSE),0)</f>
        <v>0</v>
      </c>
      <c r="S2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9" s="10" t="e">
        <f>VLOOKUP(Tabla3[[#This Row],[Razón social cliente factura]]&amp;Tabla3[[#This Row],[Desc. ciudad]],'Estandar de Rutas'!$C$1:$E$553,2,FALSE)</f>
        <v>#N/A</v>
      </c>
      <c r="U2039" s="130">
        <f>IFERROR(VLOOKUP(Tabla3[[#This Row],[Referencia]]&amp;Tabla3[[#This Row],[Desc detalle ext 1]],Tabla1[[Referencia-Color]:[Disponibilidad]],3,FALSE),0)</f>
        <v>0</v>
      </c>
      <c r="V2039" s="13"/>
      <c r="W2039" s="17">
        <f>+Tabla3[[#This Row],[Cant. Programada]]*Tabla3[[#This Row],[Precio unit]]</f>
        <v>0</v>
      </c>
      <c r="X2039" s="8"/>
      <c r="Y2039" s="8"/>
      <c r="Z2039" s="8" t="str">
        <f>+Tabla3[[#This Row],[Referencia]]&amp;Tabla3[[#This Row],[Desc detalle ext 1]]</f>
        <v/>
      </c>
      <c r="AA2039" s="128" t="e">
        <f>+VLOOKUP(Tabla3[[#This Row],[CODIGO2]],ESTANDAR!$B$3:$C$9,2,FALSE)</f>
        <v>#N/A</v>
      </c>
      <c r="AB2039" s="128" t="str">
        <f>+MID(Tabla3[[#This Row],['# Viaje]],10,1)</f>
        <v/>
      </c>
    </row>
    <row r="2040" spans="1:28" ht="15" hidden="1" customHeight="1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6"/>
      <c r="M2040" s="25"/>
      <c r="N2040" s="25"/>
      <c r="O2040" s="27"/>
      <c r="P2040" s="7"/>
      <c r="Q2040" s="16">
        <f>+IF(IFERROR(VLOOKUP(Tabla3[[#This Row],[Cliente factura]],Tabla4[[NIT]:[TOTAL CREDITO]],3,FALSE),0)="",0,IFERROR(VLOOKUP(Tabla3[[#This Row],[Cliente factura]],Tabla4[[NIT]:[TOTAL CREDITO]],3,FALSE),0))</f>
        <v>0</v>
      </c>
      <c r="R2040" s="9">
        <f>+IFERROR(VLOOKUP(Tabla3[[#This Row],[Cliente factura]],Tabla4[[NIT]:[TOTAL CREDITO]],6,FALSE),0)</f>
        <v>0</v>
      </c>
      <c r="S2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0" s="10" t="e">
        <f>VLOOKUP(Tabla3[[#This Row],[Razón social cliente factura]]&amp;Tabla3[[#This Row],[Desc. ciudad]],'Estandar de Rutas'!$C$1:$E$553,2,FALSE)</f>
        <v>#N/A</v>
      </c>
      <c r="U2040" s="130">
        <f>IFERROR(VLOOKUP(Tabla3[[#This Row],[Referencia]]&amp;Tabla3[[#This Row],[Desc detalle ext 1]],Tabla1[[Referencia-Color]:[Disponibilidad]],3,FALSE),0)</f>
        <v>0</v>
      </c>
      <c r="V2040" s="13"/>
      <c r="W2040" s="17">
        <f>+Tabla3[[#This Row],[Cant. Programada]]*Tabla3[[#This Row],[Precio unit]]</f>
        <v>0</v>
      </c>
      <c r="X2040" s="8"/>
      <c r="Y2040" s="8"/>
      <c r="Z2040" s="8" t="str">
        <f>+Tabla3[[#This Row],[Referencia]]&amp;Tabla3[[#This Row],[Desc detalle ext 1]]</f>
        <v/>
      </c>
      <c r="AA2040" s="128" t="e">
        <f>+VLOOKUP(Tabla3[[#This Row],[CODIGO2]],ESTANDAR!$B$3:$C$9,2,FALSE)</f>
        <v>#N/A</v>
      </c>
      <c r="AB2040" s="128" t="str">
        <f>+MID(Tabla3[[#This Row],['# Viaje]],10,1)</f>
        <v/>
      </c>
    </row>
    <row r="2041" spans="1:28" ht="15" hidden="1" customHeight="1">
      <c r="A2041" s="25"/>
      <c r="B2041" s="26"/>
      <c r="C2041" s="25"/>
      <c r="D2041" s="25"/>
      <c r="E2041" s="25"/>
      <c r="F2041" s="25"/>
      <c r="G2041" s="25"/>
      <c r="H2041" s="25"/>
      <c r="I2041" s="25"/>
      <c r="J2041" s="25"/>
      <c r="K2041" s="25"/>
      <c r="L2041" s="26"/>
      <c r="M2041" s="25"/>
      <c r="N2041" s="25"/>
      <c r="O2041" s="27"/>
      <c r="P2041" s="7"/>
      <c r="Q2041" s="16">
        <f>+IF(IFERROR(VLOOKUP(Tabla3[[#This Row],[Cliente factura]],Tabla4[[NIT]:[TOTAL CREDITO]],3,FALSE),0)="",0,IFERROR(VLOOKUP(Tabla3[[#This Row],[Cliente factura]],Tabla4[[NIT]:[TOTAL CREDITO]],3,FALSE),0))</f>
        <v>0</v>
      </c>
      <c r="R2041" s="9">
        <f>+IFERROR(VLOOKUP(Tabla3[[#This Row],[Cliente factura]],Tabla4[[NIT]:[TOTAL CREDITO]],6,FALSE),0)</f>
        <v>0</v>
      </c>
      <c r="S2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1" s="10" t="e">
        <f>VLOOKUP(Tabla3[[#This Row],[Razón social cliente factura]]&amp;Tabla3[[#This Row],[Desc. ciudad]],'Estandar de Rutas'!$C$1:$E$553,2,FALSE)</f>
        <v>#N/A</v>
      </c>
      <c r="U2041" s="130">
        <f>IFERROR(VLOOKUP(Tabla3[[#This Row],[Referencia]]&amp;Tabla3[[#This Row],[Desc detalle ext 1]],Tabla1[[Referencia-Color]:[Disponibilidad]],3,FALSE),0)</f>
        <v>0</v>
      </c>
      <c r="V2041" s="13"/>
      <c r="W2041" s="17">
        <f>+Tabla3[[#This Row],[Cant. Programada]]*Tabla3[[#This Row],[Precio unit]]</f>
        <v>0</v>
      </c>
      <c r="X2041" s="8"/>
      <c r="Y2041" s="8"/>
      <c r="Z2041" s="8" t="str">
        <f>+Tabla3[[#This Row],[Referencia]]&amp;Tabla3[[#This Row],[Desc detalle ext 1]]</f>
        <v/>
      </c>
      <c r="AA2041" s="128" t="e">
        <f>+VLOOKUP(Tabla3[[#This Row],[CODIGO2]],ESTANDAR!$B$3:$C$9,2,FALSE)</f>
        <v>#N/A</v>
      </c>
      <c r="AB2041" s="128" t="str">
        <f>+MID(Tabla3[[#This Row],['# Viaje]],10,1)</f>
        <v/>
      </c>
    </row>
    <row r="2042" spans="1:28" ht="15" hidden="1" customHeight="1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6"/>
      <c r="M2042" s="25"/>
      <c r="N2042" s="25"/>
      <c r="O2042" s="27"/>
      <c r="P2042" s="7"/>
      <c r="Q2042" s="16">
        <f>+IF(IFERROR(VLOOKUP(Tabla3[[#This Row],[Cliente factura]],Tabla4[[NIT]:[TOTAL CREDITO]],3,FALSE),0)="",0,IFERROR(VLOOKUP(Tabla3[[#This Row],[Cliente factura]],Tabla4[[NIT]:[TOTAL CREDITO]],3,FALSE),0))</f>
        <v>0</v>
      </c>
      <c r="R2042" s="9">
        <f>+IFERROR(VLOOKUP(Tabla3[[#This Row],[Cliente factura]],Tabla4[[NIT]:[TOTAL CREDITO]],6,FALSE),0)</f>
        <v>0</v>
      </c>
      <c r="S2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2" s="10" t="e">
        <f>VLOOKUP(Tabla3[[#This Row],[Razón social cliente factura]]&amp;Tabla3[[#This Row],[Desc. ciudad]],'Estandar de Rutas'!$C$1:$E$553,2,FALSE)</f>
        <v>#N/A</v>
      </c>
      <c r="U2042" s="130">
        <f>IFERROR(VLOOKUP(Tabla3[[#This Row],[Referencia]]&amp;Tabla3[[#This Row],[Desc detalle ext 1]],Tabla1[[Referencia-Color]:[Disponibilidad]],3,FALSE),0)</f>
        <v>0</v>
      </c>
      <c r="V2042" s="13"/>
      <c r="W2042" s="17">
        <f>+Tabla3[[#This Row],[Cant. Programada]]*Tabla3[[#This Row],[Precio unit]]</f>
        <v>0</v>
      </c>
      <c r="X2042" s="8"/>
      <c r="Y2042" s="8"/>
      <c r="Z2042" s="8" t="str">
        <f>+Tabla3[[#This Row],[Referencia]]&amp;Tabla3[[#This Row],[Desc detalle ext 1]]</f>
        <v/>
      </c>
      <c r="AA2042" s="128" t="e">
        <f>+VLOOKUP(Tabla3[[#This Row],[CODIGO2]],ESTANDAR!$B$3:$C$9,2,FALSE)</f>
        <v>#N/A</v>
      </c>
      <c r="AB2042" s="128" t="str">
        <f>+MID(Tabla3[[#This Row],['# Viaje]],10,1)</f>
        <v/>
      </c>
    </row>
    <row r="2043" spans="1:28" ht="15" hidden="1" customHeight="1">
      <c r="A2043" s="25"/>
      <c r="B2043" s="26"/>
      <c r="C2043" s="25"/>
      <c r="D2043" s="25"/>
      <c r="E2043" s="25"/>
      <c r="F2043" s="25"/>
      <c r="G2043" s="25"/>
      <c r="H2043" s="25"/>
      <c r="I2043" s="25"/>
      <c r="J2043" s="25"/>
      <c r="K2043" s="25"/>
      <c r="L2043" s="26"/>
      <c r="M2043" s="25"/>
      <c r="N2043" s="25"/>
      <c r="O2043" s="27"/>
      <c r="P2043" s="7"/>
      <c r="Q2043" s="16">
        <f>+IF(IFERROR(VLOOKUP(Tabla3[[#This Row],[Cliente factura]],Tabla4[[NIT]:[TOTAL CREDITO]],3,FALSE),0)="",0,IFERROR(VLOOKUP(Tabla3[[#This Row],[Cliente factura]],Tabla4[[NIT]:[TOTAL CREDITO]],3,FALSE),0))</f>
        <v>0</v>
      </c>
      <c r="R2043" s="9">
        <f>+IFERROR(VLOOKUP(Tabla3[[#This Row],[Cliente factura]],Tabla4[[NIT]:[TOTAL CREDITO]],6,FALSE),0)</f>
        <v>0</v>
      </c>
      <c r="S2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3" s="10" t="e">
        <f>VLOOKUP(Tabla3[[#This Row],[Razón social cliente factura]]&amp;Tabla3[[#This Row],[Desc. ciudad]],'Estandar de Rutas'!$C$1:$E$553,2,FALSE)</f>
        <v>#N/A</v>
      </c>
      <c r="U2043" s="130">
        <f>IFERROR(VLOOKUP(Tabla3[[#This Row],[Referencia]]&amp;Tabla3[[#This Row],[Desc detalle ext 1]],Tabla1[[Referencia-Color]:[Disponibilidad]],3,FALSE),0)</f>
        <v>0</v>
      </c>
      <c r="V2043" s="13"/>
      <c r="W2043" s="17">
        <f>+Tabla3[[#This Row],[Cant. Programada]]*Tabla3[[#This Row],[Precio unit]]</f>
        <v>0</v>
      </c>
      <c r="X2043" s="8"/>
      <c r="Y2043" s="8"/>
      <c r="Z2043" s="8" t="str">
        <f>+Tabla3[[#This Row],[Referencia]]&amp;Tabla3[[#This Row],[Desc detalle ext 1]]</f>
        <v/>
      </c>
      <c r="AA2043" s="128" t="e">
        <f>+VLOOKUP(Tabla3[[#This Row],[CODIGO2]],ESTANDAR!$B$3:$C$9,2,FALSE)</f>
        <v>#N/A</v>
      </c>
      <c r="AB2043" s="128" t="str">
        <f>+MID(Tabla3[[#This Row],['# Viaje]],10,1)</f>
        <v/>
      </c>
    </row>
    <row r="2044" spans="1:28" ht="15" hidden="1" customHeight="1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6"/>
      <c r="M2044" s="25"/>
      <c r="N2044" s="25"/>
      <c r="O2044" s="27"/>
      <c r="P2044" s="7"/>
      <c r="Q2044" s="16">
        <f>+IF(IFERROR(VLOOKUP(Tabla3[[#This Row],[Cliente factura]],Tabla4[[NIT]:[TOTAL CREDITO]],3,FALSE),0)="",0,IFERROR(VLOOKUP(Tabla3[[#This Row],[Cliente factura]],Tabla4[[NIT]:[TOTAL CREDITO]],3,FALSE),0))</f>
        <v>0</v>
      </c>
      <c r="R2044" s="9">
        <f>+IFERROR(VLOOKUP(Tabla3[[#This Row],[Cliente factura]],Tabla4[[NIT]:[TOTAL CREDITO]],6,FALSE),0)</f>
        <v>0</v>
      </c>
      <c r="S2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4" s="10" t="e">
        <f>VLOOKUP(Tabla3[[#This Row],[Razón social cliente factura]]&amp;Tabla3[[#This Row],[Desc. ciudad]],'Estandar de Rutas'!$C$1:$E$553,2,FALSE)</f>
        <v>#N/A</v>
      </c>
      <c r="U2044" s="130">
        <f>IFERROR(VLOOKUP(Tabla3[[#This Row],[Referencia]]&amp;Tabla3[[#This Row],[Desc detalle ext 1]],Tabla1[[Referencia-Color]:[Disponibilidad]],3,FALSE),0)</f>
        <v>0</v>
      </c>
      <c r="V2044" s="13"/>
      <c r="W2044" s="17">
        <f>+Tabla3[[#This Row],[Cant. Programada]]*Tabla3[[#This Row],[Precio unit]]</f>
        <v>0</v>
      </c>
      <c r="X2044" s="8"/>
      <c r="Y2044" s="8"/>
      <c r="Z2044" s="8" t="str">
        <f>+Tabla3[[#This Row],[Referencia]]&amp;Tabla3[[#This Row],[Desc detalle ext 1]]</f>
        <v/>
      </c>
      <c r="AA2044" s="128" t="e">
        <f>+VLOOKUP(Tabla3[[#This Row],[CODIGO2]],ESTANDAR!$B$3:$C$9,2,FALSE)</f>
        <v>#N/A</v>
      </c>
      <c r="AB2044" s="128" t="str">
        <f>+MID(Tabla3[[#This Row],['# Viaje]],10,1)</f>
        <v/>
      </c>
    </row>
    <row r="2045" spans="1:28" ht="15" hidden="1" customHeight="1">
      <c r="A2045" s="25"/>
      <c r="B2045" s="26"/>
      <c r="C2045" s="25"/>
      <c r="D2045" s="25"/>
      <c r="E2045" s="25"/>
      <c r="F2045" s="25"/>
      <c r="G2045" s="25"/>
      <c r="H2045" s="25"/>
      <c r="I2045" s="25"/>
      <c r="J2045" s="25"/>
      <c r="K2045" s="25"/>
      <c r="L2045" s="26"/>
      <c r="M2045" s="25"/>
      <c r="N2045" s="25"/>
      <c r="O2045" s="27"/>
      <c r="P2045" s="7"/>
      <c r="Q2045" s="16">
        <f>+IF(IFERROR(VLOOKUP(Tabla3[[#This Row],[Cliente factura]],Tabla4[[NIT]:[TOTAL CREDITO]],3,FALSE),0)="",0,IFERROR(VLOOKUP(Tabla3[[#This Row],[Cliente factura]],Tabla4[[NIT]:[TOTAL CREDITO]],3,FALSE),0))</f>
        <v>0</v>
      </c>
      <c r="R2045" s="9">
        <f>+IFERROR(VLOOKUP(Tabla3[[#This Row],[Cliente factura]],Tabla4[[NIT]:[TOTAL CREDITO]],6,FALSE),0)</f>
        <v>0</v>
      </c>
      <c r="S2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5" s="10" t="e">
        <f>VLOOKUP(Tabla3[[#This Row],[Razón social cliente factura]]&amp;Tabla3[[#This Row],[Desc. ciudad]],'Estandar de Rutas'!$C$1:$E$553,2,FALSE)</f>
        <v>#N/A</v>
      </c>
      <c r="U2045" s="130">
        <f>IFERROR(VLOOKUP(Tabla3[[#This Row],[Referencia]]&amp;Tabla3[[#This Row],[Desc detalle ext 1]],Tabla1[[Referencia-Color]:[Disponibilidad]],3,FALSE),0)</f>
        <v>0</v>
      </c>
      <c r="V2045" s="13"/>
      <c r="W2045" s="17">
        <f>+Tabla3[[#This Row],[Cant. Programada]]*Tabla3[[#This Row],[Precio unit]]</f>
        <v>0</v>
      </c>
      <c r="X2045" s="8"/>
      <c r="Y2045" s="8"/>
      <c r="Z2045" s="8" t="str">
        <f>+Tabla3[[#This Row],[Referencia]]&amp;Tabla3[[#This Row],[Desc detalle ext 1]]</f>
        <v/>
      </c>
      <c r="AA2045" s="128" t="e">
        <f>+VLOOKUP(Tabla3[[#This Row],[CODIGO2]],ESTANDAR!$B$3:$C$9,2,FALSE)</f>
        <v>#N/A</v>
      </c>
      <c r="AB2045" s="128" t="str">
        <f>+MID(Tabla3[[#This Row],['# Viaje]],10,1)</f>
        <v/>
      </c>
    </row>
    <row r="2046" spans="1:28" ht="15" hidden="1" customHeight="1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6"/>
      <c r="M2046" s="25"/>
      <c r="N2046" s="25"/>
      <c r="O2046" s="27"/>
      <c r="P2046" s="7"/>
      <c r="Q2046" s="16">
        <f>+IF(IFERROR(VLOOKUP(Tabla3[[#This Row],[Cliente factura]],Tabla4[[NIT]:[TOTAL CREDITO]],3,FALSE),0)="",0,IFERROR(VLOOKUP(Tabla3[[#This Row],[Cliente factura]],Tabla4[[NIT]:[TOTAL CREDITO]],3,FALSE),0))</f>
        <v>0</v>
      </c>
      <c r="R2046" s="9">
        <f>+IFERROR(VLOOKUP(Tabla3[[#This Row],[Cliente factura]],Tabla4[[NIT]:[TOTAL CREDITO]],6,FALSE),0)</f>
        <v>0</v>
      </c>
      <c r="S2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6" s="10" t="e">
        <f>VLOOKUP(Tabla3[[#This Row],[Razón social cliente factura]]&amp;Tabla3[[#This Row],[Desc. ciudad]],'Estandar de Rutas'!$C$1:$E$553,2,FALSE)</f>
        <v>#N/A</v>
      </c>
      <c r="U2046" s="130">
        <f>IFERROR(VLOOKUP(Tabla3[[#This Row],[Referencia]]&amp;Tabla3[[#This Row],[Desc detalle ext 1]],Tabla1[[Referencia-Color]:[Disponibilidad]],3,FALSE),0)</f>
        <v>0</v>
      </c>
      <c r="V2046" s="13"/>
      <c r="W2046" s="17">
        <f>+Tabla3[[#This Row],[Cant. Programada]]*Tabla3[[#This Row],[Precio unit]]</f>
        <v>0</v>
      </c>
      <c r="X2046" s="8"/>
      <c r="Y2046" s="8"/>
      <c r="Z2046" s="8" t="str">
        <f>+Tabla3[[#This Row],[Referencia]]&amp;Tabla3[[#This Row],[Desc detalle ext 1]]</f>
        <v/>
      </c>
      <c r="AA2046" s="128" t="e">
        <f>+VLOOKUP(Tabla3[[#This Row],[CODIGO2]],ESTANDAR!$B$3:$C$9,2,FALSE)</f>
        <v>#N/A</v>
      </c>
      <c r="AB2046" s="128" t="str">
        <f>+MID(Tabla3[[#This Row],['# Viaje]],10,1)</f>
        <v/>
      </c>
    </row>
    <row r="2047" spans="1:28" ht="15" hidden="1" customHeight="1">
      <c r="A2047" s="25"/>
      <c r="B2047" s="26"/>
      <c r="C2047" s="25"/>
      <c r="D2047" s="25"/>
      <c r="E2047" s="25"/>
      <c r="F2047" s="25"/>
      <c r="G2047" s="25"/>
      <c r="H2047" s="25"/>
      <c r="I2047" s="25"/>
      <c r="J2047" s="25"/>
      <c r="K2047" s="25"/>
      <c r="L2047" s="26"/>
      <c r="M2047" s="25"/>
      <c r="N2047" s="25"/>
      <c r="O2047" s="27"/>
      <c r="P2047" s="7"/>
      <c r="Q2047" s="16">
        <f>+IF(IFERROR(VLOOKUP(Tabla3[[#This Row],[Cliente factura]],Tabla4[[NIT]:[TOTAL CREDITO]],3,FALSE),0)="",0,IFERROR(VLOOKUP(Tabla3[[#This Row],[Cliente factura]],Tabla4[[NIT]:[TOTAL CREDITO]],3,FALSE),0))</f>
        <v>0</v>
      </c>
      <c r="R2047" s="9">
        <f>+IFERROR(VLOOKUP(Tabla3[[#This Row],[Cliente factura]],Tabla4[[NIT]:[TOTAL CREDITO]],6,FALSE),0)</f>
        <v>0</v>
      </c>
      <c r="S2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7" s="10" t="e">
        <f>VLOOKUP(Tabla3[[#This Row],[Razón social cliente factura]]&amp;Tabla3[[#This Row],[Desc. ciudad]],'Estandar de Rutas'!$C$1:$E$553,2,FALSE)</f>
        <v>#N/A</v>
      </c>
      <c r="U2047" s="130">
        <f>IFERROR(VLOOKUP(Tabla3[[#This Row],[Referencia]]&amp;Tabla3[[#This Row],[Desc detalle ext 1]],Tabla1[[Referencia-Color]:[Disponibilidad]],3,FALSE),0)</f>
        <v>0</v>
      </c>
      <c r="V2047" s="13"/>
      <c r="W2047" s="17">
        <f>+Tabla3[[#This Row],[Cant. Programada]]*Tabla3[[#This Row],[Precio unit]]</f>
        <v>0</v>
      </c>
      <c r="X2047" s="8"/>
      <c r="Y2047" s="8"/>
      <c r="Z2047" s="8" t="str">
        <f>+Tabla3[[#This Row],[Referencia]]&amp;Tabla3[[#This Row],[Desc detalle ext 1]]</f>
        <v/>
      </c>
      <c r="AA2047" s="128" t="e">
        <f>+VLOOKUP(Tabla3[[#This Row],[CODIGO2]],ESTANDAR!$B$3:$C$9,2,FALSE)</f>
        <v>#N/A</v>
      </c>
      <c r="AB2047" s="128" t="str">
        <f>+MID(Tabla3[[#This Row],['# Viaje]],10,1)</f>
        <v/>
      </c>
    </row>
    <row r="2048" spans="1:28" ht="15" hidden="1" customHeight="1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6"/>
      <c r="M2048" s="25"/>
      <c r="N2048" s="25"/>
      <c r="O2048" s="27"/>
      <c r="P2048" s="7"/>
      <c r="Q2048" s="16">
        <f>+IF(IFERROR(VLOOKUP(Tabla3[[#This Row],[Cliente factura]],Tabla4[[NIT]:[TOTAL CREDITO]],3,FALSE),0)="",0,IFERROR(VLOOKUP(Tabla3[[#This Row],[Cliente factura]],Tabla4[[NIT]:[TOTAL CREDITO]],3,FALSE),0))</f>
        <v>0</v>
      </c>
      <c r="R2048" s="9">
        <f>+IFERROR(VLOOKUP(Tabla3[[#This Row],[Cliente factura]],Tabla4[[NIT]:[TOTAL CREDITO]],6,FALSE),0)</f>
        <v>0</v>
      </c>
      <c r="S2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8" s="10" t="e">
        <f>VLOOKUP(Tabla3[[#This Row],[Razón social cliente factura]]&amp;Tabla3[[#This Row],[Desc. ciudad]],'Estandar de Rutas'!$C$1:$E$553,2,FALSE)</f>
        <v>#N/A</v>
      </c>
      <c r="U2048" s="130">
        <f>IFERROR(VLOOKUP(Tabla3[[#This Row],[Referencia]]&amp;Tabla3[[#This Row],[Desc detalle ext 1]],Tabla1[[Referencia-Color]:[Disponibilidad]],3,FALSE),0)</f>
        <v>0</v>
      </c>
      <c r="V2048" s="13"/>
      <c r="W2048" s="17">
        <f>+Tabla3[[#This Row],[Cant. Programada]]*Tabla3[[#This Row],[Precio unit]]</f>
        <v>0</v>
      </c>
      <c r="X2048" s="8"/>
      <c r="Y2048" s="8"/>
      <c r="Z2048" s="8" t="str">
        <f>+Tabla3[[#This Row],[Referencia]]&amp;Tabla3[[#This Row],[Desc detalle ext 1]]</f>
        <v/>
      </c>
      <c r="AA2048" s="128" t="e">
        <f>+VLOOKUP(Tabla3[[#This Row],[CODIGO2]],ESTANDAR!$B$3:$C$9,2,FALSE)</f>
        <v>#N/A</v>
      </c>
      <c r="AB2048" s="128" t="str">
        <f>+MID(Tabla3[[#This Row],['# Viaje]],10,1)</f>
        <v/>
      </c>
    </row>
    <row r="2049" spans="1:28" ht="15" hidden="1" customHeight="1">
      <c r="A2049" s="25"/>
      <c r="B2049" s="26"/>
      <c r="C2049" s="25"/>
      <c r="D2049" s="25"/>
      <c r="E2049" s="25"/>
      <c r="F2049" s="25"/>
      <c r="G2049" s="25"/>
      <c r="H2049" s="25"/>
      <c r="I2049" s="25"/>
      <c r="J2049" s="25"/>
      <c r="K2049" s="25"/>
      <c r="L2049" s="26"/>
      <c r="M2049" s="25"/>
      <c r="N2049" s="25"/>
      <c r="O2049" s="27"/>
      <c r="P2049" s="7"/>
      <c r="Q2049" s="16">
        <f>+IF(IFERROR(VLOOKUP(Tabla3[[#This Row],[Cliente factura]],Tabla4[[NIT]:[TOTAL CREDITO]],3,FALSE),0)="",0,IFERROR(VLOOKUP(Tabla3[[#This Row],[Cliente factura]],Tabla4[[NIT]:[TOTAL CREDITO]],3,FALSE),0))</f>
        <v>0</v>
      </c>
      <c r="R2049" s="9">
        <f>+IFERROR(VLOOKUP(Tabla3[[#This Row],[Cliente factura]],Tabla4[[NIT]:[TOTAL CREDITO]],6,FALSE),0)</f>
        <v>0</v>
      </c>
      <c r="S2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9" s="10" t="e">
        <f>VLOOKUP(Tabla3[[#This Row],[Razón social cliente factura]]&amp;Tabla3[[#This Row],[Desc. ciudad]],'Estandar de Rutas'!$C$1:$E$553,2,FALSE)</f>
        <v>#N/A</v>
      </c>
      <c r="U2049" s="130">
        <f>IFERROR(VLOOKUP(Tabla3[[#This Row],[Referencia]]&amp;Tabla3[[#This Row],[Desc detalle ext 1]],Tabla1[[Referencia-Color]:[Disponibilidad]],3,FALSE),0)</f>
        <v>0</v>
      </c>
      <c r="V2049" s="13"/>
      <c r="W2049" s="17">
        <f>+Tabla3[[#This Row],[Cant. Programada]]*Tabla3[[#This Row],[Precio unit]]</f>
        <v>0</v>
      </c>
      <c r="X2049" s="8"/>
      <c r="Y2049" s="8"/>
      <c r="Z2049" s="8" t="str">
        <f>+Tabla3[[#This Row],[Referencia]]&amp;Tabla3[[#This Row],[Desc detalle ext 1]]</f>
        <v/>
      </c>
      <c r="AA2049" s="128" t="e">
        <f>+VLOOKUP(Tabla3[[#This Row],[CODIGO2]],ESTANDAR!$B$3:$C$9,2,FALSE)</f>
        <v>#N/A</v>
      </c>
      <c r="AB2049" s="128" t="str">
        <f>+MID(Tabla3[[#This Row],['# Viaje]],10,1)</f>
        <v/>
      </c>
    </row>
    <row r="2050" spans="1:28" ht="15" hidden="1" customHeight="1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6"/>
      <c r="M2050" s="25"/>
      <c r="N2050" s="25"/>
      <c r="O2050" s="27"/>
      <c r="P2050" s="7"/>
      <c r="Q2050" s="16">
        <f>+IF(IFERROR(VLOOKUP(Tabla3[[#This Row],[Cliente factura]],Tabla4[[NIT]:[TOTAL CREDITO]],3,FALSE),0)="",0,IFERROR(VLOOKUP(Tabla3[[#This Row],[Cliente factura]],Tabla4[[NIT]:[TOTAL CREDITO]],3,FALSE),0))</f>
        <v>0</v>
      </c>
      <c r="R2050" s="9">
        <f>+IFERROR(VLOOKUP(Tabla3[[#This Row],[Cliente factura]],Tabla4[[NIT]:[TOTAL CREDITO]],6,FALSE),0)</f>
        <v>0</v>
      </c>
      <c r="S2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0" s="10" t="e">
        <f>VLOOKUP(Tabla3[[#This Row],[Razón social cliente factura]]&amp;Tabla3[[#This Row],[Desc. ciudad]],'Estandar de Rutas'!$C$1:$E$553,2,FALSE)</f>
        <v>#N/A</v>
      </c>
      <c r="U2050" s="130">
        <f>IFERROR(VLOOKUP(Tabla3[[#This Row],[Referencia]]&amp;Tabla3[[#This Row],[Desc detalle ext 1]],Tabla1[[Referencia-Color]:[Disponibilidad]],3,FALSE),0)</f>
        <v>0</v>
      </c>
      <c r="V2050" s="13"/>
      <c r="W2050" s="17">
        <f>+Tabla3[[#This Row],[Cant. Programada]]*Tabla3[[#This Row],[Precio unit]]</f>
        <v>0</v>
      </c>
      <c r="X2050" s="8"/>
      <c r="Y2050" s="8"/>
      <c r="Z2050" s="8" t="str">
        <f>+Tabla3[[#This Row],[Referencia]]&amp;Tabla3[[#This Row],[Desc detalle ext 1]]</f>
        <v/>
      </c>
      <c r="AA2050" s="128" t="e">
        <f>+VLOOKUP(Tabla3[[#This Row],[CODIGO2]],ESTANDAR!$B$3:$C$9,2,FALSE)</f>
        <v>#N/A</v>
      </c>
      <c r="AB2050" s="128" t="str">
        <f>+MID(Tabla3[[#This Row],['# Viaje]],10,1)</f>
        <v/>
      </c>
    </row>
    <row r="2051" spans="1:28" ht="15" hidden="1" customHeight="1">
      <c r="A2051" s="25"/>
      <c r="B2051" s="26"/>
      <c r="C2051" s="25"/>
      <c r="D2051" s="25"/>
      <c r="E2051" s="25"/>
      <c r="F2051" s="25"/>
      <c r="G2051" s="25"/>
      <c r="H2051" s="25"/>
      <c r="I2051" s="25"/>
      <c r="J2051" s="25"/>
      <c r="K2051" s="25"/>
      <c r="L2051" s="26"/>
      <c r="M2051" s="25"/>
      <c r="N2051" s="25"/>
      <c r="O2051" s="27"/>
      <c r="P2051" s="7"/>
      <c r="Q2051" s="16">
        <f>+IF(IFERROR(VLOOKUP(Tabla3[[#This Row],[Cliente factura]],Tabla4[[NIT]:[TOTAL CREDITO]],3,FALSE),0)="",0,IFERROR(VLOOKUP(Tabla3[[#This Row],[Cliente factura]],Tabla4[[NIT]:[TOTAL CREDITO]],3,FALSE),0))</f>
        <v>0</v>
      </c>
      <c r="R2051" s="9">
        <f>+IFERROR(VLOOKUP(Tabla3[[#This Row],[Cliente factura]],Tabla4[[NIT]:[TOTAL CREDITO]],6,FALSE),0)</f>
        <v>0</v>
      </c>
      <c r="S2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1" s="10" t="e">
        <f>VLOOKUP(Tabla3[[#This Row],[Razón social cliente factura]]&amp;Tabla3[[#This Row],[Desc. ciudad]],'Estandar de Rutas'!$C$1:$E$553,2,FALSE)</f>
        <v>#N/A</v>
      </c>
      <c r="U2051" s="130">
        <f>IFERROR(VLOOKUP(Tabla3[[#This Row],[Referencia]]&amp;Tabla3[[#This Row],[Desc detalle ext 1]],Tabla1[[Referencia-Color]:[Disponibilidad]],3,FALSE),0)</f>
        <v>0</v>
      </c>
      <c r="V2051" s="13"/>
      <c r="W2051" s="17">
        <f>+Tabla3[[#This Row],[Cant. Programada]]*Tabla3[[#This Row],[Precio unit]]</f>
        <v>0</v>
      </c>
      <c r="X2051" s="8"/>
      <c r="Y2051" s="8"/>
      <c r="Z2051" s="8" t="str">
        <f>+Tabla3[[#This Row],[Referencia]]&amp;Tabla3[[#This Row],[Desc detalle ext 1]]</f>
        <v/>
      </c>
      <c r="AA2051" s="128" t="e">
        <f>+VLOOKUP(Tabla3[[#This Row],[CODIGO2]],ESTANDAR!$B$3:$C$9,2,FALSE)</f>
        <v>#N/A</v>
      </c>
      <c r="AB2051" s="128" t="str">
        <f>+MID(Tabla3[[#This Row],['# Viaje]],10,1)</f>
        <v/>
      </c>
    </row>
    <row r="2052" spans="1:28" ht="15" hidden="1" customHeight="1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6"/>
      <c r="M2052" s="25"/>
      <c r="N2052" s="25"/>
      <c r="O2052" s="27"/>
      <c r="P2052" s="7"/>
      <c r="Q2052" s="16">
        <f>+IF(IFERROR(VLOOKUP(Tabla3[[#This Row],[Cliente factura]],Tabla4[[NIT]:[TOTAL CREDITO]],3,FALSE),0)="",0,IFERROR(VLOOKUP(Tabla3[[#This Row],[Cliente factura]],Tabla4[[NIT]:[TOTAL CREDITO]],3,FALSE),0))</f>
        <v>0</v>
      </c>
      <c r="R2052" s="9">
        <f>+IFERROR(VLOOKUP(Tabla3[[#This Row],[Cliente factura]],Tabla4[[NIT]:[TOTAL CREDITO]],6,FALSE),0)</f>
        <v>0</v>
      </c>
      <c r="S2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2" s="10" t="e">
        <f>VLOOKUP(Tabla3[[#This Row],[Razón social cliente factura]]&amp;Tabla3[[#This Row],[Desc. ciudad]],'Estandar de Rutas'!$C$1:$E$553,2,FALSE)</f>
        <v>#N/A</v>
      </c>
      <c r="U2052" s="130">
        <f>IFERROR(VLOOKUP(Tabla3[[#This Row],[Referencia]]&amp;Tabla3[[#This Row],[Desc detalle ext 1]],Tabla1[[Referencia-Color]:[Disponibilidad]],3,FALSE),0)</f>
        <v>0</v>
      </c>
      <c r="V2052" s="13"/>
      <c r="W2052" s="17">
        <f>+Tabla3[[#This Row],[Cant. Programada]]*Tabla3[[#This Row],[Precio unit]]</f>
        <v>0</v>
      </c>
      <c r="X2052" s="8"/>
      <c r="Y2052" s="8"/>
      <c r="Z2052" s="8" t="str">
        <f>+Tabla3[[#This Row],[Referencia]]&amp;Tabla3[[#This Row],[Desc detalle ext 1]]</f>
        <v/>
      </c>
      <c r="AA2052" s="128" t="e">
        <f>+VLOOKUP(Tabla3[[#This Row],[CODIGO2]],ESTANDAR!$B$3:$C$9,2,FALSE)</f>
        <v>#N/A</v>
      </c>
      <c r="AB2052" s="128" t="str">
        <f>+MID(Tabla3[[#This Row],['# Viaje]],10,1)</f>
        <v/>
      </c>
    </row>
    <row r="2053" spans="1:28" ht="15" hidden="1" customHeight="1">
      <c r="A2053" s="25"/>
      <c r="B2053" s="26"/>
      <c r="C2053" s="25"/>
      <c r="D2053" s="25"/>
      <c r="E2053" s="25"/>
      <c r="F2053" s="25"/>
      <c r="G2053" s="25"/>
      <c r="H2053" s="25"/>
      <c r="I2053" s="25"/>
      <c r="J2053" s="25"/>
      <c r="K2053" s="25"/>
      <c r="L2053" s="26"/>
      <c r="M2053" s="25"/>
      <c r="N2053" s="25"/>
      <c r="O2053" s="27"/>
      <c r="P2053" s="7"/>
      <c r="Q2053" s="16">
        <f>+IF(IFERROR(VLOOKUP(Tabla3[[#This Row],[Cliente factura]],Tabla4[[NIT]:[TOTAL CREDITO]],3,FALSE),0)="",0,IFERROR(VLOOKUP(Tabla3[[#This Row],[Cliente factura]],Tabla4[[NIT]:[TOTAL CREDITO]],3,FALSE),0))</f>
        <v>0</v>
      </c>
      <c r="R2053" s="9">
        <f>+IFERROR(VLOOKUP(Tabla3[[#This Row],[Cliente factura]],Tabla4[[NIT]:[TOTAL CREDITO]],6,FALSE),0)</f>
        <v>0</v>
      </c>
      <c r="S2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3" s="10" t="e">
        <f>VLOOKUP(Tabla3[[#This Row],[Razón social cliente factura]]&amp;Tabla3[[#This Row],[Desc. ciudad]],'Estandar de Rutas'!$C$1:$E$553,2,FALSE)</f>
        <v>#N/A</v>
      </c>
      <c r="U2053" s="130">
        <f>IFERROR(VLOOKUP(Tabla3[[#This Row],[Referencia]]&amp;Tabla3[[#This Row],[Desc detalle ext 1]],Tabla1[[Referencia-Color]:[Disponibilidad]],3,FALSE),0)</f>
        <v>0</v>
      </c>
      <c r="V2053" s="13"/>
      <c r="W2053" s="17">
        <f>+Tabla3[[#This Row],[Cant. Programada]]*Tabla3[[#This Row],[Precio unit]]</f>
        <v>0</v>
      </c>
      <c r="X2053" s="8"/>
      <c r="Y2053" s="8"/>
      <c r="Z2053" s="8" t="str">
        <f>+Tabla3[[#This Row],[Referencia]]&amp;Tabla3[[#This Row],[Desc detalle ext 1]]</f>
        <v/>
      </c>
      <c r="AA2053" s="128" t="e">
        <f>+VLOOKUP(Tabla3[[#This Row],[CODIGO2]],ESTANDAR!$B$3:$C$9,2,FALSE)</f>
        <v>#N/A</v>
      </c>
      <c r="AB2053" s="128" t="str">
        <f>+MID(Tabla3[[#This Row],['# Viaje]],10,1)</f>
        <v/>
      </c>
    </row>
    <row r="2054" spans="1:28" ht="15" hidden="1" customHeight="1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6"/>
      <c r="M2054" s="25"/>
      <c r="N2054" s="25"/>
      <c r="O2054" s="27"/>
      <c r="P2054" s="7"/>
      <c r="Q2054" s="16">
        <f>+IF(IFERROR(VLOOKUP(Tabla3[[#This Row],[Cliente factura]],Tabla4[[NIT]:[TOTAL CREDITO]],3,FALSE),0)="",0,IFERROR(VLOOKUP(Tabla3[[#This Row],[Cliente factura]],Tabla4[[NIT]:[TOTAL CREDITO]],3,FALSE),0))</f>
        <v>0</v>
      </c>
      <c r="R2054" s="9">
        <f>+IFERROR(VLOOKUP(Tabla3[[#This Row],[Cliente factura]],Tabla4[[NIT]:[TOTAL CREDITO]],6,FALSE),0)</f>
        <v>0</v>
      </c>
      <c r="S2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4" s="10" t="e">
        <f>VLOOKUP(Tabla3[[#This Row],[Razón social cliente factura]]&amp;Tabla3[[#This Row],[Desc. ciudad]],'Estandar de Rutas'!$C$1:$E$553,2,FALSE)</f>
        <v>#N/A</v>
      </c>
      <c r="U2054" s="130">
        <f>IFERROR(VLOOKUP(Tabla3[[#This Row],[Referencia]]&amp;Tabla3[[#This Row],[Desc detalle ext 1]],Tabla1[[Referencia-Color]:[Disponibilidad]],3,FALSE),0)</f>
        <v>0</v>
      </c>
      <c r="V2054" s="13"/>
      <c r="W2054" s="17">
        <f>+Tabla3[[#This Row],[Cant. Programada]]*Tabla3[[#This Row],[Precio unit]]</f>
        <v>0</v>
      </c>
      <c r="X2054" s="8"/>
      <c r="Y2054" s="8"/>
      <c r="Z2054" s="8" t="str">
        <f>+Tabla3[[#This Row],[Referencia]]&amp;Tabla3[[#This Row],[Desc detalle ext 1]]</f>
        <v/>
      </c>
      <c r="AA2054" s="128" t="e">
        <f>+VLOOKUP(Tabla3[[#This Row],[CODIGO2]],ESTANDAR!$B$3:$C$9,2,FALSE)</f>
        <v>#N/A</v>
      </c>
      <c r="AB2054" s="128" t="str">
        <f>+MID(Tabla3[[#This Row],['# Viaje]],10,1)</f>
        <v/>
      </c>
    </row>
    <row r="2055" spans="1:28" ht="15" hidden="1" customHeight="1">
      <c r="A2055" s="25"/>
      <c r="B2055" s="26"/>
      <c r="C2055" s="25"/>
      <c r="D2055" s="25"/>
      <c r="E2055" s="25"/>
      <c r="F2055" s="25"/>
      <c r="G2055" s="25"/>
      <c r="H2055" s="25"/>
      <c r="I2055" s="25"/>
      <c r="J2055" s="25"/>
      <c r="K2055" s="25"/>
      <c r="L2055" s="26"/>
      <c r="M2055" s="25"/>
      <c r="N2055" s="25"/>
      <c r="O2055" s="27"/>
      <c r="P2055" s="7"/>
      <c r="Q2055" s="16">
        <f>+IF(IFERROR(VLOOKUP(Tabla3[[#This Row],[Cliente factura]],Tabla4[[NIT]:[TOTAL CREDITO]],3,FALSE),0)="",0,IFERROR(VLOOKUP(Tabla3[[#This Row],[Cliente factura]],Tabla4[[NIT]:[TOTAL CREDITO]],3,FALSE),0))</f>
        <v>0</v>
      </c>
      <c r="R2055" s="9">
        <f>+IFERROR(VLOOKUP(Tabla3[[#This Row],[Cliente factura]],Tabla4[[NIT]:[TOTAL CREDITO]],6,FALSE),0)</f>
        <v>0</v>
      </c>
      <c r="S2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5" s="10" t="e">
        <f>VLOOKUP(Tabla3[[#This Row],[Razón social cliente factura]]&amp;Tabla3[[#This Row],[Desc. ciudad]],'Estandar de Rutas'!$C$1:$E$553,2,FALSE)</f>
        <v>#N/A</v>
      </c>
      <c r="U2055" s="130">
        <f>IFERROR(VLOOKUP(Tabla3[[#This Row],[Referencia]]&amp;Tabla3[[#This Row],[Desc detalle ext 1]],Tabla1[[Referencia-Color]:[Disponibilidad]],3,FALSE),0)</f>
        <v>0</v>
      </c>
      <c r="V2055" s="13"/>
      <c r="W2055" s="17">
        <f>+Tabla3[[#This Row],[Cant. Programada]]*Tabla3[[#This Row],[Precio unit]]</f>
        <v>0</v>
      </c>
      <c r="X2055" s="8"/>
      <c r="Y2055" s="8"/>
      <c r="Z2055" s="8" t="str">
        <f>+Tabla3[[#This Row],[Referencia]]&amp;Tabla3[[#This Row],[Desc detalle ext 1]]</f>
        <v/>
      </c>
      <c r="AA2055" s="128" t="e">
        <f>+VLOOKUP(Tabla3[[#This Row],[CODIGO2]],ESTANDAR!$B$3:$C$9,2,FALSE)</f>
        <v>#N/A</v>
      </c>
      <c r="AB2055" s="128" t="str">
        <f>+MID(Tabla3[[#This Row],['# Viaje]],10,1)</f>
        <v/>
      </c>
    </row>
    <row r="2056" spans="1:28" ht="15" hidden="1" customHeight="1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6"/>
      <c r="M2056" s="25"/>
      <c r="N2056" s="25"/>
      <c r="O2056" s="27"/>
      <c r="P2056" s="7"/>
      <c r="Q2056" s="16">
        <f>+IF(IFERROR(VLOOKUP(Tabla3[[#This Row],[Cliente factura]],Tabla4[[NIT]:[TOTAL CREDITO]],3,FALSE),0)="",0,IFERROR(VLOOKUP(Tabla3[[#This Row],[Cliente factura]],Tabla4[[NIT]:[TOTAL CREDITO]],3,FALSE),0))</f>
        <v>0</v>
      </c>
      <c r="R2056" s="9">
        <f>+IFERROR(VLOOKUP(Tabla3[[#This Row],[Cliente factura]],Tabla4[[NIT]:[TOTAL CREDITO]],6,FALSE),0)</f>
        <v>0</v>
      </c>
      <c r="S2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6" s="10" t="e">
        <f>VLOOKUP(Tabla3[[#This Row],[Razón social cliente factura]]&amp;Tabla3[[#This Row],[Desc. ciudad]],'Estandar de Rutas'!$C$1:$E$553,2,FALSE)</f>
        <v>#N/A</v>
      </c>
      <c r="U2056" s="130">
        <f>IFERROR(VLOOKUP(Tabla3[[#This Row],[Referencia]]&amp;Tabla3[[#This Row],[Desc detalle ext 1]],Tabla1[[Referencia-Color]:[Disponibilidad]],3,FALSE),0)</f>
        <v>0</v>
      </c>
      <c r="V2056" s="13"/>
      <c r="W2056" s="17">
        <f>+Tabla3[[#This Row],[Cant. Programada]]*Tabla3[[#This Row],[Precio unit]]</f>
        <v>0</v>
      </c>
      <c r="X2056" s="8"/>
      <c r="Y2056" s="8"/>
      <c r="Z2056" s="8" t="str">
        <f>+Tabla3[[#This Row],[Referencia]]&amp;Tabla3[[#This Row],[Desc detalle ext 1]]</f>
        <v/>
      </c>
      <c r="AA2056" s="128" t="e">
        <f>+VLOOKUP(Tabla3[[#This Row],[CODIGO2]],ESTANDAR!$B$3:$C$9,2,FALSE)</f>
        <v>#N/A</v>
      </c>
      <c r="AB2056" s="128" t="str">
        <f>+MID(Tabla3[[#This Row],['# Viaje]],10,1)</f>
        <v/>
      </c>
    </row>
    <row r="2057" spans="1:28" ht="15" hidden="1" customHeight="1">
      <c r="A2057" s="25"/>
      <c r="B2057" s="26"/>
      <c r="C2057" s="25"/>
      <c r="D2057" s="25"/>
      <c r="E2057" s="25"/>
      <c r="F2057" s="25"/>
      <c r="G2057" s="25"/>
      <c r="H2057" s="25"/>
      <c r="I2057" s="25"/>
      <c r="J2057" s="25"/>
      <c r="K2057" s="25"/>
      <c r="L2057" s="26"/>
      <c r="M2057" s="25"/>
      <c r="N2057" s="25"/>
      <c r="O2057" s="27"/>
      <c r="P2057" s="7"/>
      <c r="Q2057" s="16">
        <f>+IF(IFERROR(VLOOKUP(Tabla3[[#This Row],[Cliente factura]],Tabla4[[NIT]:[TOTAL CREDITO]],3,FALSE),0)="",0,IFERROR(VLOOKUP(Tabla3[[#This Row],[Cliente factura]],Tabla4[[NIT]:[TOTAL CREDITO]],3,FALSE),0))</f>
        <v>0</v>
      </c>
      <c r="R2057" s="9">
        <f>+IFERROR(VLOOKUP(Tabla3[[#This Row],[Cliente factura]],Tabla4[[NIT]:[TOTAL CREDITO]],6,FALSE),0)</f>
        <v>0</v>
      </c>
      <c r="S2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7" s="10" t="e">
        <f>VLOOKUP(Tabla3[[#This Row],[Razón social cliente factura]]&amp;Tabla3[[#This Row],[Desc. ciudad]],'Estandar de Rutas'!$C$1:$E$553,2,FALSE)</f>
        <v>#N/A</v>
      </c>
      <c r="U2057" s="130">
        <f>IFERROR(VLOOKUP(Tabla3[[#This Row],[Referencia]]&amp;Tabla3[[#This Row],[Desc detalle ext 1]],Tabla1[[Referencia-Color]:[Disponibilidad]],3,FALSE),0)</f>
        <v>0</v>
      </c>
      <c r="V2057" s="13"/>
      <c r="W2057" s="17">
        <f>+Tabla3[[#This Row],[Cant. Programada]]*Tabla3[[#This Row],[Precio unit]]</f>
        <v>0</v>
      </c>
      <c r="X2057" s="8"/>
      <c r="Y2057" s="8"/>
      <c r="Z2057" s="8" t="str">
        <f>+Tabla3[[#This Row],[Referencia]]&amp;Tabla3[[#This Row],[Desc detalle ext 1]]</f>
        <v/>
      </c>
      <c r="AA2057" s="128" t="e">
        <f>+VLOOKUP(Tabla3[[#This Row],[CODIGO2]],ESTANDAR!$B$3:$C$9,2,FALSE)</f>
        <v>#N/A</v>
      </c>
      <c r="AB2057" s="128" t="str">
        <f>+MID(Tabla3[[#This Row],['# Viaje]],10,1)</f>
        <v/>
      </c>
    </row>
    <row r="2058" spans="1:28" ht="15" hidden="1" customHeight="1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6"/>
      <c r="M2058" s="25"/>
      <c r="N2058" s="25"/>
      <c r="O2058" s="27"/>
      <c r="P2058" s="7"/>
      <c r="Q2058" s="16">
        <f>+IF(IFERROR(VLOOKUP(Tabla3[[#This Row],[Cliente factura]],Tabla4[[NIT]:[TOTAL CREDITO]],3,FALSE),0)="",0,IFERROR(VLOOKUP(Tabla3[[#This Row],[Cliente factura]],Tabla4[[NIT]:[TOTAL CREDITO]],3,FALSE),0))</f>
        <v>0</v>
      </c>
      <c r="R2058" s="9">
        <f>+IFERROR(VLOOKUP(Tabla3[[#This Row],[Cliente factura]],Tabla4[[NIT]:[TOTAL CREDITO]],6,FALSE),0)</f>
        <v>0</v>
      </c>
      <c r="S2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8" s="10" t="e">
        <f>VLOOKUP(Tabla3[[#This Row],[Razón social cliente factura]]&amp;Tabla3[[#This Row],[Desc. ciudad]],'Estandar de Rutas'!$C$1:$E$553,2,FALSE)</f>
        <v>#N/A</v>
      </c>
      <c r="U2058" s="130">
        <f>IFERROR(VLOOKUP(Tabla3[[#This Row],[Referencia]]&amp;Tabla3[[#This Row],[Desc detalle ext 1]],Tabla1[[Referencia-Color]:[Disponibilidad]],3,FALSE),0)</f>
        <v>0</v>
      </c>
      <c r="V2058" s="13"/>
      <c r="W2058" s="17">
        <f>+Tabla3[[#This Row],[Cant. Programada]]*Tabla3[[#This Row],[Precio unit]]</f>
        <v>0</v>
      </c>
      <c r="X2058" s="8"/>
      <c r="Y2058" s="8"/>
      <c r="Z2058" s="8" t="str">
        <f>+Tabla3[[#This Row],[Referencia]]&amp;Tabla3[[#This Row],[Desc detalle ext 1]]</f>
        <v/>
      </c>
      <c r="AA2058" s="128" t="e">
        <f>+VLOOKUP(Tabla3[[#This Row],[CODIGO2]],ESTANDAR!$B$3:$C$9,2,FALSE)</f>
        <v>#N/A</v>
      </c>
      <c r="AB2058" s="128" t="str">
        <f>+MID(Tabla3[[#This Row],['# Viaje]],10,1)</f>
        <v/>
      </c>
    </row>
    <row r="2059" spans="1:28" ht="15" hidden="1" customHeight="1">
      <c r="A2059" s="25"/>
      <c r="B2059" s="26"/>
      <c r="C2059" s="25"/>
      <c r="D2059" s="25"/>
      <c r="E2059" s="25"/>
      <c r="F2059" s="25"/>
      <c r="G2059" s="25"/>
      <c r="H2059" s="25"/>
      <c r="I2059" s="25"/>
      <c r="J2059" s="25"/>
      <c r="K2059" s="25"/>
      <c r="L2059" s="26"/>
      <c r="M2059" s="25"/>
      <c r="N2059" s="25"/>
      <c r="O2059" s="27"/>
      <c r="P2059" s="7"/>
      <c r="Q2059" s="16">
        <f>+IF(IFERROR(VLOOKUP(Tabla3[[#This Row],[Cliente factura]],Tabla4[[NIT]:[TOTAL CREDITO]],3,FALSE),0)="",0,IFERROR(VLOOKUP(Tabla3[[#This Row],[Cliente factura]],Tabla4[[NIT]:[TOTAL CREDITO]],3,FALSE),0))</f>
        <v>0</v>
      </c>
      <c r="R2059" s="9">
        <f>+IFERROR(VLOOKUP(Tabla3[[#This Row],[Cliente factura]],Tabla4[[NIT]:[TOTAL CREDITO]],6,FALSE),0)</f>
        <v>0</v>
      </c>
      <c r="S2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9" s="10" t="e">
        <f>VLOOKUP(Tabla3[[#This Row],[Razón social cliente factura]]&amp;Tabla3[[#This Row],[Desc. ciudad]],'Estandar de Rutas'!$C$1:$E$553,2,FALSE)</f>
        <v>#N/A</v>
      </c>
      <c r="U2059" s="130">
        <f>IFERROR(VLOOKUP(Tabla3[[#This Row],[Referencia]]&amp;Tabla3[[#This Row],[Desc detalle ext 1]],Tabla1[[Referencia-Color]:[Disponibilidad]],3,FALSE),0)</f>
        <v>0</v>
      </c>
      <c r="V2059" s="13"/>
      <c r="W2059" s="17">
        <f>+Tabla3[[#This Row],[Cant. Programada]]*Tabla3[[#This Row],[Precio unit]]</f>
        <v>0</v>
      </c>
      <c r="X2059" s="8"/>
      <c r="Y2059" s="8"/>
      <c r="Z2059" s="8" t="str">
        <f>+Tabla3[[#This Row],[Referencia]]&amp;Tabla3[[#This Row],[Desc detalle ext 1]]</f>
        <v/>
      </c>
      <c r="AA2059" s="128" t="e">
        <f>+VLOOKUP(Tabla3[[#This Row],[CODIGO2]],ESTANDAR!$B$3:$C$9,2,FALSE)</f>
        <v>#N/A</v>
      </c>
      <c r="AB2059" s="128" t="str">
        <f>+MID(Tabla3[[#This Row],['# Viaje]],10,1)</f>
        <v/>
      </c>
    </row>
    <row r="2060" spans="1:28" ht="15" hidden="1" customHeight="1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6"/>
      <c r="M2060" s="25"/>
      <c r="N2060" s="25"/>
      <c r="O2060" s="27"/>
      <c r="P2060" s="7"/>
      <c r="Q2060" s="16">
        <f>+IF(IFERROR(VLOOKUP(Tabla3[[#This Row],[Cliente factura]],Tabla4[[NIT]:[TOTAL CREDITO]],3,FALSE),0)="",0,IFERROR(VLOOKUP(Tabla3[[#This Row],[Cliente factura]],Tabla4[[NIT]:[TOTAL CREDITO]],3,FALSE),0))</f>
        <v>0</v>
      </c>
      <c r="R2060" s="9">
        <f>+IFERROR(VLOOKUP(Tabla3[[#This Row],[Cliente factura]],Tabla4[[NIT]:[TOTAL CREDITO]],6,FALSE),0)</f>
        <v>0</v>
      </c>
      <c r="S2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0" s="10" t="e">
        <f>VLOOKUP(Tabla3[[#This Row],[Razón social cliente factura]]&amp;Tabla3[[#This Row],[Desc. ciudad]],'Estandar de Rutas'!$C$1:$E$553,2,FALSE)</f>
        <v>#N/A</v>
      </c>
      <c r="U2060" s="130">
        <f>IFERROR(VLOOKUP(Tabla3[[#This Row],[Referencia]]&amp;Tabla3[[#This Row],[Desc detalle ext 1]],Tabla1[[Referencia-Color]:[Disponibilidad]],3,FALSE),0)</f>
        <v>0</v>
      </c>
      <c r="V2060" s="13"/>
      <c r="W2060" s="17">
        <f>+Tabla3[[#This Row],[Cant. Programada]]*Tabla3[[#This Row],[Precio unit]]</f>
        <v>0</v>
      </c>
      <c r="X2060" s="8"/>
      <c r="Y2060" s="8"/>
      <c r="Z2060" s="8" t="str">
        <f>+Tabla3[[#This Row],[Referencia]]&amp;Tabla3[[#This Row],[Desc detalle ext 1]]</f>
        <v/>
      </c>
      <c r="AA2060" s="128" t="e">
        <f>+VLOOKUP(Tabla3[[#This Row],[CODIGO2]],ESTANDAR!$B$3:$C$9,2,FALSE)</f>
        <v>#N/A</v>
      </c>
      <c r="AB2060" s="128" t="str">
        <f>+MID(Tabla3[[#This Row],['# Viaje]],10,1)</f>
        <v/>
      </c>
    </row>
    <row r="2061" spans="1:28" ht="15" hidden="1" customHeight="1">
      <c r="A2061" s="25"/>
      <c r="B2061" s="26"/>
      <c r="C2061" s="25"/>
      <c r="D2061" s="25"/>
      <c r="E2061" s="25"/>
      <c r="F2061" s="25"/>
      <c r="G2061" s="25"/>
      <c r="H2061" s="25"/>
      <c r="I2061" s="25"/>
      <c r="J2061" s="25"/>
      <c r="K2061" s="25"/>
      <c r="L2061" s="26"/>
      <c r="M2061" s="25"/>
      <c r="N2061" s="25"/>
      <c r="O2061" s="27"/>
      <c r="P2061" s="7"/>
      <c r="Q2061" s="16">
        <f>+IF(IFERROR(VLOOKUP(Tabla3[[#This Row],[Cliente factura]],Tabla4[[NIT]:[TOTAL CREDITO]],3,FALSE),0)="",0,IFERROR(VLOOKUP(Tabla3[[#This Row],[Cliente factura]],Tabla4[[NIT]:[TOTAL CREDITO]],3,FALSE),0))</f>
        <v>0</v>
      </c>
      <c r="R2061" s="9">
        <f>+IFERROR(VLOOKUP(Tabla3[[#This Row],[Cliente factura]],Tabla4[[NIT]:[TOTAL CREDITO]],6,FALSE),0)</f>
        <v>0</v>
      </c>
      <c r="S2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1" s="10" t="e">
        <f>VLOOKUP(Tabla3[[#This Row],[Razón social cliente factura]]&amp;Tabla3[[#This Row],[Desc. ciudad]],'Estandar de Rutas'!$C$1:$E$553,2,FALSE)</f>
        <v>#N/A</v>
      </c>
      <c r="U2061" s="130">
        <f>IFERROR(VLOOKUP(Tabla3[[#This Row],[Referencia]]&amp;Tabla3[[#This Row],[Desc detalle ext 1]],Tabla1[[Referencia-Color]:[Disponibilidad]],3,FALSE),0)</f>
        <v>0</v>
      </c>
      <c r="V2061" s="13"/>
      <c r="W2061" s="17">
        <f>+Tabla3[[#This Row],[Cant. Programada]]*Tabla3[[#This Row],[Precio unit]]</f>
        <v>0</v>
      </c>
      <c r="X2061" s="8"/>
      <c r="Y2061" s="8"/>
      <c r="Z2061" s="8" t="str">
        <f>+Tabla3[[#This Row],[Referencia]]&amp;Tabla3[[#This Row],[Desc detalle ext 1]]</f>
        <v/>
      </c>
      <c r="AA2061" s="128" t="e">
        <f>+VLOOKUP(Tabla3[[#This Row],[CODIGO2]],ESTANDAR!$B$3:$C$9,2,FALSE)</f>
        <v>#N/A</v>
      </c>
      <c r="AB2061" s="128" t="str">
        <f>+MID(Tabla3[[#This Row],['# Viaje]],10,1)</f>
        <v/>
      </c>
    </row>
    <row r="2062" spans="1:28" ht="15" hidden="1" customHeight="1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6"/>
      <c r="M2062" s="25"/>
      <c r="N2062" s="25"/>
      <c r="O2062" s="27"/>
      <c r="P2062" s="7"/>
      <c r="Q2062" s="16">
        <f>+IF(IFERROR(VLOOKUP(Tabla3[[#This Row],[Cliente factura]],Tabla4[[NIT]:[TOTAL CREDITO]],3,FALSE),0)="",0,IFERROR(VLOOKUP(Tabla3[[#This Row],[Cliente factura]],Tabla4[[NIT]:[TOTAL CREDITO]],3,FALSE),0))</f>
        <v>0</v>
      </c>
      <c r="R2062" s="9">
        <f>+IFERROR(VLOOKUP(Tabla3[[#This Row],[Cliente factura]],Tabla4[[NIT]:[TOTAL CREDITO]],6,FALSE),0)</f>
        <v>0</v>
      </c>
      <c r="S2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2" s="10" t="e">
        <f>VLOOKUP(Tabla3[[#This Row],[Razón social cliente factura]]&amp;Tabla3[[#This Row],[Desc. ciudad]],'Estandar de Rutas'!$C$1:$E$553,2,FALSE)</f>
        <v>#N/A</v>
      </c>
      <c r="U2062" s="130">
        <f>IFERROR(VLOOKUP(Tabla3[[#This Row],[Referencia]]&amp;Tabla3[[#This Row],[Desc detalle ext 1]],Tabla1[[Referencia-Color]:[Disponibilidad]],3,FALSE),0)</f>
        <v>0</v>
      </c>
      <c r="V2062" s="13"/>
      <c r="W2062" s="17">
        <f>+Tabla3[[#This Row],[Cant. Programada]]*Tabla3[[#This Row],[Precio unit]]</f>
        <v>0</v>
      </c>
      <c r="X2062" s="8"/>
      <c r="Y2062" s="8"/>
      <c r="Z2062" s="8" t="str">
        <f>+Tabla3[[#This Row],[Referencia]]&amp;Tabla3[[#This Row],[Desc detalle ext 1]]</f>
        <v/>
      </c>
      <c r="AA2062" s="128" t="e">
        <f>+VLOOKUP(Tabla3[[#This Row],[CODIGO2]],ESTANDAR!$B$3:$C$9,2,FALSE)</f>
        <v>#N/A</v>
      </c>
      <c r="AB2062" s="128" t="str">
        <f>+MID(Tabla3[[#This Row],['# Viaje]],10,1)</f>
        <v/>
      </c>
    </row>
    <row r="2063" spans="1:28" ht="15" hidden="1" customHeight="1">
      <c r="A2063" s="25"/>
      <c r="B2063" s="26"/>
      <c r="C2063" s="25"/>
      <c r="D2063" s="25"/>
      <c r="E2063" s="25"/>
      <c r="F2063" s="25"/>
      <c r="G2063" s="25"/>
      <c r="H2063" s="25"/>
      <c r="I2063" s="25"/>
      <c r="J2063" s="25"/>
      <c r="K2063" s="25"/>
      <c r="L2063" s="26"/>
      <c r="M2063" s="25"/>
      <c r="N2063" s="25"/>
      <c r="O2063" s="27"/>
      <c r="P2063" s="7"/>
      <c r="Q2063" s="16">
        <f>+IF(IFERROR(VLOOKUP(Tabla3[[#This Row],[Cliente factura]],Tabla4[[NIT]:[TOTAL CREDITO]],3,FALSE),0)="",0,IFERROR(VLOOKUP(Tabla3[[#This Row],[Cliente factura]],Tabla4[[NIT]:[TOTAL CREDITO]],3,FALSE),0))</f>
        <v>0</v>
      </c>
      <c r="R2063" s="9">
        <f>+IFERROR(VLOOKUP(Tabla3[[#This Row],[Cliente factura]],Tabla4[[NIT]:[TOTAL CREDITO]],6,FALSE),0)</f>
        <v>0</v>
      </c>
      <c r="S2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3" s="10" t="e">
        <f>VLOOKUP(Tabla3[[#This Row],[Razón social cliente factura]]&amp;Tabla3[[#This Row],[Desc. ciudad]],'Estandar de Rutas'!$C$1:$E$553,2,FALSE)</f>
        <v>#N/A</v>
      </c>
      <c r="U2063" s="130">
        <f>IFERROR(VLOOKUP(Tabla3[[#This Row],[Referencia]]&amp;Tabla3[[#This Row],[Desc detalle ext 1]],Tabla1[[Referencia-Color]:[Disponibilidad]],3,FALSE),0)</f>
        <v>0</v>
      </c>
      <c r="V2063" s="13"/>
      <c r="W2063" s="17">
        <f>+Tabla3[[#This Row],[Cant. Programada]]*Tabla3[[#This Row],[Precio unit]]</f>
        <v>0</v>
      </c>
      <c r="X2063" s="8"/>
      <c r="Y2063" s="8"/>
      <c r="Z2063" s="8" t="str">
        <f>+Tabla3[[#This Row],[Referencia]]&amp;Tabla3[[#This Row],[Desc detalle ext 1]]</f>
        <v/>
      </c>
      <c r="AA2063" s="128" t="e">
        <f>+VLOOKUP(Tabla3[[#This Row],[CODIGO2]],ESTANDAR!$B$3:$C$9,2,FALSE)</f>
        <v>#N/A</v>
      </c>
      <c r="AB2063" s="128" t="str">
        <f>+MID(Tabla3[[#This Row],['# Viaje]],10,1)</f>
        <v/>
      </c>
    </row>
    <row r="2064" spans="1:28" ht="15" hidden="1" customHeight="1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6"/>
      <c r="M2064" s="25"/>
      <c r="N2064" s="25"/>
      <c r="O2064" s="27"/>
      <c r="P2064" s="7"/>
      <c r="Q2064" s="16">
        <f>+IF(IFERROR(VLOOKUP(Tabla3[[#This Row],[Cliente factura]],Tabla4[[NIT]:[TOTAL CREDITO]],3,FALSE),0)="",0,IFERROR(VLOOKUP(Tabla3[[#This Row],[Cliente factura]],Tabla4[[NIT]:[TOTAL CREDITO]],3,FALSE),0))</f>
        <v>0</v>
      </c>
      <c r="R2064" s="9">
        <f>+IFERROR(VLOOKUP(Tabla3[[#This Row],[Cliente factura]],Tabla4[[NIT]:[TOTAL CREDITO]],6,FALSE),0)</f>
        <v>0</v>
      </c>
      <c r="S2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4" s="10" t="e">
        <f>VLOOKUP(Tabla3[[#This Row],[Razón social cliente factura]]&amp;Tabla3[[#This Row],[Desc. ciudad]],'Estandar de Rutas'!$C$1:$E$553,2,FALSE)</f>
        <v>#N/A</v>
      </c>
      <c r="U2064" s="130">
        <f>IFERROR(VLOOKUP(Tabla3[[#This Row],[Referencia]]&amp;Tabla3[[#This Row],[Desc detalle ext 1]],Tabla1[[Referencia-Color]:[Disponibilidad]],3,FALSE),0)</f>
        <v>0</v>
      </c>
      <c r="V2064" s="13"/>
      <c r="W2064" s="17">
        <f>+Tabla3[[#This Row],[Cant. Programada]]*Tabla3[[#This Row],[Precio unit]]</f>
        <v>0</v>
      </c>
      <c r="X2064" s="8"/>
      <c r="Y2064" s="8"/>
      <c r="Z2064" s="8" t="str">
        <f>+Tabla3[[#This Row],[Referencia]]&amp;Tabla3[[#This Row],[Desc detalle ext 1]]</f>
        <v/>
      </c>
      <c r="AA2064" s="128" t="e">
        <f>+VLOOKUP(Tabla3[[#This Row],[CODIGO2]],ESTANDAR!$B$3:$C$9,2,FALSE)</f>
        <v>#N/A</v>
      </c>
      <c r="AB2064" s="128" t="str">
        <f>+MID(Tabla3[[#This Row],['# Viaje]],10,1)</f>
        <v/>
      </c>
    </row>
    <row r="2065" spans="1:28" ht="15" hidden="1" customHeight="1">
      <c r="A2065" s="25"/>
      <c r="B2065" s="26"/>
      <c r="C2065" s="25"/>
      <c r="D2065" s="25"/>
      <c r="E2065" s="25"/>
      <c r="F2065" s="25"/>
      <c r="G2065" s="25"/>
      <c r="H2065" s="25"/>
      <c r="I2065" s="25"/>
      <c r="J2065" s="25"/>
      <c r="K2065" s="25"/>
      <c r="L2065" s="26"/>
      <c r="M2065" s="25"/>
      <c r="N2065" s="25"/>
      <c r="O2065" s="27"/>
      <c r="P2065" s="7"/>
      <c r="Q2065" s="16">
        <f>+IF(IFERROR(VLOOKUP(Tabla3[[#This Row],[Cliente factura]],Tabla4[[NIT]:[TOTAL CREDITO]],3,FALSE),0)="",0,IFERROR(VLOOKUP(Tabla3[[#This Row],[Cliente factura]],Tabla4[[NIT]:[TOTAL CREDITO]],3,FALSE),0))</f>
        <v>0</v>
      </c>
      <c r="R2065" s="9">
        <f>+IFERROR(VLOOKUP(Tabla3[[#This Row],[Cliente factura]],Tabla4[[NIT]:[TOTAL CREDITO]],6,FALSE),0)</f>
        <v>0</v>
      </c>
      <c r="S2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5" s="10" t="e">
        <f>VLOOKUP(Tabla3[[#This Row],[Razón social cliente factura]]&amp;Tabla3[[#This Row],[Desc. ciudad]],'Estandar de Rutas'!$C$1:$E$553,2,FALSE)</f>
        <v>#N/A</v>
      </c>
      <c r="U2065" s="130">
        <f>IFERROR(VLOOKUP(Tabla3[[#This Row],[Referencia]]&amp;Tabla3[[#This Row],[Desc detalle ext 1]],Tabla1[[Referencia-Color]:[Disponibilidad]],3,FALSE),0)</f>
        <v>0</v>
      </c>
      <c r="V2065" s="13"/>
      <c r="W2065" s="17">
        <f>+Tabla3[[#This Row],[Cant. Programada]]*Tabla3[[#This Row],[Precio unit]]</f>
        <v>0</v>
      </c>
      <c r="X2065" s="8"/>
      <c r="Y2065" s="8"/>
      <c r="Z2065" s="8" t="str">
        <f>+Tabla3[[#This Row],[Referencia]]&amp;Tabla3[[#This Row],[Desc detalle ext 1]]</f>
        <v/>
      </c>
      <c r="AA2065" s="128" t="e">
        <f>+VLOOKUP(Tabla3[[#This Row],[CODIGO2]],ESTANDAR!$B$3:$C$9,2,FALSE)</f>
        <v>#N/A</v>
      </c>
      <c r="AB2065" s="128" t="str">
        <f>+MID(Tabla3[[#This Row],['# Viaje]],10,1)</f>
        <v/>
      </c>
    </row>
    <row r="2066" spans="1:28" ht="15" hidden="1" customHeight="1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6"/>
      <c r="M2066" s="25"/>
      <c r="N2066" s="25"/>
      <c r="O2066" s="27"/>
      <c r="P2066" s="7"/>
      <c r="Q2066" s="16">
        <f>+IF(IFERROR(VLOOKUP(Tabla3[[#This Row],[Cliente factura]],Tabla4[[NIT]:[TOTAL CREDITO]],3,FALSE),0)="",0,IFERROR(VLOOKUP(Tabla3[[#This Row],[Cliente factura]],Tabla4[[NIT]:[TOTAL CREDITO]],3,FALSE),0))</f>
        <v>0</v>
      </c>
      <c r="R2066" s="9">
        <f>+IFERROR(VLOOKUP(Tabla3[[#This Row],[Cliente factura]],Tabla4[[NIT]:[TOTAL CREDITO]],6,FALSE),0)</f>
        <v>0</v>
      </c>
      <c r="S2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6" s="10" t="e">
        <f>VLOOKUP(Tabla3[[#This Row],[Razón social cliente factura]]&amp;Tabla3[[#This Row],[Desc. ciudad]],'Estandar de Rutas'!$C$1:$E$553,2,FALSE)</f>
        <v>#N/A</v>
      </c>
      <c r="U2066" s="130">
        <f>IFERROR(VLOOKUP(Tabla3[[#This Row],[Referencia]]&amp;Tabla3[[#This Row],[Desc detalle ext 1]],Tabla1[[Referencia-Color]:[Disponibilidad]],3,FALSE),0)</f>
        <v>0</v>
      </c>
      <c r="V2066" s="13"/>
      <c r="W2066" s="17">
        <f>+Tabla3[[#This Row],[Cant. Programada]]*Tabla3[[#This Row],[Precio unit]]</f>
        <v>0</v>
      </c>
      <c r="X2066" s="8"/>
      <c r="Y2066" s="8"/>
      <c r="Z2066" s="8" t="str">
        <f>+Tabla3[[#This Row],[Referencia]]&amp;Tabla3[[#This Row],[Desc detalle ext 1]]</f>
        <v/>
      </c>
      <c r="AA2066" s="128" t="e">
        <f>+VLOOKUP(Tabla3[[#This Row],[CODIGO2]],ESTANDAR!$B$3:$C$9,2,FALSE)</f>
        <v>#N/A</v>
      </c>
      <c r="AB2066" s="128" t="str">
        <f>+MID(Tabla3[[#This Row],['# Viaje]],10,1)</f>
        <v/>
      </c>
    </row>
    <row r="2067" spans="1:28" ht="15" hidden="1" customHeight="1">
      <c r="A2067" s="25"/>
      <c r="B2067" s="26"/>
      <c r="C2067" s="25"/>
      <c r="D2067" s="25"/>
      <c r="E2067" s="25"/>
      <c r="F2067" s="25"/>
      <c r="G2067" s="25"/>
      <c r="H2067" s="25"/>
      <c r="I2067" s="25"/>
      <c r="J2067" s="25"/>
      <c r="K2067" s="25"/>
      <c r="L2067" s="26"/>
      <c r="M2067" s="25"/>
      <c r="N2067" s="25"/>
      <c r="O2067" s="27"/>
      <c r="P2067" s="7"/>
      <c r="Q2067" s="16">
        <f>+IF(IFERROR(VLOOKUP(Tabla3[[#This Row],[Cliente factura]],Tabla4[[NIT]:[TOTAL CREDITO]],3,FALSE),0)="",0,IFERROR(VLOOKUP(Tabla3[[#This Row],[Cliente factura]],Tabla4[[NIT]:[TOTAL CREDITO]],3,FALSE),0))</f>
        <v>0</v>
      </c>
      <c r="R2067" s="9">
        <f>+IFERROR(VLOOKUP(Tabla3[[#This Row],[Cliente factura]],Tabla4[[NIT]:[TOTAL CREDITO]],6,FALSE),0)</f>
        <v>0</v>
      </c>
      <c r="S2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7" s="10" t="e">
        <f>VLOOKUP(Tabla3[[#This Row],[Razón social cliente factura]]&amp;Tabla3[[#This Row],[Desc. ciudad]],'Estandar de Rutas'!$C$1:$E$553,2,FALSE)</f>
        <v>#N/A</v>
      </c>
      <c r="U2067" s="130">
        <f>IFERROR(VLOOKUP(Tabla3[[#This Row],[Referencia]]&amp;Tabla3[[#This Row],[Desc detalle ext 1]],Tabla1[[Referencia-Color]:[Disponibilidad]],3,FALSE),0)</f>
        <v>0</v>
      </c>
      <c r="V2067" s="13"/>
      <c r="W2067" s="17">
        <f>+Tabla3[[#This Row],[Cant. Programada]]*Tabla3[[#This Row],[Precio unit]]</f>
        <v>0</v>
      </c>
      <c r="X2067" s="8"/>
      <c r="Y2067" s="8"/>
      <c r="Z2067" s="8" t="str">
        <f>+Tabla3[[#This Row],[Referencia]]&amp;Tabla3[[#This Row],[Desc detalle ext 1]]</f>
        <v/>
      </c>
      <c r="AA2067" s="128" t="e">
        <f>+VLOOKUP(Tabla3[[#This Row],[CODIGO2]],ESTANDAR!$B$3:$C$9,2,FALSE)</f>
        <v>#N/A</v>
      </c>
      <c r="AB2067" s="128" t="str">
        <f>+MID(Tabla3[[#This Row],['# Viaje]],10,1)</f>
        <v/>
      </c>
    </row>
    <row r="2068" spans="1:28" ht="15" hidden="1" customHeight="1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6"/>
      <c r="M2068" s="25"/>
      <c r="N2068" s="25"/>
      <c r="O2068" s="27"/>
      <c r="P2068" s="7"/>
      <c r="Q2068" s="16">
        <f>+IF(IFERROR(VLOOKUP(Tabla3[[#This Row],[Cliente factura]],Tabla4[[NIT]:[TOTAL CREDITO]],3,FALSE),0)="",0,IFERROR(VLOOKUP(Tabla3[[#This Row],[Cliente factura]],Tabla4[[NIT]:[TOTAL CREDITO]],3,FALSE),0))</f>
        <v>0</v>
      </c>
      <c r="R2068" s="9">
        <f>+IFERROR(VLOOKUP(Tabla3[[#This Row],[Cliente factura]],Tabla4[[NIT]:[TOTAL CREDITO]],6,FALSE),0)</f>
        <v>0</v>
      </c>
      <c r="S2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8" s="10" t="e">
        <f>VLOOKUP(Tabla3[[#This Row],[Razón social cliente factura]]&amp;Tabla3[[#This Row],[Desc. ciudad]],'Estandar de Rutas'!$C$1:$E$553,2,FALSE)</f>
        <v>#N/A</v>
      </c>
      <c r="U2068" s="130">
        <f>IFERROR(VLOOKUP(Tabla3[[#This Row],[Referencia]]&amp;Tabla3[[#This Row],[Desc detalle ext 1]],Tabla1[[Referencia-Color]:[Disponibilidad]],3,FALSE),0)</f>
        <v>0</v>
      </c>
      <c r="V2068" s="13"/>
      <c r="W2068" s="17">
        <f>+Tabla3[[#This Row],[Cant. Programada]]*Tabla3[[#This Row],[Precio unit]]</f>
        <v>0</v>
      </c>
      <c r="X2068" s="8"/>
      <c r="Y2068" s="8"/>
      <c r="Z2068" s="8" t="str">
        <f>+Tabla3[[#This Row],[Referencia]]&amp;Tabla3[[#This Row],[Desc detalle ext 1]]</f>
        <v/>
      </c>
      <c r="AA2068" s="128" t="e">
        <f>+VLOOKUP(Tabla3[[#This Row],[CODIGO2]],ESTANDAR!$B$3:$C$9,2,FALSE)</f>
        <v>#N/A</v>
      </c>
      <c r="AB2068" s="128" t="str">
        <f>+MID(Tabla3[[#This Row],['# Viaje]],10,1)</f>
        <v/>
      </c>
    </row>
    <row r="2069" spans="1:28" ht="15" hidden="1" customHeight="1">
      <c r="A2069" s="25"/>
      <c r="B2069" s="26"/>
      <c r="C2069" s="25"/>
      <c r="D2069" s="25"/>
      <c r="E2069" s="25"/>
      <c r="F2069" s="25"/>
      <c r="G2069" s="25"/>
      <c r="H2069" s="25"/>
      <c r="I2069" s="25"/>
      <c r="J2069" s="25"/>
      <c r="K2069" s="25"/>
      <c r="L2069" s="26"/>
      <c r="M2069" s="25"/>
      <c r="N2069" s="25"/>
      <c r="O2069" s="27"/>
      <c r="P2069" s="7"/>
      <c r="Q2069" s="16">
        <f>+IF(IFERROR(VLOOKUP(Tabla3[[#This Row],[Cliente factura]],Tabla4[[NIT]:[TOTAL CREDITO]],3,FALSE),0)="",0,IFERROR(VLOOKUP(Tabla3[[#This Row],[Cliente factura]],Tabla4[[NIT]:[TOTAL CREDITO]],3,FALSE),0))</f>
        <v>0</v>
      </c>
      <c r="R2069" s="9">
        <f>+IFERROR(VLOOKUP(Tabla3[[#This Row],[Cliente factura]],Tabla4[[NIT]:[TOTAL CREDITO]],6,FALSE),0)</f>
        <v>0</v>
      </c>
      <c r="S2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9" s="10" t="e">
        <f>VLOOKUP(Tabla3[[#This Row],[Razón social cliente factura]]&amp;Tabla3[[#This Row],[Desc. ciudad]],'Estandar de Rutas'!$C$1:$E$553,2,FALSE)</f>
        <v>#N/A</v>
      </c>
      <c r="U2069" s="130">
        <f>IFERROR(VLOOKUP(Tabla3[[#This Row],[Referencia]]&amp;Tabla3[[#This Row],[Desc detalle ext 1]],Tabla1[[Referencia-Color]:[Disponibilidad]],3,FALSE),0)</f>
        <v>0</v>
      </c>
      <c r="V2069" s="13"/>
      <c r="W2069" s="17">
        <f>+Tabla3[[#This Row],[Cant. Programada]]*Tabla3[[#This Row],[Precio unit]]</f>
        <v>0</v>
      </c>
      <c r="X2069" s="8"/>
      <c r="Y2069" s="8"/>
      <c r="Z2069" s="8" t="str">
        <f>+Tabla3[[#This Row],[Referencia]]&amp;Tabla3[[#This Row],[Desc detalle ext 1]]</f>
        <v/>
      </c>
      <c r="AA2069" s="128" t="e">
        <f>+VLOOKUP(Tabla3[[#This Row],[CODIGO2]],ESTANDAR!$B$3:$C$9,2,FALSE)</f>
        <v>#N/A</v>
      </c>
      <c r="AB2069" s="128" t="str">
        <f>+MID(Tabla3[[#This Row],['# Viaje]],10,1)</f>
        <v/>
      </c>
    </row>
    <row r="2070" spans="1:28" ht="15" hidden="1" customHeight="1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6"/>
      <c r="M2070" s="25"/>
      <c r="N2070" s="25"/>
      <c r="O2070" s="27"/>
      <c r="P2070" s="7"/>
      <c r="Q2070" s="16">
        <f>+IF(IFERROR(VLOOKUP(Tabla3[[#This Row],[Cliente factura]],Tabla4[[NIT]:[TOTAL CREDITO]],3,FALSE),0)="",0,IFERROR(VLOOKUP(Tabla3[[#This Row],[Cliente factura]],Tabla4[[NIT]:[TOTAL CREDITO]],3,FALSE),0))</f>
        <v>0</v>
      </c>
      <c r="R2070" s="9">
        <f>+IFERROR(VLOOKUP(Tabla3[[#This Row],[Cliente factura]],Tabla4[[NIT]:[TOTAL CREDITO]],6,FALSE),0)</f>
        <v>0</v>
      </c>
      <c r="S2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0" s="10" t="e">
        <f>VLOOKUP(Tabla3[[#This Row],[Razón social cliente factura]]&amp;Tabla3[[#This Row],[Desc. ciudad]],'Estandar de Rutas'!$C$1:$E$553,2,FALSE)</f>
        <v>#N/A</v>
      </c>
      <c r="U2070" s="130">
        <f>IFERROR(VLOOKUP(Tabla3[[#This Row],[Referencia]]&amp;Tabla3[[#This Row],[Desc detalle ext 1]],Tabla1[[Referencia-Color]:[Disponibilidad]],3,FALSE),0)</f>
        <v>0</v>
      </c>
      <c r="V2070" s="13"/>
      <c r="W2070" s="17">
        <f>+Tabla3[[#This Row],[Cant. Programada]]*Tabla3[[#This Row],[Precio unit]]</f>
        <v>0</v>
      </c>
      <c r="X2070" s="8"/>
      <c r="Y2070" s="8"/>
      <c r="Z2070" s="8" t="str">
        <f>+Tabla3[[#This Row],[Referencia]]&amp;Tabla3[[#This Row],[Desc detalle ext 1]]</f>
        <v/>
      </c>
      <c r="AA2070" s="128" t="e">
        <f>+VLOOKUP(Tabla3[[#This Row],[CODIGO2]],ESTANDAR!$B$3:$C$9,2,FALSE)</f>
        <v>#N/A</v>
      </c>
      <c r="AB2070" s="128" t="str">
        <f>+MID(Tabla3[[#This Row],['# Viaje]],10,1)</f>
        <v/>
      </c>
    </row>
    <row r="2071" spans="1:28" ht="15" hidden="1" customHeight="1">
      <c r="A2071" s="25"/>
      <c r="B2071" s="26"/>
      <c r="C2071" s="25"/>
      <c r="D2071" s="25"/>
      <c r="E2071" s="25"/>
      <c r="F2071" s="25"/>
      <c r="G2071" s="25"/>
      <c r="H2071" s="25"/>
      <c r="I2071" s="25"/>
      <c r="J2071" s="25"/>
      <c r="K2071" s="25"/>
      <c r="L2071" s="26"/>
      <c r="M2071" s="25"/>
      <c r="N2071" s="25"/>
      <c r="O2071" s="27"/>
      <c r="P2071" s="7"/>
      <c r="Q2071" s="16">
        <f>+IF(IFERROR(VLOOKUP(Tabla3[[#This Row],[Cliente factura]],Tabla4[[NIT]:[TOTAL CREDITO]],3,FALSE),0)="",0,IFERROR(VLOOKUP(Tabla3[[#This Row],[Cliente factura]],Tabla4[[NIT]:[TOTAL CREDITO]],3,FALSE),0))</f>
        <v>0</v>
      </c>
      <c r="R2071" s="9">
        <f>+IFERROR(VLOOKUP(Tabla3[[#This Row],[Cliente factura]],Tabla4[[NIT]:[TOTAL CREDITO]],6,FALSE),0)</f>
        <v>0</v>
      </c>
      <c r="S2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1" s="10" t="e">
        <f>VLOOKUP(Tabla3[[#This Row],[Razón social cliente factura]]&amp;Tabla3[[#This Row],[Desc. ciudad]],'Estandar de Rutas'!$C$1:$E$553,2,FALSE)</f>
        <v>#N/A</v>
      </c>
      <c r="U2071" s="130">
        <f>IFERROR(VLOOKUP(Tabla3[[#This Row],[Referencia]]&amp;Tabla3[[#This Row],[Desc detalle ext 1]],Tabla1[[Referencia-Color]:[Disponibilidad]],3,FALSE),0)</f>
        <v>0</v>
      </c>
      <c r="V2071" s="13"/>
      <c r="W2071" s="17">
        <f>+Tabla3[[#This Row],[Cant. Programada]]*Tabla3[[#This Row],[Precio unit]]</f>
        <v>0</v>
      </c>
      <c r="X2071" s="8"/>
      <c r="Y2071" s="8"/>
      <c r="Z2071" s="8" t="str">
        <f>+Tabla3[[#This Row],[Referencia]]&amp;Tabla3[[#This Row],[Desc detalle ext 1]]</f>
        <v/>
      </c>
      <c r="AA2071" s="128" t="e">
        <f>+VLOOKUP(Tabla3[[#This Row],[CODIGO2]],ESTANDAR!$B$3:$C$9,2,FALSE)</f>
        <v>#N/A</v>
      </c>
      <c r="AB2071" s="128" t="str">
        <f>+MID(Tabla3[[#This Row],['# Viaje]],10,1)</f>
        <v/>
      </c>
    </row>
    <row r="2072" spans="1:28" ht="15" hidden="1" customHeight="1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6"/>
      <c r="M2072" s="25"/>
      <c r="N2072" s="25"/>
      <c r="O2072" s="27"/>
      <c r="P2072" s="7"/>
      <c r="Q2072" s="16">
        <f>+IF(IFERROR(VLOOKUP(Tabla3[[#This Row],[Cliente factura]],Tabla4[[NIT]:[TOTAL CREDITO]],3,FALSE),0)="",0,IFERROR(VLOOKUP(Tabla3[[#This Row],[Cliente factura]],Tabla4[[NIT]:[TOTAL CREDITO]],3,FALSE),0))</f>
        <v>0</v>
      </c>
      <c r="R2072" s="9">
        <f>+IFERROR(VLOOKUP(Tabla3[[#This Row],[Cliente factura]],Tabla4[[NIT]:[TOTAL CREDITO]],6,FALSE),0)</f>
        <v>0</v>
      </c>
      <c r="S2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2" s="10" t="e">
        <f>VLOOKUP(Tabla3[[#This Row],[Razón social cliente factura]]&amp;Tabla3[[#This Row],[Desc. ciudad]],'Estandar de Rutas'!$C$1:$E$553,2,FALSE)</f>
        <v>#N/A</v>
      </c>
      <c r="U2072" s="130">
        <f>IFERROR(VLOOKUP(Tabla3[[#This Row],[Referencia]]&amp;Tabla3[[#This Row],[Desc detalle ext 1]],Tabla1[[Referencia-Color]:[Disponibilidad]],3,FALSE),0)</f>
        <v>0</v>
      </c>
      <c r="V2072" s="13"/>
      <c r="W2072" s="17">
        <f>+Tabla3[[#This Row],[Cant. Programada]]*Tabla3[[#This Row],[Precio unit]]</f>
        <v>0</v>
      </c>
      <c r="X2072" s="8"/>
      <c r="Y2072" s="8"/>
      <c r="Z2072" s="8" t="str">
        <f>+Tabla3[[#This Row],[Referencia]]&amp;Tabla3[[#This Row],[Desc detalle ext 1]]</f>
        <v/>
      </c>
      <c r="AA2072" s="128" t="e">
        <f>+VLOOKUP(Tabla3[[#This Row],[CODIGO2]],ESTANDAR!$B$3:$C$9,2,FALSE)</f>
        <v>#N/A</v>
      </c>
      <c r="AB2072" s="128" t="str">
        <f>+MID(Tabla3[[#This Row],['# Viaje]],10,1)</f>
        <v/>
      </c>
    </row>
    <row r="2073" spans="1:28" ht="15" hidden="1" customHeight="1">
      <c r="A2073" s="25"/>
      <c r="B2073" s="26"/>
      <c r="C2073" s="25"/>
      <c r="D2073" s="25"/>
      <c r="E2073" s="25"/>
      <c r="F2073" s="25"/>
      <c r="G2073" s="25"/>
      <c r="H2073" s="25"/>
      <c r="I2073" s="25"/>
      <c r="J2073" s="25"/>
      <c r="K2073" s="25"/>
      <c r="L2073" s="26"/>
      <c r="M2073" s="25"/>
      <c r="N2073" s="25"/>
      <c r="O2073" s="27"/>
      <c r="P2073" s="7"/>
      <c r="Q2073" s="16">
        <f>+IF(IFERROR(VLOOKUP(Tabla3[[#This Row],[Cliente factura]],Tabla4[[NIT]:[TOTAL CREDITO]],3,FALSE),0)="",0,IFERROR(VLOOKUP(Tabla3[[#This Row],[Cliente factura]],Tabla4[[NIT]:[TOTAL CREDITO]],3,FALSE),0))</f>
        <v>0</v>
      </c>
      <c r="R2073" s="9">
        <f>+IFERROR(VLOOKUP(Tabla3[[#This Row],[Cliente factura]],Tabla4[[NIT]:[TOTAL CREDITO]],6,FALSE),0)</f>
        <v>0</v>
      </c>
      <c r="S2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3" s="10" t="e">
        <f>VLOOKUP(Tabla3[[#This Row],[Razón social cliente factura]]&amp;Tabla3[[#This Row],[Desc. ciudad]],'Estandar de Rutas'!$C$1:$E$553,2,FALSE)</f>
        <v>#N/A</v>
      </c>
      <c r="U2073" s="130">
        <f>IFERROR(VLOOKUP(Tabla3[[#This Row],[Referencia]]&amp;Tabla3[[#This Row],[Desc detalle ext 1]],Tabla1[[Referencia-Color]:[Disponibilidad]],3,FALSE),0)</f>
        <v>0</v>
      </c>
      <c r="V2073" s="13"/>
      <c r="W2073" s="17">
        <f>+Tabla3[[#This Row],[Cant. Programada]]*Tabla3[[#This Row],[Precio unit]]</f>
        <v>0</v>
      </c>
      <c r="X2073" s="8"/>
      <c r="Y2073" s="8"/>
      <c r="Z2073" s="8" t="str">
        <f>+Tabla3[[#This Row],[Referencia]]&amp;Tabla3[[#This Row],[Desc detalle ext 1]]</f>
        <v/>
      </c>
      <c r="AA2073" s="128" t="e">
        <f>+VLOOKUP(Tabla3[[#This Row],[CODIGO2]],ESTANDAR!$B$3:$C$9,2,FALSE)</f>
        <v>#N/A</v>
      </c>
      <c r="AB2073" s="128" t="str">
        <f>+MID(Tabla3[[#This Row],['# Viaje]],10,1)</f>
        <v/>
      </c>
    </row>
    <row r="2074" spans="1:28" ht="15" hidden="1" customHeight="1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6"/>
      <c r="M2074" s="25"/>
      <c r="N2074" s="25"/>
      <c r="O2074" s="27"/>
      <c r="P2074" s="7"/>
      <c r="Q2074" s="16">
        <f>+IF(IFERROR(VLOOKUP(Tabla3[[#This Row],[Cliente factura]],Tabla4[[NIT]:[TOTAL CREDITO]],3,FALSE),0)="",0,IFERROR(VLOOKUP(Tabla3[[#This Row],[Cliente factura]],Tabla4[[NIT]:[TOTAL CREDITO]],3,FALSE),0))</f>
        <v>0</v>
      </c>
      <c r="R2074" s="9">
        <f>+IFERROR(VLOOKUP(Tabla3[[#This Row],[Cliente factura]],Tabla4[[NIT]:[TOTAL CREDITO]],6,FALSE),0)</f>
        <v>0</v>
      </c>
      <c r="S2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4" s="10" t="e">
        <f>VLOOKUP(Tabla3[[#This Row],[Razón social cliente factura]]&amp;Tabla3[[#This Row],[Desc. ciudad]],'Estandar de Rutas'!$C$1:$E$553,2,FALSE)</f>
        <v>#N/A</v>
      </c>
      <c r="U2074" s="130">
        <f>IFERROR(VLOOKUP(Tabla3[[#This Row],[Referencia]]&amp;Tabla3[[#This Row],[Desc detalle ext 1]],Tabla1[[Referencia-Color]:[Disponibilidad]],3,FALSE),0)</f>
        <v>0</v>
      </c>
      <c r="V2074" s="13"/>
      <c r="W2074" s="17">
        <f>+Tabla3[[#This Row],[Cant. Programada]]*Tabla3[[#This Row],[Precio unit]]</f>
        <v>0</v>
      </c>
      <c r="X2074" s="8"/>
      <c r="Y2074" s="8"/>
      <c r="Z2074" s="8" t="str">
        <f>+Tabla3[[#This Row],[Referencia]]&amp;Tabla3[[#This Row],[Desc detalle ext 1]]</f>
        <v/>
      </c>
      <c r="AA2074" s="128" t="e">
        <f>+VLOOKUP(Tabla3[[#This Row],[CODIGO2]],ESTANDAR!$B$3:$C$9,2,FALSE)</f>
        <v>#N/A</v>
      </c>
      <c r="AB2074" s="128" t="str">
        <f>+MID(Tabla3[[#This Row],['# Viaje]],10,1)</f>
        <v/>
      </c>
    </row>
    <row r="2075" spans="1:28" ht="15" hidden="1" customHeight="1">
      <c r="A2075" s="25"/>
      <c r="B2075" s="26"/>
      <c r="C2075" s="25"/>
      <c r="D2075" s="25"/>
      <c r="E2075" s="25"/>
      <c r="F2075" s="25"/>
      <c r="G2075" s="25"/>
      <c r="H2075" s="25"/>
      <c r="I2075" s="25"/>
      <c r="J2075" s="25"/>
      <c r="K2075" s="25"/>
      <c r="L2075" s="26"/>
      <c r="M2075" s="25"/>
      <c r="N2075" s="25"/>
      <c r="O2075" s="27"/>
      <c r="P2075" s="7"/>
      <c r="Q2075" s="16">
        <f>+IF(IFERROR(VLOOKUP(Tabla3[[#This Row],[Cliente factura]],Tabla4[[NIT]:[TOTAL CREDITO]],3,FALSE),0)="",0,IFERROR(VLOOKUP(Tabla3[[#This Row],[Cliente factura]],Tabla4[[NIT]:[TOTAL CREDITO]],3,FALSE),0))</f>
        <v>0</v>
      </c>
      <c r="R2075" s="9">
        <f>+IFERROR(VLOOKUP(Tabla3[[#This Row],[Cliente factura]],Tabla4[[NIT]:[TOTAL CREDITO]],6,FALSE),0)</f>
        <v>0</v>
      </c>
      <c r="S2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5" s="10" t="e">
        <f>VLOOKUP(Tabla3[[#This Row],[Razón social cliente factura]]&amp;Tabla3[[#This Row],[Desc. ciudad]],'Estandar de Rutas'!$C$1:$E$553,2,FALSE)</f>
        <v>#N/A</v>
      </c>
      <c r="U2075" s="130">
        <f>IFERROR(VLOOKUP(Tabla3[[#This Row],[Referencia]]&amp;Tabla3[[#This Row],[Desc detalle ext 1]],Tabla1[[Referencia-Color]:[Disponibilidad]],3,FALSE),0)</f>
        <v>0</v>
      </c>
      <c r="V2075" s="13"/>
      <c r="W2075" s="17">
        <f>+Tabla3[[#This Row],[Cant. Programada]]*Tabla3[[#This Row],[Precio unit]]</f>
        <v>0</v>
      </c>
      <c r="X2075" s="8"/>
      <c r="Y2075" s="8"/>
      <c r="Z2075" s="8" t="str">
        <f>+Tabla3[[#This Row],[Referencia]]&amp;Tabla3[[#This Row],[Desc detalle ext 1]]</f>
        <v/>
      </c>
      <c r="AA2075" s="128" t="e">
        <f>+VLOOKUP(Tabla3[[#This Row],[CODIGO2]],ESTANDAR!$B$3:$C$9,2,FALSE)</f>
        <v>#N/A</v>
      </c>
      <c r="AB2075" s="128" t="str">
        <f>+MID(Tabla3[[#This Row],['# Viaje]],10,1)</f>
        <v/>
      </c>
    </row>
    <row r="2076" spans="1:28" ht="15" hidden="1" customHeight="1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6"/>
      <c r="M2076" s="25"/>
      <c r="N2076" s="25"/>
      <c r="O2076" s="27"/>
      <c r="P2076" s="7"/>
      <c r="Q2076" s="16">
        <f>+IF(IFERROR(VLOOKUP(Tabla3[[#This Row],[Cliente factura]],Tabla4[[NIT]:[TOTAL CREDITO]],3,FALSE),0)="",0,IFERROR(VLOOKUP(Tabla3[[#This Row],[Cliente factura]],Tabla4[[NIT]:[TOTAL CREDITO]],3,FALSE),0))</f>
        <v>0</v>
      </c>
      <c r="R2076" s="9">
        <f>+IFERROR(VLOOKUP(Tabla3[[#This Row],[Cliente factura]],Tabla4[[NIT]:[TOTAL CREDITO]],6,FALSE),0)</f>
        <v>0</v>
      </c>
      <c r="S2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6" s="10" t="e">
        <f>VLOOKUP(Tabla3[[#This Row],[Razón social cliente factura]]&amp;Tabla3[[#This Row],[Desc. ciudad]],'Estandar de Rutas'!$C$1:$E$553,2,FALSE)</f>
        <v>#N/A</v>
      </c>
      <c r="U2076" s="130">
        <f>IFERROR(VLOOKUP(Tabla3[[#This Row],[Referencia]]&amp;Tabla3[[#This Row],[Desc detalle ext 1]],Tabla1[[Referencia-Color]:[Disponibilidad]],3,FALSE),0)</f>
        <v>0</v>
      </c>
      <c r="V2076" s="13"/>
      <c r="W2076" s="17">
        <f>+Tabla3[[#This Row],[Cant. Programada]]*Tabla3[[#This Row],[Precio unit]]</f>
        <v>0</v>
      </c>
      <c r="X2076" s="8"/>
      <c r="Y2076" s="8"/>
      <c r="Z2076" s="8" t="str">
        <f>+Tabla3[[#This Row],[Referencia]]&amp;Tabla3[[#This Row],[Desc detalle ext 1]]</f>
        <v/>
      </c>
      <c r="AA2076" s="128" t="e">
        <f>+VLOOKUP(Tabla3[[#This Row],[CODIGO2]],ESTANDAR!$B$3:$C$9,2,FALSE)</f>
        <v>#N/A</v>
      </c>
      <c r="AB2076" s="128" t="str">
        <f>+MID(Tabla3[[#This Row],['# Viaje]],10,1)</f>
        <v/>
      </c>
    </row>
    <row r="2077" spans="1:28" ht="15" hidden="1" customHeight="1">
      <c r="A2077" s="25"/>
      <c r="B2077" s="26"/>
      <c r="C2077" s="25"/>
      <c r="D2077" s="25"/>
      <c r="E2077" s="25"/>
      <c r="F2077" s="25"/>
      <c r="G2077" s="25"/>
      <c r="H2077" s="25"/>
      <c r="I2077" s="25"/>
      <c r="J2077" s="25"/>
      <c r="K2077" s="25"/>
      <c r="L2077" s="26"/>
      <c r="M2077" s="25"/>
      <c r="N2077" s="25"/>
      <c r="O2077" s="27"/>
      <c r="P2077" s="7"/>
      <c r="Q2077" s="16">
        <f>+IF(IFERROR(VLOOKUP(Tabla3[[#This Row],[Cliente factura]],Tabla4[[NIT]:[TOTAL CREDITO]],3,FALSE),0)="",0,IFERROR(VLOOKUP(Tabla3[[#This Row],[Cliente factura]],Tabla4[[NIT]:[TOTAL CREDITO]],3,FALSE),0))</f>
        <v>0</v>
      </c>
      <c r="R2077" s="9">
        <f>+IFERROR(VLOOKUP(Tabla3[[#This Row],[Cliente factura]],Tabla4[[NIT]:[TOTAL CREDITO]],6,FALSE),0)</f>
        <v>0</v>
      </c>
      <c r="S2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7" s="10" t="e">
        <f>VLOOKUP(Tabla3[[#This Row],[Razón social cliente factura]]&amp;Tabla3[[#This Row],[Desc. ciudad]],'Estandar de Rutas'!$C$1:$E$553,2,FALSE)</f>
        <v>#N/A</v>
      </c>
      <c r="U2077" s="130">
        <f>IFERROR(VLOOKUP(Tabla3[[#This Row],[Referencia]]&amp;Tabla3[[#This Row],[Desc detalle ext 1]],Tabla1[[Referencia-Color]:[Disponibilidad]],3,FALSE),0)</f>
        <v>0</v>
      </c>
      <c r="V2077" s="13"/>
      <c r="W2077" s="17">
        <f>+Tabla3[[#This Row],[Cant. Programada]]*Tabla3[[#This Row],[Precio unit]]</f>
        <v>0</v>
      </c>
      <c r="X2077" s="8"/>
      <c r="Y2077" s="8"/>
      <c r="Z2077" s="8" t="str">
        <f>+Tabla3[[#This Row],[Referencia]]&amp;Tabla3[[#This Row],[Desc detalle ext 1]]</f>
        <v/>
      </c>
      <c r="AA2077" s="128" t="e">
        <f>+VLOOKUP(Tabla3[[#This Row],[CODIGO2]],ESTANDAR!$B$3:$C$9,2,FALSE)</f>
        <v>#N/A</v>
      </c>
      <c r="AB2077" s="128" t="str">
        <f>+MID(Tabla3[[#This Row],['# Viaje]],10,1)</f>
        <v/>
      </c>
    </row>
    <row r="2078" spans="1:28" ht="15" hidden="1" customHeight="1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6"/>
      <c r="M2078" s="25"/>
      <c r="N2078" s="25"/>
      <c r="O2078" s="27"/>
      <c r="P2078" s="7"/>
      <c r="Q2078" s="16">
        <f>+IF(IFERROR(VLOOKUP(Tabla3[[#This Row],[Cliente factura]],Tabla4[[NIT]:[TOTAL CREDITO]],3,FALSE),0)="",0,IFERROR(VLOOKUP(Tabla3[[#This Row],[Cliente factura]],Tabla4[[NIT]:[TOTAL CREDITO]],3,FALSE),0))</f>
        <v>0</v>
      </c>
      <c r="R2078" s="9">
        <f>+IFERROR(VLOOKUP(Tabla3[[#This Row],[Cliente factura]],Tabla4[[NIT]:[TOTAL CREDITO]],6,FALSE),0)</f>
        <v>0</v>
      </c>
      <c r="S2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8" s="10" t="e">
        <f>VLOOKUP(Tabla3[[#This Row],[Razón social cliente factura]]&amp;Tabla3[[#This Row],[Desc. ciudad]],'Estandar de Rutas'!$C$1:$E$553,2,FALSE)</f>
        <v>#N/A</v>
      </c>
      <c r="U2078" s="130">
        <f>IFERROR(VLOOKUP(Tabla3[[#This Row],[Referencia]]&amp;Tabla3[[#This Row],[Desc detalle ext 1]],Tabla1[[Referencia-Color]:[Disponibilidad]],3,FALSE),0)</f>
        <v>0</v>
      </c>
      <c r="V2078" s="13"/>
      <c r="W2078" s="17">
        <f>+Tabla3[[#This Row],[Cant. Programada]]*Tabla3[[#This Row],[Precio unit]]</f>
        <v>0</v>
      </c>
      <c r="X2078" s="8"/>
      <c r="Y2078" s="8"/>
      <c r="Z2078" s="8" t="str">
        <f>+Tabla3[[#This Row],[Referencia]]&amp;Tabla3[[#This Row],[Desc detalle ext 1]]</f>
        <v/>
      </c>
      <c r="AA2078" s="128" t="e">
        <f>+VLOOKUP(Tabla3[[#This Row],[CODIGO2]],ESTANDAR!$B$3:$C$9,2,FALSE)</f>
        <v>#N/A</v>
      </c>
      <c r="AB2078" s="128" t="str">
        <f>+MID(Tabla3[[#This Row],['# Viaje]],10,1)</f>
        <v/>
      </c>
    </row>
    <row r="2079" spans="1:28" ht="15" hidden="1" customHeight="1">
      <c r="A2079" s="25"/>
      <c r="B2079" s="26"/>
      <c r="C2079" s="25"/>
      <c r="D2079" s="25"/>
      <c r="E2079" s="25"/>
      <c r="F2079" s="25"/>
      <c r="G2079" s="25"/>
      <c r="H2079" s="25"/>
      <c r="I2079" s="25"/>
      <c r="J2079" s="25"/>
      <c r="K2079" s="25"/>
      <c r="L2079" s="26"/>
      <c r="M2079" s="25"/>
      <c r="N2079" s="25"/>
      <c r="O2079" s="27"/>
      <c r="P2079" s="7"/>
      <c r="Q2079" s="16">
        <f>+IF(IFERROR(VLOOKUP(Tabla3[[#This Row],[Cliente factura]],Tabla4[[NIT]:[TOTAL CREDITO]],3,FALSE),0)="",0,IFERROR(VLOOKUP(Tabla3[[#This Row],[Cliente factura]],Tabla4[[NIT]:[TOTAL CREDITO]],3,FALSE),0))</f>
        <v>0</v>
      </c>
      <c r="R2079" s="9">
        <f>+IFERROR(VLOOKUP(Tabla3[[#This Row],[Cliente factura]],Tabla4[[NIT]:[TOTAL CREDITO]],6,FALSE),0)</f>
        <v>0</v>
      </c>
      <c r="S2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9" s="10" t="e">
        <f>VLOOKUP(Tabla3[[#This Row],[Razón social cliente factura]]&amp;Tabla3[[#This Row],[Desc. ciudad]],'Estandar de Rutas'!$C$1:$E$553,2,FALSE)</f>
        <v>#N/A</v>
      </c>
      <c r="U2079" s="130">
        <f>IFERROR(VLOOKUP(Tabla3[[#This Row],[Referencia]]&amp;Tabla3[[#This Row],[Desc detalle ext 1]],Tabla1[[Referencia-Color]:[Disponibilidad]],3,FALSE),0)</f>
        <v>0</v>
      </c>
      <c r="V2079" s="13"/>
      <c r="W2079" s="17">
        <f>+Tabla3[[#This Row],[Cant. Programada]]*Tabla3[[#This Row],[Precio unit]]</f>
        <v>0</v>
      </c>
      <c r="X2079" s="8"/>
      <c r="Y2079" s="8"/>
      <c r="Z2079" s="8" t="str">
        <f>+Tabla3[[#This Row],[Referencia]]&amp;Tabla3[[#This Row],[Desc detalle ext 1]]</f>
        <v/>
      </c>
      <c r="AA2079" s="128" t="e">
        <f>+VLOOKUP(Tabla3[[#This Row],[CODIGO2]],ESTANDAR!$B$3:$C$9,2,FALSE)</f>
        <v>#N/A</v>
      </c>
      <c r="AB2079" s="128" t="str">
        <f>+MID(Tabla3[[#This Row],['# Viaje]],10,1)</f>
        <v/>
      </c>
    </row>
    <row r="2080" spans="1:28" ht="15" hidden="1" customHeight="1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6"/>
      <c r="M2080" s="25"/>
      <c r="N2080" s="25"/>
      <c r="O2080" s="27"/>
      <c r="P2080" s="7"/>
      <c r="Q2080" s="16">
        <f>+IF(IFERROR(VLOOKUP(Tabla3[[#This Row],[Cliente factura]],Tabla4[[NIT]:[TOTAL CREDITO]],3,FALSE),0)="",0,IFERROR(VLOOKUP(Tabla3[[#This Row],[Cliente factura]],Tabla4[[NIT]:[TOTAL CREDITO]],3,FALSE),0))</f>
        <v>0</v>
      </c>
      <c r="R2080" s="9">
        <f>+IFERROR(VLOOKUP(Tabla3[[#This Row],[Cliente factura]],Tabla4[[NIT]:[TOTAL CREDITO]],6,FALSE),0)</f>
        <v>0</v>
      </c>
      <c r="S2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0" s="10" t="e">
        <f>VLOOKUP(Tabla3[[#This Row],[Razón social cliente factura]]&amp;Tabla3[[#This Row],[Desc. ciudad]],'Estandar de Rutas'!$C$1:$E$553,2,FALSE)</f>
        <v>#N/A</v>
      </c>
      <c r="U2080" s="130">
        <f>IFERROR(VLOOKUP(Tabla3[[#This Row],[Referencia]]&amp;Tabla3[[#This Row],[Desc detalle ext 1]],Tabla1[[Referencia-Color]:[Disponibilidad]],3,FALSE),0)</f>
        <v>0</v>
      </c>
      <c r="V2080" s="13"/>
      <c r="W2080" s="17">
        <f>+Tabla3[[#This Row],[Cant. Programada]]*Tabla3[[#This Row],[Precio unit]]</f>
        <v>0</v>
      </c>
      <c r="X2080" s="8"/>
      <c r="Y2080" s="8"/>
      <c r="Z2080" s="8" t="str">
        <f>+Tabla3[[#This Row],[Referencia]]&amp;Tabla3[[#This Row],[Desc detalle ext 1]]</f>
        <v/>
      </c>
      <c r="AA2080" s="128" t="e">
        <f>+VLOOKUP(Tabla3[[#This Row],[CODIGO2]],ESTANDAR!$B$3:$C$9,2,FALSE)</f>
        <v>#N/A</v>
      </c>
      <c r="AB2080" s="128" t="str">
        <f>+MID(Tabla3[[#This Row],['# Viaje]],10,1)</f>
        <v/>
      </c>
    </row>
    <row r="2081" spans="1:28" ht="15" hidden="1" customHeight="1">
      <c r="A2081" s="25"/>
      <c r="B2081" s="26"/>
      <c r="C2081" s="25"/>
      <c r="D2081" s="25"/>
      <c r="E2081" s="25"/>
      <c r="F2081" s="25"/>
      <c r="G2081" s="25"/>
      <c r="H2081" s="25"/>
      <c r="I2081" s="25"/>
      <c r="J2081" s="25"/>
      <c r="K2081" s="25"/>
      <c r="L2081" s="26"/>
      <c r="M2081" s="25"/>
      <c r="N2081" s="25"/>
      <c r="O2081" s="27"/>
      <c r="P2081" s="7"/>
      <c r="Q2081" s="16">
        <f>+IF(IFERROR(VLOOKUP(Tabla3[[#This Row],[Cliente factura]],Tabla4[[NIT]:[TOTAL CREDITO]],3,FALSE),0)="",0,IFERROR(VLOOKUP(Tabla3[[#This Row],[Cliente factura]],Tabla4[[NIT]:[TOTAL CREDITO]],3,FALSE),0))</f>
        <v>0</v>
      </c>
      <c r="R2081" s="9">
        <f>+IFERROR(VLOOKUP(Tabla3[[#This Row],[Cliente factura]],Tabla4[[NIT]:[TOTAL CREDITO]],6,FALSE),0)</f>
        <v>0</v>
      </c>
      <c r="S2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1" s="10" t="e">
        <f>VLOOKUP(Tabla3[[#This Row],[Razón social cliente factura]]&amp;Tabla3[[#This Row],[Desc. ciudad]],'Estandar de Rutas'!$C$1:$E$553,2,FALSE)</f>
        <v>#N/A</v>
      </c>
      <c r="U2081" s="130">
        <f>IFERROR(VLOOKUP(Tabla3[[#This Row],[Referencia]]&amp;Tabla3[[#This Row],[Desc detalle ext 1]],Tabla1[[Referencia-Color]:[Disponibilidad]],3,FALSE),0)</f>
        <v>0</v>
      </c>
      <c r="V2081" s="13"/>
      <c r="W2081" s="17">
        <f>+Tabla3[[#This Row],[Cant. Programada]]*Tabla3[[#This Row],[Precio unit]]</f>
        <v>0</v>
      </c>
      <c r="X2081" s="8"/>
      <c r="Y2081" s="8"/>
      <c r="Z2081" s="8" t="str">
        <f>+Tabla3[[#This Row],[Referencia]]&amp;Tabla3[[#This Row],[Desc detalle ext 1]]</f>
        <v/>
      </c>
      <c r="AA2081" s="128" t="e">
        <f>+VLOOKUP(Tabla3[[#This Row],[CODIGO2]],ESTANDAR!$B$3:$C$9,2,FALSE)</f>
        <v>#N/A</v>
      </c>
      <c r="AB2081" s="128" t="str">
        <f>+MID(Tabla3[[#This Row],['# Viaje]],10,1)</f>
        <v/>
      </c>
    </row>
    <row r="2082" spans="1:28" ht="15" hidden="1" customHeight="1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6"/>
      <c r="M2082" s="25"/>
      <c r="N2082" s="25"/>
      <c r="O2082" s="27"/>
      <c r="P2082" s="7"/>
      <c r="Q2082" s="16">
        <f>+IF(IFERROR(VLOOKUP(Tabla3[[#This Row],[Cliente factura]],Tabla4[[NIT]:[TOTAL CREDITO]],3,FALSE),0)="",0,IFERROR(VLOOKUP(Tabla3[[#This Row],[Cliente factura]],Tabla4[[NIT]:[TOTAL CREDITO]],3,FALSE),0))</f>
        <v>0</v>
      </c>
      <c r="R2082" s="9">
        <f>+IFERROR(VLOOKUP(Tabla3[[#This Row],[Cliente factura]],Tabla4[[NIT]:[TOTAL CREDITO]],6,FALSE),0)</f>
        <v>0</v>
      </c>
      <c r="S2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2" s="10" t="e">
        <f>VLOOKUP(Tabla3[[#This Row],[Razón social cliente factura]]&amp;Tabla3[[#This Row],[Desc. ciudad]],'Estandar de Rutas'!$C$1:$E$553,2,FALSE)</f>
        <v>#N/A</v>
      </c>
      <c r="U2082" s="130">
        <f>IFERROR(VLOOKUP(Tabla3[[#This Row],[Referencia]]&amp;Tabla3[[#This Row],[Desc detalle ext 1]],Tabla1[[Referencia-Color]:[Disponibilidad]],3,FALSE),0)</f>
        <v>0</v>
      </c>
      <c r="V2082" s="13"/>
      <c r="W2082" s="17">
        <f>+Tabla3[[#This Row],[Cant. Programada]]*Tabla3[[#This Row],[Precio unit]]</f>
        <v>0</v>
      </c>
      <c r="X2082" s="8"/>
      <c r="Y2082" s="8"/>
      <c r="Z2082" s="8" t="str">
        <f>+Tabla3[[#This Row],[Referencia]]&amp;Tabla3[[#This Row],[Desc detalle ext 1]]</f>
        <v/>
      </c>
      <c r="AA2082" s="128" t="e">
        <f>+VLOOKUP(Tabla3[[#This Row],[CODIGO2]],ESTANDAR!$B$3:$C$9,2,FALSE)</f>
        <v>#N/A</v>
      </c>
      <c r="AB2082" s="128" t="str">
        <f>+MID(Tabla3[[#This Row],['# Viaje]],10,1)</f>
        <v/>
      </c>
    </row>
    <row r="2083" spans="1:28" ht="15" hidden="1" customHeight="1">
      <c r="A2083" s="25"/>
      <c r="B2083" s="26"/>
      <c r="C2083" s="25"/>
      <c r="D2083" s="25"/>
      <c r="E2083" s="25"/>
      <c r="F2083" s="25"/>
      <c r="G2083" s="25"/>
      <c r="H2083" s="25"/>
      <c r="I2083" s="25"/>
      <c r="J2083" s="25"/>
      <c r="K2083" s="25"/>
      <c r="L2083" s="26"/>
      <c r="M2083" s="25"/>
      <c r="N2083" s="25"/>
      <c r="O2083" s="27"/>
      <c r="P2083" s="7"/>
      <c r="Q2083" s="16">
        <f>+IF(IFERROR(VLOOKUP(Tabla3[[#This Row],[Cliente factura]],Tabla4[[NIT]:[TOTAL CREDITO]],3,FALSE),0)="",0,IFERROR(VLOOKUP(Tabla3[[#This Row],[Cliente factura]],Tabla4[[NIT]:[TOTAL CREDITO]],3,FALSE),0))</f>
        <v>0</v>
      </c>
      <c r="R2083" s="9">
        <f>+IFERROR(VLOOKUP(Tabla3[[#This Row],[Cliente factura]],Tabla4[[NIT]:[TOTAL CREDITO]],6,FALSE),0)</f>
        <v>0</v>
      </c>
      <c r="S2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3" s="10" t="e">
        <f>VLOOKUP(Tabla3[[#This Row],[Razón social cliente factura]]&amp;Tabla3[[#This Row],[Desc. ciudad]],'Estandar de Rutas'!$C$1:$E$553,2,FALSE)</f>
        <v>#N/A</v>
      </c>
      <c r="U2083" s="130">
        <f>IFERROR(VLOOKUP(Tabla3[[#This Row],[Referencia]]&amp;Tabla3[[#This Row],[Desc detalle ext 1]],Tabla1[[Referencia-Color]:[Disponibilidad]],3,FALSE),0)</f>
        <v>0</v>
      </c>
      <c r="V2083" s="13"/>
      <c r="W2083" s="17">
        <f>+Tabla3[[#This Row],[Cant. Programada]]*Tabla3[[#This Row],[Precio unit]]</f>
        <v>0</v>
      </c>
      <c r="X2083" s="8"/>
      <c r="Y2083" s="8"/>
      <c r="Z2083" s="8" t="str">
        <f>+Tabla3[[#This Row],[Referencia]]&amp;Tabla3[[#This Row],[Desc detalle ext 1]]</f>
        <v/>
      </c>
      <c r="AA2083" s="128" t="e">
        <f>+VLOOKUP(Tabla3[[#This Row],[CODIGO2]],ESTANDAR!$B$3:$C$9,2,FALSE)</f>
        <v>#N/A</v>
      </c>
      <c r="AB2083" s="128" t="str">
        <f>+MID(Tabla3[[#This Row],['# Viaje]],10,1)</f>
        <v/>
      </c>
    </row>
    <row r="2084" spans="1:28" ht="15" hidden="1" customHeight="1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6"/>
      <c r="M2084" s="25"/>
      <c r="N2084" s="25"/>
      <c r="O2084" s="27"/>
      <c r="P2084" s="7"/>
      <c r="Q2084" s="16">
        <f>+IF(IFERROR(VLOOKUP(Tabla3[[#This Row],[Cliente factura]],Tabla4[[NIT]:[TOTAL CREDITO]],3,FALSE),0)="",0,IFERROR(VLOOKUP(Tabla3[[#This Row],[Cliente factura]],Tabla4[[NIT]:[TOTAL CREDITO]],3,FALSE),0))</f>
        <v>0</v>
      </c>
      <c r="R2084" s="9">
        <f>+IFERROR(VLOOKUP(Tabla3[[#This Row],[Cliente factura]],Tabla4[[NIT]:[TOTAL CREDITO]],6,FALSE),0)</f>
        <v>0</v>
      </c>
      <c r="S2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4" s="10" t="e">
        <f>VLOOKUP(Tabla3[[#This Row],[Razón social cliente factura]]&amp;Tabla3[[#This Row],[Desc. ciudad]],'Estandar de Rutas'!$C$1:$E$553,2,FALSE)</f>
        <v>#N/A</v>
      </c>
      <c r="U2084" s="130">
        <f>IFERROR(VLOOKUP(Tabla3[[#This Row],[Referencia]]&amp;Tabla3[[#This Row],[Desc detalle ext 1]],Tabla1[[Referencia-Color]:[Disponibilidad]],3,FALSE),0)</f>
        <v>0</v>
      </c>
      <c r="V2084" s="13"/>
      <c r="W2084" s="17">
        <f>+Tabla3[[#This Row],[Cant. Programada]]*Tabla3[[#This Row],[Precio unit]]</f>
        <v>0</v>
      </c>
      <c r="X2084" s="8"/>
      <c r="Y2084" s="8"/>
      <c r="Z2084" s="8" t="str">
        <f>+Tabla3[[#This Row],[Referencia]]&amp;Tabla3[[#This Row],[Desc detalle ext 1]]</f>
        <v/>
      </c>
      <c r="AA2084" s="128" t="e">
        <f>+VLOOKUP(Tabla3[[#This Row],[CODIGO2]],ESTANDAR!$B$3:$C$9,2,FALSE)</f>
        <v>#N/A</v>
      </c>
      <c r="AB2084" s="128" t="str">
        <f>+MID(Tabla3[[#This Row],['# Viaje]],10,1)</f>
        <v/>
      </c>
    </row>
    <row r="2085" spans="1:28" ht="15" hidden="1" customHeight="1">
      <c r="A2085" s="25"/>
      <c r="B2085" s="26"/>
      <c r="C2085" s="25"/>
      <c r="D2085" s="25"/>
      <c r="E2085" s="25"/>
      <c r="F2085" s="25"/>
      <c r="G2085" s="25"/>
      <c r="H2085" s="25"/>
      <c r="I2085" s="25"/>
      <c r="J2085" s="25"/>
      <c r="K2085" s="25"/>
      <c r="L2085" s="26"/>
      <c r="M2085" s="25"/>
      <c r="N2085" s="25"/>
      <c r="O2085" s="27"/>
      <c r="P2085" s="7"/>
      <c r="Q2085" s="16">
        <f>+IF(IFERROR(VLOOKUP(Tabla3[[#This Row],[Cliente factura]],Tabla4[[NIT]:[TOTAL CREDITO]],3,FALSE),0)="",0,IFERROR(VLOOKUP(Tabla3[[#This Row],[Cliente factura]],Tabla4[[NIT]:[TOTAL CREDITO]],3,FALSE),0))</f>
        <v>0</v>
      </c>
      <c r="R2085" s="9">
        <f>+IFERROR(VLOOKUP(Tabla3[[#This Row],[Cliente factura]],Tabla4[[NIT]:[TOTAL CREDITO]],6,FALSE),0)</f>
        <v>0</v>
      </c>
      <c r="S2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5" s="10" t="e">
        <f>VLOOKUP(Tabla3[[#This Row],[Razón social cliente factura]]&amp;Tabla3[[#This Row],[Desc. ciudad]],'Estandar de Rutas'!$C$1:$E$553,2,FALSE)</f>
        <v>#N/A</v>
      </c>
      <c r="U2085" s="130">
        <f>IFERROR(VLOOKUP(Tabla3[[#This Row],[Referencia]]&amp;Tabla3[[#This Row],[Desc detalle ext 1]],Tabla1[[Referencia-Color]:[Disponibilidad]],3,FALSE),0)</f>
        <v>0</v>
      </c>
      <c r="V2085" s="13"/>
      <c r="W2085" s="17">
        <f>+Tabla3[[#This Row],[Cant. Programada]]*Tabla3[[#This Row],[Precio unit]]</f>
        <v>0</v>
      </c>
      <c r="X2085" s="8"/>
      <c r="Y2085" s="8"/>
      <c r="Z2085" s="8" t="str">
        <f>+Tabla3[[#This Row],[Referencia]]&amp;Tabla3[[#This Row],[Desc detalle ext 1]]</f>
        <v/>
      </c>
      <c r="AA2085" s="128" t="e">
        <f>+VLOOKUP(Tabla3[[#This Row],[CODIGO2]],ESTANDAR!$B$3:$C$9,2,FALSE)</f>
        <v>#N/A</v>
      </c>
      <c r="AB2085" s="128" t="str">
        <f>+MID(Tabla3[[#This Row],['# Viaje]],10,1)</f>
        <v/>
      </c>
    </row>
    <row r="2086" spans="1:28" ht="15" hidden="1" customHeight="1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6"/>
      <c r="M2086" s="25"/>
      <c r="N2086" s="25"/>
      <c r="O2086" s="27"/>
      <c r="P2086" s="7"/>
      <c r="Q2086" s="16">
        <f>+IF(IFERROR(VLOOKUP(Tabla3[[#This Row],[Cliente factura]],Tabla4[[NIT]:[TOTAL CREDITO]],3,FALSE),0)="",0,IFERROR(VLOOKUP(Tabla3[[#This Row],[Cliente factura]],Tabla4[[NIT]:[TOTAL CREDITO]],3,FALSE),0))</f>
        <v>0</v>
      </c>
      <c r="R2086" s="9">
        <f>+IFERROR(VLOOKUP(Tabla3[[#This Row],[Cliente factura]],Tabla4[[NIT]:[TOTAL CREDITO]],6,FALSE),0)</f>
        <v>0</v>
      </c>
      <c r="S2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6" s="10" t="e">
        <f>VLOOKUP(Tabla3[[#This Row],[Razón social cliente factura]]&amp;Tabla3[[#This Row],[Desc. ciudad]],'Estandar de Rutas'!$C$1:$E$553,2,FALSE)</f>
        <v>#N/A</v>
      </c>
      <c r="U2086" s="130">
        <f>IFERROR(VLOOKUP(Tabla3[[#This Row],[Referencia]]&amp;Tabla3[[#This Row],[Desc detalle ext 1]],Tabla1[[Referencia-Color]:[Disponibilidad]],3,FALSE),0)</f>
        <v>0</v>
      </c>
      <c r="V2086" s="13"/>
      <c r="W2086" s="17">
        <f>+Tabla3[[#This Row],[Cant. Programada]]*Tabla3[[#This Row],[Precio unit]]</f>
        <v>0</v>
      </c>
      <c r="X2086" s="8"/>
      <c r="Y2086" s="8"/>
      <c r="Z2086" s="8" t="str">
        <f>+Tabla3[[#This Row],[Referencia]]&amp;Tabla3[[#This Row],[Desc detalle ext 1]]</f>
        <v/>
      </c>
      <c r="AA2086" s="128" t="e">
        <f>+VLOOKUP(Tabla3[[#This Row],[CODIGO2]],ESTANDAR!$B$3:$C$9,2,FALSE)</f>
        <v>#N/A</v>
      </c>
      <c r="AB2086" s="128" t="str">
        <f>+MID(Tabla3[[#This Row],['# Viaje]],10,1)</f>
        <v/>
      </c>
    </row>
    <row r="2087" spans="1:28" ht="15" hidden="1" customHeight="1">
      <c r="A2087" s="25"/>
      <c r="B2087" s="26"/>
      <c r="C2087" s="25"/>
      <c r="D2087" s="25"/>
      <c r="E2087" s="25"/>
      <c r="F2087" s="25"/>
      <c r="G2087" s="25"/>
      <c r="H2087" s="25"/>
      <c r="I2087" s="25"/>
      <c r="J2087" s="25"/>
      <c r="K2087" s="25"/>
      <c r="L2087" s="26"/>
      <c r="M2087" s="25"/>
      <c r="N2087" s="25"/>
      <c r="O2087" s="27"/>
      <c r="P2087" s="7"/>
      <c r="Q2087" s="16">
        <f>+IF(IFERROR(VLOOKUP(Tabla3[[#This Row],[Cliente factura]],Tabla4[[NIT]:[TOTAL CREDITO]],3,FALSE),0)="",0,IFERROR(VLOOKUP(Tabla3[[#This Row],[Cliente factura]],Tabla4[[NIT]:[TOTAL CREDITO]],3,FALSE),0))</f>
        <v>0</v>
      </c>
      <c r="R2087" s="9">
        <f>+IFERROR(VLOOKUP(Tabla3[[#This Row],[Cliente factura]],Tabla4[[NIT]:[TOTAL CREDITO]],6,FALSE),0)</f>
        <v>0</v>
      </c>
      <c r="S2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7" s="10" t="e">
        <f>VLOOKUP(Tabla3[[#This Row],[Razón social cliente factura]]&amp;Tabla3[[#This Row],[Desc. ciudad]],'Estandar de Rutas'!$C$1:$E$553,2,FALSE)</f>
        <v>#N/A</v>
      </c>
      <c r="U2087" s="130">
        <f>IFERROR(VLOOKUP(Tabla3[[#This Row],[Referencia]]&amp;Tabla3[[#This Row],[Desc detalle ext 1]],Tabla1[[Referencia-Color]:[Disponibilidad]],3,FALSE),0)</f>
        <v>0</v>
      </c>
      <c r="V2087" s="13"/>
      <c r="W2087" s="17">
        <f>+Tabla3[[#This Row],[Cant. Programada]]*Tabla3[[#This Row],[Precio unit]]</f>
        <v>0</v>
      </c>
      <c r="X2087" s="8"/>
      <c r="Y2087" s="8"/>
      <c r="Z2087" s="8" t="str">
        <f>+Tabla3[[#This Row],[Referencia]]&amp;Tabla3[[#This Row],[Desc detalle ext 1]]</f>
        <v/>
      </c>
      <c r="AA2087" s="128" t="e">
        <f>+VLOOKUP(Tabla3[[#This Row],[CODIGO2]],ESTANDAR!$B$3:$C$9,2,FALSE)</f>
        <v>#N/A</v>
      </c>
      <c r="AB2087" s="128" t="str">
        <f>+MID(Tabla3[[#This Row],['# Viaje]],10,1)</f>
        <v/>
      </c>
    </row>
    <row r="2088" spans="1:28" ht="15" hidden="1" customHeight="1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6"/>
      <c r="M2088" s="25"/>
      <c r="N2088" s="25"/>
      <c r="O2088" s="27"/>
      <c r="P2088" s="7"/>
      <c r="Q2088" s="16">
        <f>+IF(IFERROR(VLOOKUP(Tabla3[[#This Row],[Cliente factura]],Tabla4[[NIT]:[TOTAL CREDITO]],3,FALSE),0)="",0,IFERROR(VLOOKUP(Tabla3[[#This Row],[Cliente factura]],Tabla4[[NIT]:[TOTAL CREDITO]],3,FALSE),0))</f>
        <v>0</v>
      </c>
      <c r="R2088" s="9">
        <f>+IFERROR(VLOOKUP(Tabla3[[#This Row],[Cliente factura]],Tabla4[[NIT]:[TOTAL CREDITO]],6,FALSE),0)</f>
        <v>0</v>
      </c>
      <c r="S2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8" s="10" t="e">
        <f>VLOOKUP(Tabla3[[#This Row],[Razón social cliente factura]]&amp;Tabla3[[#This Row],[Desc. ciudad]],'Estandar de Rutas'!$C$1:$E$553,2,FALSE)</f>
        <v>#N/A</v>
      </c>
      <c r="U2088" s="130">
        <f>IFERROR(VLOOKUP(Tabla3[[#This Row],[Referencia]]&amp;Tabla3[[#This Row],[Desc detalle ext 1]],Tabla1[[Referencia-Color]:[Disponibilidad]],3,FALSE),0)</f>
        <v>0</v>
      </c>
      <c r="V2088" s="13"/>
      <c r="W2088" s="17">
        <f>+Tabla3[[#This Row],[Cant. Programada]]*Tabla3[[#This Row],[Precio unit]]</f>
        <v>0</v>
      </c>
      <c r="X2088" s="8"/>
      <c r="Y2088" s="8"/>
      <c r="Z2088" s="8" t="str">
        <f>+Tabla3[[#This Row],[Referencia]]&amp;Tabla3[[#This Row],[Desc detalle ext 1]]</f>
        <v/>
      </c>
      <c r="AA2088" s="128" t="e">
        <f>+VLOOKUP(Tabla3[[#This Row],[CODIGO2]],ESTANDAR!$B$3:$C$9,2,FALSE)</f>
        <v>#N/A</v>
      </c>
      <c r="AB2088" s="128" t="str">
        <f>+MID(Tabla3[[#This Row],['# Viaje]],10,1)</f>
        <v/>
      </c>
    </row>
    <row r="2089" spans="1:28" ht="15" hidden="1" customHeight="1">
      <c r="A2089" s="25"/>
      <c r="B2089" s="26"/>
      <c r="C2089" s="25"/>
      <c r="D2089" s="25"/>
      <c r="E2089" s="25"/>
      <c r="F2089" s="25"/>
      <c r="G2089" s="25"/>
      <c r="H2089" s="25"/>
      <c r="I2089" s="25"/>
      <c r="J2089" s="25"/>
      <c r="K2089" s="25"/>
      <c r="L2089" s="26"/>
      <c r="M2089" s="25"/>
      <c r="N2089" s="25"/>
      <c r="O2089" s="27"/>
      <c r="P2089" s="7"/>
      <c r="Q2089" s="16">
        <f>+IF(IFERROR(VLOOKUP(Tabla3[[#This Row],[Cliente factura]],Tabla4[[NIT]:[TOTAL CREDITO]],3,FALSE),0)="",0,IFERROR(VLOOKUP(Tabla3[[#This Row],[Cliente factura]],Tabla4[[NIT]:[TOTAL CREDITO]],3,FALSE),0))</f>
        <v>0</v>
      </c>
      <c r="R2089" s="9">
        <f>+IFERROR(VLOOKUP(Tabla3[[#This Row],[Cliente factura]],Tabla4[[NIT]:[TOTAL CREDITO]],6,FALSE),0)</f>
        <v>0</v>
      </c>
      <c r="S2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9" s="10" t="e">
        <f>VLOOKUP(Tabla3[[#This Row],[Razón social cliente factura]]&amp;Tabla3[[#This Row],[Desc. ciudad]],'Estandar de Rutas'!$C$1:$E$553,2,FALSE)</f>
        <v>#N/A</v>
      </c>
      <c r="U2089" s="130">
        <f>IFERROR(VLOOKUP(Tabla3[[#This Row],[Referencia]]&amp;Tabla3[[#This Row],[Desc detalle ext 1]],Tabla1[[Referencia-Color]:[Disponibilidad]],3,FALSE),0)</f>
        <v>0</v>
      </c>
      <c r="V2089" s="13"/>
      <c r="W2089" s="17">
        <f>+Tabla3[[#This Row],[Cant. Programada]]*Tabla3[[#This Row],[Precio unit]]</f>
        <v>0</v>
      </c>
      <c r="X2089" s="8"/>
      <c r="Y2089" s="8"/>
      <c r="Z2089" s="8" t="str">
        <f>+Tabla3[[#This Row],[Referencia]]&amp;Tabla3[[#This Row],[Desc detalle ext 1]]</f>
        <v/>
      </c>
      <c r="AA2089" s="128" t="e">
        <f>+VLOOKUP(Tabla3[[#This Row],[CODIGO2]],ESTANDAR!$B$3:$C$9,2,FALSE)</f>
        <v>#N/A</v>
      </c>
      <c r="AB2089" s="128" t="str">
        <f>+MID(Tabla3[[#This Row],['# Viaje]],10,1)</f>
        <v/>
      </c>
    </row>
    <row r="2090" spans="1:28" ht="15" hidden="1" customHeight="1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6"/>
      <c r="M2090" s="25"/>
      <c r="N2090" s="25"/>
      <c r="O2090" s="27"/>
      <c r="P2090" s="7"/>
      <c r="Q2090" s="16">
        <f>+IF(IFERROR(VLOOKUP(Tabla3[[#This Row],[Cliente factura]],Tabla4[[NIT]:[TOTAL CREDITO]],3,FALSE),0)="",0,IFERROR(VLOOKUP(Tabla3[[#This Row],[Cliente factura]],Tabla4[[NIT]:[TOTAL CREDITO]],3,FALSE),0))</f>
        <v>0</v>
      </c>
      <c r="R2090" s="9">
        <f>+IFERROR(VLOOKUP(Tabla3[[#This Row],[Cliente factura]],Tabla4[[NIT]:[TOTAL CREDITO]],6,FALSE),0)</f>
        <v>0</v>
      </c>
      <c r="S2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0" s="10" t="e">
        <f>VLOOKUP(Tabla3[[#This Row],[Razón social cliente factura]]&amp;Tabla3[[#This Row],[Desc. ciudad]],'Estandar de Rutas'!$C$1:$E$553,2,FALSE)</f>
        <v>#N/A</v>
      </c>
      <c r="U2090" s="130">
        <f>IFERROR(VLOOKUP(Tabla3[[#This Row],[Referencia]]&amp;Tabla3[[#This Row],[Desc detalle ext 1]],Tabla1[[Referencia-Color]:[Disponibilidad]],3,FALSE),0)</f>
        <v>0</v>
      </c>
      <c r="V2090" s="13"/>
      <c r="W2090" s="17">
        <f>+Tabla3[[#This Row],[Cant. Programada]]*Tabla3[[#This Row],[Precio unit]]</f>
        <v>0</v>
      </c>
      <c r="X2090" s="8"/>
      <c r="Y2090" s="8"/>
      <c r="Z2090" s="8" t="str">
        <f>+Tabla3[[#This Row],[Referencia]]&amp;Tabla3[[#This Row],[Desc detalle ext 1]]</f>
        <v/>
      </c>
      <c r="AA2090" s="128" t="e">
        <f>+VLOOKUP(Tabla3[[#This Row],[CODIGO2]],ESTANDAR!$B$3:$C$9,2,FALSE)</f>
        <v>#N/A</v>
      </c>
      <c r="AB2090" s="128" t="str">
        <f>+MID(Tabla3[[#This Row],['# Viaje]],10,1)</f>
        <v/>
      </c>
    </row>
    <row r="2091" spans="1:28" ht="15" hidden="1" customHeight="1">
      <c r="A2091" s="25"/>
      <c r="B2091" s="26"/>
      <c r="C2091" s="25"/>
      <c r="D2091" s="25"/>
      <c r="E2091" s="25"/>
      <c r="F2091" s="25"/>
      <c r="G2091" s="25"/>
      <c r="H2091" s="25"/>
      <c r="I2091" s="25"/>
      <c r="J2091" s="25"/>
      <c r="K2091" s="25"/>
      <c r="L2091" s="26"/>
      <c r="M2091" s="25"/>
      <c r="N2091" s="25"/>
      <c r="O2091" s="27"/>
      <c r="P2091" s="7"/>
      <c r="Q2091" s="16">
        <f>+IF(IFERROR(VLOOKUP(Tabla3[[#This Row],[Cliente factura]],Tabla4[[NIT]:[TOTAL CREDITO]],3,FALSE),0)="",0,IFERROR(VLOOKUP(Tabla3[[#This Row],[Cliente factura]],Tabla4[[NIT]:[TOTAL CREDITO]],3,FALSE),0))</f>
        <v>0</v>
      </c>
      <c r="R2091" s="9">
        <f>+IFERROR(VLOOKUP(Tabla3[[#This Row],[Cliente factura]],Tabla4[[NIT]:[TOTAL CREDITO]],6,FALSE),0)</f>
        <v>0</v>
      </c>
      <c r="S2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1" s="10" t="e">
        <f>VLOOKUP(Tabla3[[#This Row],[Razón social cliente factura]]&amp;Tabla3[[#This Row],[Desc. ciudad]],'Estandar de Rutas'!$C$1:$E$553,2,FALSE)</f>
        <v>#N/A</v>
      </c>
      <c r="U2091" s="130">
        <f>IFERROR(VLOOKUP(Tabla3[[#This Row],[Referencia]]&amp;Tabla3[[#This Row],[Desc detalle ext 1]],Tabla1[[Referencia-Color]:[Disponibilidad]],3,FALSE),0)</f>
        <v>0</v>
      </c>
      <c r="V2091" s="13"/>
      <c r="W2091" s="17">
        <f>+Tabla3[[#This Row],[Cant. Programada]]*Tabla3[[#This Row],[Precio unit]]</f>
        <v>0</v>
      </c>
      <c r="X2091" s="8"/>
      <c r="Y2091" s="8"/>
      <c r="Z2091" s="8" t="str">
        <f>+Tabla3[[#This Row],[Referencia]]&amp;Tabla3[[#This Row],[Desc detalle ext 1]]</f>
        <v/>
      </c>
      <c r="AA2091" s="128" t="e">
        <f>+VLOOKUP(Tabla3[[#This Row],[CODIGO2]],ESTANDAR!$B$3:$C$9,2,FALSE)</f>
        <v>#N/A</v>
      </c>
      <c r="AB2091" s="128" t="str">
        <f>+MID(Tabla3[[#This Row],['# Viaje]],10,1)</f>
        <v/>
      </c>
    </row>
    <row r="2092" spans="1:28" ht="15" hidden="1" customHeight="1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6"/>
      <c r="M2092" s="25"/>
      <c r="N2092" s="25"/>
      <c r="O2092" s="27"/>
      <c r="P2092" s="7"/>
      <c r="Q2092" s="16">
        <f>+IF(IFERROR(VLOOKUP(Tabla3[[#This Row],[Cliente factura]],Tabla4[[NIT]:[TOTAL CREDITO]],3,FALSE),0)="",0,IFERROR(VLOOKUP(Tabla3[[#This Row],[Cliente factura]],Tabla4[[NIT]:[TOTAL CREDITO]],3,FALSE),0))</f>
        <v>0</v>
      </c>
      <c r="R2092" s="9">
        <f>+IFERROR(VLOOKUP(Tabla3[[#This Row],[Cliente factura]],Tabla4[[NIT]:[TOTAL CREDITO]],6,FALSE),0)</f>
        <v>0</v>
      </c>
      <c r="S2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2" s="10" t="e">
        <f>VLOOKUP(Tabla3[[#This Row],[Razón social cliente factura]]&amp;Tabla3[[#This Row],[Desc. ciudad]],'Estandar de Rutas'!$C$1:$E$553,2,FALSE)</f>
        <v>#N/A</v>
      </c>
      <c r="U2092" s="130">
        <f>IFERROR(VLOOKUP(Tabla3[[#This Row],[Referencia]]&amp;Tabla3[[#This Row],[Desc detalle ext 1]],Tabla1[[Referencia-Color]:[Disponibilidad]],3,FALSE),0)</f>
        <v>0</v>
      </c>
      <c r="V2092" s="13"/>
      <c r="W2092" s="17">
        <f>+Tabla3[[#This Row],[Cant. Programada]]*Tabla3[[#This Row],[Precio unit]]</f>
        <v>0</v>
      </c>
      <c r="X2092" s="8"/>
      <c r="Y2092" s="8"/>
      <c r="Z2092" s="8" t="str">
        <f>+Tabla3[[#This Row],[Referencia]]&amp;Tabla3[[#This Row],[Desc detalle ext 1]]</f>
        <v/>
      </c>
      <c r="AA2092" s="128" t="e">
        <f>+VLOOKUP(Tabla3[[#This Row],[CODIGO2]],ESTANDAR!$B$3:$C$9,2,FALSE)</f>
        <v>#N/A</v>
      </c>
      <c r="AB2092" s="128" t="str">
        <f>+MID(Tabla3[[#This Row],['# Viaje]],10,1)</f>
        <v/>
      </c>
    </row>
    <row r="2093" spans="1:28" ht="15" hidden="1" customHeight="1">
      <c r="A2093" s="25"/>
      <c r="B2093" s="26"/>
      <c r="C2093" s="25"/>
      <c r="D2093" s="25"/>
      <c r="E2093" s="25"/>
      <c r="F2093" s="25"/>
      <c r="G2093" s="25"/>
      <c r="H2093" s="25"/>
      <c r="I2093" s="25"/>
      <c r="J2093" s="25"/>
      <c r="K2093" s="25"/>
      <c r="L2093" s="26"/>
      <c r="M2093" s="25"/>
      <c r="N2093" s="25"/>
      <c r="O2093" s="27"/>
      <c r="P2093" s="7"/>
      <c r="Q2093" s="16">
        <f>+IF(IFERROR(VLOOKUP(Tabla3[[#This Row],[Cliente factura]],Tabla4[[NIT]:[TOTAL CREDITO]],3,FALSE),0)="",0,IFERROR(VLOOKUP(Tabla3[[#This Row],[Cliente factura]],Tabla4[[NIT]:[TOTAL CREDITO]],3,FALSE),0))</f>
        <v>0</v>
      </c>
      <c r="R2093" s="9">
        <f>+IFERROR(VLOOKUP(Tabla3[[#This Row],[Cliente factura]],Tabla4[[NIT]:[TOTAL CREDITO]],6,FALSE),0)</f>
        <v>0</v>
      </c>
      <c r="S2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3" s="10" t="e">
        <f>VLOOKUP(Tabla3[[#This Row],[Razón social cliente factura]]&amp;Tabla3[[#This Row],[Desc. ciudad]],'Estandar de Rutas'!$C$1:$E$553,2,FALSE)</f>
        <v>#N/A</v>
      </c>
      <c r="U2093" s="130">
        <f>IFERROR(VLOOKUP(Tabla3[[#This Row],[Referencia]]&amp;Tabla3[[#This Row],[Desc detalle ext 1]],Tabla1[[Referencia-Color]:[Disponibilidad]],3,FALSE),0)</f>
        <v>0</v>
      </c>
      <c r="V2093" s="13"/>
      <c r="W2093" s="17">
        <f>+Tabla3[[#This Row],[Cant. Programada]]*Tabla3[[#This Row],[Precio unit]]</f>
        <v>0</v>
      </c>
      <c r="X2093" s="8"/>
      <c r="Y2093" s="8"/>
      <c r="Z2093" s="8" t="str">
        <f>+Tabla3[[#This Row],[Referencia]]&amp;Tabla3[[#This Row],[Desc detalle ext 1]]</f>
        <v/>
      </c>
      <c r="AA2093" s="128" t="e">
        <f>+VLOOKUP(Tabla3[[#This Row],[CODIGO2]],ESTANDAR!$B$3:$C$9,2,FALSE)</f>
        <v>#N/A</v>
      </c>
      <c r="AB2093" s="128" t="str">
        <f>+MID(Tabla3[[#This Row],['# Viaje]],10,1)</f>
        <v/>
      </c>
    </row>
    <row r="2094" spans="1:28" ht="15" hidden="1" customHeight="1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6"/>
      <c r="M2094" s="25"/>
      <c r="N2094" s="25"/>
      <c r="O2094" s="27"/>
      <c r="P2094" s="7"/>
      <c r="Q2094" s="16">
        <f>+IF(IFERROR(VLOOKUP(Tabla3[[#This Row],[Cliente factura]],Tabla4[[NIT]:[TOTAL CREDITO]],3,FALSE),0)="",0,IFERROR(VLOOKUP(Tabla3[[#This Row],[Cliente factura]],Tabla4[[NIT]:[TOTAL CREDITO]],3,FALSE),0))</f>
        <v>0</v>
      </c>
      <c r="R2094" s="9">
        <f>+IFERROR(VLOOKUP(Tabla3[[#This Row],[Cliente factura]],Tabla4[[NIT]:[TOTAL CREDITO]],6,FALSE),0)</f>
        <v>0</v>
      </c>
      <c r="S2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4" s="10" t="e">
        <f>VLOOKUP(Tabla3[[#This Row],[Razón social cliente factura]]&amp;Tabla3[[#This Row],[Desc. ciudad]],'Estandar de Rutas'!$C$1:$E$553,2,FALSE)</f>
        <v>#N/A</v>
      </c>
      <c r="U2094" s="130">
        <f>IFERROR(VLOOKUP(Tabla3[[#This Row],[Referencia]]&amp;Tabla3[[#This Row],[Desc detalle ext 1]],Tabla1[[Referencia-Color]:[Disponibilidad]],3,FALSE),0)</f>
        <v>0</v>
      </c>
      <c r="V2094" s="13"/>
      <c r="W2094" s="17">
        <f>+Tabla3[[#This Row],[Cant. Programada]]*Tabla3[[#This Row],[Precio unit]]</f>
        <v>0</v>
      </c>
      <c r="X2094" s="8"/>
      <c r="Y2094" s="8"/>
      <c r="Z2094" s="8" t="str">
        <f>+Tabla3[[#This Row],[Referencia]]&amp;Tabla3[[#This Row],[Desc detalle ext 1]]</f>
        <v/>
      </c>
      <c r="AA2094" s="128" t="e">
        <f>+VLOOKUP(Tabla3[[#This Row],[CODIGO2]],ESTANDAR!$B$3:$C$9,2,FALSE)</f>
        <v>#N/A</v>
      </c>
      <c r="AB2094" s="128" t="str">
        <f>+MID(Tabla3[[#This Row],['# Viaje]],10,1)</f>
        <v/>
      </c>
    </row>
    <row r="2095" spans="1:28" ht="15" hidden="1" customHeight="1">
      <c r="A2095" s="25"/>
      <c r="B2095" s="26"/>
      <c r="C2095" s="25"/>
      <c r="D2095" s="25"/>
      <c r="E2095" s="25"/>
      <c r="F2095" s="25"/>
      <c r="G2095" s="25"/>
      <c r="H2095" s="25"/>
      <c r="I2095" s="25"/>
      <c r="J2095" s="25"/>
      <c r="K2095" s="25"/>
      <c r="L2095" s="26"/>
      <c r="M2095" s="25"/>
      <c r="N2095" s="25"/>
      <c r="O2095" s="27"/>
      <c r="P2095" s="7"/>
      <c r="Q2095" s="16">
        <f>+IF(IFERROR(VLOOKUP(Tabla3[[#This Row],[Cliente factura]],Tabla4[[NIT]:[TOTAL CREDITO]],3,FALSE),0)="",0,IFERROR(VLOOKUP(Tabla3[[#This Row],[Cliente factura]],Tabla4[[NIT]:[TOTAL CREDITO]],3,FALSE),0))</f>
        <v>0</v>
      </c>
      <c r="R2095" s="9">
        <f>+IFERROR(VLOOKUP(Tabla3[[#This Row],[Cliente factura]],Tabla4[[NIT]:[TOTAL CREDITO]],6,FALSE),0)</f>
        <v>0</v>
      </c>
      <c r="S2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5" s="10" t="e">
        <f>VLOOKUP(Tabla3[[#This Row],[Razón social cliente factura]]&amp;Tabla3[[#This Row],[Desc. ciudad]],'Estandar de Rutas'!$C$1:$E$553,2,FALSE)</f>
        <v>#N/A</v>
      </c>
      <c r="U2095" s="130">
        <f>IFERROR(VLOOKUP(Tabla3[[#This Row],[Referencia]]&amp;Tabla3[[#This Row],[Desc detalle ext 1]],Tabla1[[Referencia-Color]:[Disponibilidad]],3,FALSE),0)</f>
        <v>0</v>
      </c>
      <c r="V2095" s="13"/>
      <c r="W2095" s="17">
        <f>+Tabla3[[#This Row],[Cant. Programada]]*Tabla3[[#This Row],[Precio unit]]</f>
        <v>0</v>
      </c>
      <c r="X2095" s="8"/>
      <c r="Y2095" s="8"/>
      <c r="Z2095" s="8" t="str">
        <f>+Tabla3[[#This Row],[Referencia]]&amp;Tabla3[[#This Row],[Desc detalle ext 1]]</f>
        <v/>
      </c>
      <c r="AA2095" s="128" t="e">
        <f>+VLOOKUP(Tabla3[[#This Row],[CODIGO2]],ESTANDAR!$B$3:$C$9,2,FALSE)</f>
        <v>#N/A</v>
      </c>
      <c r="AB2095" s="128" t="str">
        <f>+MID(Tabla3[[#This Row],['# Viaje]],10,1)</f>
        <v/>
      </c>
    </row>
    <row r="2096" spans="1:28" ht="15" hidden="1" customHeight="1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6"/>
      <c r="M2096" s="25"/>
      <c r="N2096" s="25"/>
      <c r="O2096" s="27"/>
      <c r="P2096" s="7"/>
      <c r="Q2096" s="16">
        <f>+IF(IFERROR(VLOOKUP(Tabla3[[#This Row],[Cliente factura]],Tabla4[[NIT]:[TOTAL CREDITO]],3,FALSE),0)="",0,IFERROR(VLOOKUP(Tabla3[[#This Row],[Cliente factura]],Tabla4[[NIT]:[TOTAL CREDITO]],3,FALSE),0))</f>
        <v>0</v>
      </c>
      <c r="R2096" s="9">
        <f>+IFERROR(VLOOKUP(Tabla3[[#This Row],[Cliente factura]],Tabla4[[NIT]:[TOTAL CREDITO]],6,FALSE),0)</f>
        <v>0</v>
      </c>
      <c r="S2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6" s="10" t="e">
        <f>VLOOKUP(Tabla3[[#This Row],[Razón social cliente factura]]&amp;Tabla3[[#This Row],[Desc. ciudad]],'Estandar de Rutas'!$C$1:$E$553,2,FALSE)</f>
        <v>#N/A</v>
      </c>
      <c r="U2096" s="130">
        <f>IFERROR(VLOOKUP(Tabla3[[#This Row],[Referencia]]&amp;Tabla3[[#This Row],[Desc detalle ext 1]],Tabla1[[Referencia-Color]:[Disponibilidad]],3,FALSE),0)</f>
        <v>0</v>
      </c>
      <c r="V2096" s="13"/>
      <c r="W2096" s="17">
        <f>+Tabla3[[#This Row],[Cant. Programada]]*Tabla3[[#This Row],[Precio unit]]</f>
        <v>0</v>
      </c>
      <c r="X2096" s="8"/>
      <c r="Y2096" s="8"/>
      <c r="Z2096" s="8" t="str">
        <f>+Tabla3[[#This Row],[Referencia]]&amp;Tabla3[[#This Row],[Desc detalle ext 1]]</f>
        <v/>
      </c>
      <c r="AA2096" s="128" t="e">
        <f>+VLOOKUP(Tabla3[[#This Row],[CODIGO2]],ESTANDAR!$B$3:$C$9,2,FALSE)</f>
        <v>#N/A</v>
      </c>
      <c r="AB2096" s="128" t="str">
        <f>+MID(Tabla3[[#This Row],['# Viaje]],10,1)</f>
        <v/>
      </c>
    </row>
    <row r="2097" spans="1:28" ht="15" hidden="1" customHeight="1">
      <c r="A2097" s="25"/>
      <c r="B2097" s="26"/>
      <c r="C2097" s="25"/>
      <c r="D2097" s="25"/>
      <c r="E2097" s="25"/>
      <c r="F2097" s="25"/>
      <c r="G2097" s="25"/>
      <c r="H2097" s="25"/>
      <c r="I2097" s="25"/>
      <c r="J2097" s="25"/>
      <c r="K2097" s="25"/>
      <c r="L2097" s="26"/>
      <c r="M2097" s="25"/>
      <c r="N2097" s="25"/>
      <c r="O2097" s="27"/>
      <c r="P2097" s="7"/>
      <c r="Q2097" s="16">
        <f>+IF(IFERROR(VLOOKUP(Tabla3[[#This Row],[Cliente factura]],Tabla4[[NIT]:[TOTAL CREDITO]],3,FALSE),0)="",0,IFERROR(VLOOKUP(Tabla3[[#This Row],[Cliente factura]],Tabla4[[NIT]:[TOTAL CREDITO]],3,FALSE),0))</f>
        <v>0</v>
      </c>
      <c r="R2097" s="9">
        <f>+IFERROR(VLOOKUP(Tabla3[[#This Row],[Cliente factura]],Tabla4[[NIT]:[TOTAL CREDITO]],6,FALSE),0)</f>
        <v>0</v>
      </c>
      <c r="S2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7" s="10" t="e">
        <f>VLOOKUP(Tabla3[[#This Row],[Razón social cliente factura]]&amp;Tabla3[[#This Row],[Desc. ciudad]],'Estandar de Rutas'!$C$1:$E$553,2,FALSE)</f>
        <v>#N/A</v>
      </c>
      <c r="U2097" s="130">
        <f>IFERROR(VLOOKUP(Tabla3[[#This Row],[Referencia]]&amp;Tabla3[[#This Row],[Desc detalle ext 1]],Tabla1[[Referencia-Color]:[Disponibilidad]],3,FALSE),0)</f>
        <v>0</v>
      </c>
      <c r="V2097" s="13"/>
      <c r="W2097" s="17">
        <f>+Tabla3[[#This Row],[Cant. Programada]]*Tabla3[[#This Row],[Precio unit]]</f>
        <v>0</v>
      </c>
      <c r="X2097" s="8"/>
      <c r="Y2097" s="8"/>
      <c r="Z2097" s="8" t="str">
        <f>+Tabla3[[#This Row],[Referencia]]&amp;Tabla3[[#This Row],[Desc detalle ext 1]]</f>
        <v/>
      </c>
      <c r="AA2097" s="128" t="e">
        <f>+VLOOKUP(Tabla3[[#This Row],[CODIGO2]],ESTANDAR!$B$3:$C$9,2,FALSE)</f>
        <v>#N/A</v>
      </c>
      <c r="AB2097" s="128" t="str">
        <f>+MID(Tabla3[[#This Row],['# Viaje]],10,1)</f>
        <v/>
      </c>
    </row>
    <row r="2098" spans="1:28" ht="15" hidden="1" customHeight="1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6"/>
      <c r="M2098" s="25"/>
      <c r="N2098" s="25"/>
      <c r="O2098" s="27"/>
      <c r="P2098" s="7"/>
      <c r="Q2098" s="16">
        <f>+IF(IFERROR(VLOOKUP(Tabla3[[#This Row],[Cliente factura]],Tabla4[[NIT]:[TOTAL CREDITO]],3,FALSE),0)="",0,IFERROR(VLOOKUP(Tabla3[[#This Row],[Cliente factura]],Tabla4[[NIT]:[TOTAL CREDITO]],3,FALSE),0))</f>
        <v>0</v>
      </c>
      <c r="R2098" s="9">
        <f>+IFERROR(VLOOKUP(Tabla3[[#This Row],[Cliente factura]],Tabla4[[NIT]:[TOTAL CREDITO]],6,FALSE),0)</f>
        <v>0</v>
      </c>
      <c r="S2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8" s="10" t="e">
        <f>VLOOKUP(Tabla3[[#This Row],[Razón social cliente factura]]&amp;Tabla3[[#This Row],[Desc. ciudad]],'Estandar de Rutas'!$C$1:$E$553,2,FALSE)</f>
        <v>#N/A</v>
      </c>
      <c r="U2098" s="130">
        <f>IFERROR(VLOOKUP(Tabla3[[#This Row],[Referencia]]&amp;Tabla3[[#This Row],[Desc detalle ext 1]],Tabla1[[Referencia-Color]:[Disponibilidad]],3,FALSE),0)</f>
        <v>0</v>
      </c>
      <c r="V2098" s="13"/>
      <c r="W2098" s="17">
        <f>+Tabla3[[#This Row],[Cant. Programada]]*Tabla3[[#This Row],[Precio unit]]</f>
        <v>0</v>
      </c>
      <c r="X2098" s="8"/>
      <c r="Y2098" s="8"/>
      <c r="Z2098" s="8" t="str">
        <f>+Tabla3[[#This Row],[Referencia]]&amp;Tabla3[[#This Row],[Desc detalle ext 1]]</f>
        <v/>
      </c>
      <c r="AA2098" s="128" t="e">
        <f>+VLOOKUP(Tabla3[[#This Row],[CODIGO2]],ESTANDAR!$B$3:$C$9,2,FALSE)</f>
        <v>#N/A</v>
      </c>
      <c r="AB2098" s="128" t="str">
        <f>+MID(Tabla3[[#This Row],['# Viaje]],10,1)</f>
        <v/>
      </c>
    </row>
    <row r="2099" spans="1:28" ht="15" hidden="1" customHeight="1">
      <c r="A2099" s="25"/>
      <c r="B2099" s="26"/>
      <c r="C2099" s="25"/>
      <c r="D2099" s="25"/>
      <c r="E2099" s="25"/>
      <c r="F2099" s="25"/>
      <c r="G2099" s="25"/>
      <c r="H2099" s="25"/>
      <c r="I2099" s="25"/>
      <c r="J2099" s="25"/>
      <c r="K2099" s="25"/>
      <c r="L2099" s="26"/>
      <c r="M2099" s="25"/>
      <c r="N2099" s="25"/>
      <c r="O2099" s="27"/>
      <c r="P2099" s="7"/>
      <c r="Q2099" s="16">
        <f>+IF(IFERROR(VLOOKUP(Tabla3[[#This Row],[Cliente factura]],Tabla4[[NIT]:[TOTAL CREDITO]],3,FALSE),0)="",0,IFERROR(VLOOKUP(Tabla3[[#This Row],[Cliente factura]],Tabla4[[NIT]:[TOTAL CREDITO]],3,FALSE),0))</f>
        <v>0</v>
      </c>
      <c r="R2099" s="9">
        <f>+IFERROR(VLOOKUP(Tabla3[[#This Row],[Cliente factura]],Tabla4[[NIT]:[TOTAL CREDITO]],6,FALSE),0)</f>
        <v>0</v>
      </c>
      <c r="S2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9" s="10" t="e">
        <f>VLOOKUP(Tabla3[[#This Row],[Razón social cliente factura]]&amp;Tabla3[[#This Row],[Desc. ciudad]],'Estandar de Rutas'!$C$1:$E$553,2,FALSE)</f>
        <v>#N/A</v>
      </c>
      <c r="U2099" s="130">
        <f>IFERROR(VLOOKUP(Tabla3[[#This Row],[Referencia]]&amp;Tabla3[[#This Row],[Desc detalle ext 1]],Tabla1[[Referencia-Color]:[Disponibilidad]],3,FALSE),0)</f>
        <v>0</v>
      </c>
      <c r="V2099" s="13"/>
      <c r="W2099" s="17">
        <f>+Tabla3[[#This Row],[Cant. Programada]]*Tabla3[[#This Row],[Precio unit]]</f>
        <v>0</v>
      </c>
      <c r="X2099" s="8"/>
      <c r="Y2099" s="8"/>
      <c r="Z2099" s="8" t="str">
        <f>+Tabla3[[#This Row],[Referencia]]&amp;Tabla3[[#This Row],[Desc detalle ext 1]]</f>
        <v/>
      </c>
      <c r="AA2099" s="128" t="e">
        <f>+VLOOKUP(Tabla3[[#This Row],[CODIGO2]],ESTANDAR!$B$3:$C$9,2,FALSE)</f>
        <v>#N/A</v>
      </c>
      <c r="AB2099" s="128" t="str">
        <f>+MID(Tabla3[[#This Row],['# Viaje]],10,1)</f>
        <v/>
      </c>
    </row>
    <row r="2100" spans="1:28" ht="15" hidden="1" customHeight="1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6"/>
      <c r="M2100" s="25"/>
      <c r="N2100" s="25"/>
      <c r="O2100" s="27"/>
      <c r="P2100" s="7"/>
      <c r="Q2100" s="16">
        <f>+IF(IFERROR(VLOOKUP(Tabla3[[#This Row],[Cliente factura]],Tabla4[[NIT]:[TOTAL CREDITO]],3,FALSE),0)="",0,IFERROR(VLOOKUP(Tabla3[[#This Row],[Cliente factura]],Tabla4[[NIT]:[TOTAL CREDITO]],3,FALSE),0))</f>
        <v>0</v>
      </c>
      <c r="R2100" s="9">
        <f>+IFERROR(VLOOKUP(Tabla3[[#This Row],[Cliente factura]],Tabla4[[NIT]:[TOTAL CREDITO]],6,FALSE),0)</f>
        <v>0</v>
      </c>
      <c r="S2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0" s="10" t="e">
        <f>VLOOKUP(Tabla3[[#This Row],[Razón social cliente factura]]&amp;Tabla3[[#This Row],[Desc. ciudad]],'Estandar de Rutas'!$C$1:$E$553,2,FALSE)</f>
        <v>#N/A</v>
      </c>
      <c r="U2100" s="130">
        <f>IFERROR(VLOOKUP(Tabla3[[#This Row],[Referencia]]&amp;Tabla3[[#This Row],[Desc detalle ext 1]],Tabla1[[Referencia-Color]:[Disponibilidad]],3,FALSE),0)</f>
        <v>0</v>
      </c>
      <c r="V2100" s="13"/>
      <c r="W2100" s="17">
        <f>+Tabla3[[#This Row],[Cant. Programada]]*Tabla3[[#This Row],[Precio unit]]</f>
        <v>0</v>
      </c>
      <c r="X2100" s="8"/>
      <c r="Y2100" s="8"/>
      <c r="Z2100" s="8" t="str">
        <f>+Tabla3[[#This Row],[Referencia]]&amp;Tabla3[[#This Row],[Desc detalle ext 1]]</f>
        <v/>
      </c>
      <c r="AA2100" s="128" t="e">
        <f>+VLOOKUP(Tabla3[[#This Row],[CODIGO2]],ESTANDAR!$B$3:$C$9,2,FALSE)</f>
        <v>#N/A</v>
      </c>
      <c r="AB2100" s="128" t="str">
        <f>+MID(Tabla3[[#This Row],['# Viaje]],10,1)</f>
        <v/>
      </c>
    </row>
    <row r="2101" spans="1:28" ht="15" hidden="1" customHeight="1">
      <c r="A2101" s="25"/>
      <c r="B2101" s="26"/>
      <c r="C2101" s="25"/>
      <c r="D2101" s="25"/>
      <c r="E2101" s="25"/>
      <c r="F2101" s="25"/>
      <c r="G2101" s="25"/>
      <c r="H2101" s="25"/>
      <c r="I2101" s="25"/>
      <c r="J2101" s="25"/>
      <c r="K2101" s="25"/>
      <c r="L2101" s="26"/>
      <c r="M2101" s="25"/>
      <c r="N2101" s="25"/>
      <c r="O2101" s="27"/>
      <c r="P2101" s="7"/>
      <c r="Q2101" s="16">
        <f>+IF(IFERROR(VLOOKUP(Tabla3[[#This Row],[Cliente factura]],Tabla4[[NIT]:[TOTAL CREDITO]],3,FALSE),0)="",0,IFERROR(VLOOKUP(Tabla3[[#This Row],[Cliente factura]],Tabla4[[NIT]:[TOTAL CREDITO]],3,FALSE),0))</f>
        <v>0</v>
      </c>
      <c r="R2101" s="9">
        <f>+IFERROR(VLOOKUP(Tabla3[[#This Row],[Cliente factura]],Tabla4[[NIT]:[TOTAL CREDITO]],6,FALSE),0)</f>
        <v>0</v>
      </c>
      <c r="S2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1" s="10" t="e">
        <f>VLOOKUP(Tabla3[[#This Row],[Razón social cliente factura]]&amp;Tabla3[[#This Row],[Desc. ciudad]],'Estandar de Rutas'!$C$1:$E$553,2,FALSE)</f>
        <v>#N/A</v>
      </c>
      <c r="U2101" s="130">
        <f>IFERROR(VLOOKUP(Tabla3[[#This Row],[Referencia]]&amp;Tabla3[[#This Row],[Desc detalle ext 1]],Tabla1[[Referencia-Color]:[Disponibilidad]],3,FALSE),0)</f>
        <v>0</v>
      </c>
      <c r="V2101" s="13"/>
      <c r="W2101" s="17">
        <f>+Tabla3[[#This Row],[Cant. Programada]]*Tabla3[[#This Row],[Precio unit]]</f>
        <v>0</v>
      </c>
      <c r="X2101" s="8"/>
      <c r="Y2101" s="8"/>
      <c r="Z2101" s="8" t="str">
        <f>+Tabla3[[#This Row],[Referencia]]&amp;Tabla3[[#This Row],[Desc detalle ext 1]]</f>
        <v/>
      </c>
      <c r="AA2101" s="128" t="e">
        <f>+VLOOKUP(Tabla3[[#This Row],[CODIGO2]],ESTANDAR!$B$3:$C$9,2,FALSE)</f>
        <v>#N/A</v>
      </c>
      <c r="AB2101" s="128" t="str">
        <f>+MID(Tabla3[[#This Row],['# Viaje]],10,1)</f>
        <v/>
      </c>
    </row>
    <row r="2102" spans="1:28" ht="15" hidden="1" customHeight="1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6"/>
      <c r="M2102" s="25"/>
      <c r="N2102" s="25"/>
      <c r="O2102" s="27"/>
      <c r="P2102" s="7"/>
      <c r="Q2102" s="16">
        <f>+IF(IFERROR(VLOOKUP(Tabla3[[#This Row],[Cliente factura]],Tabla4[[NIT]:[TOTAL CREDITO]],3,FALSE),0)="",0,IFERROR(VLOOKUP(Tabla3[[#This Row],[Cliente factura]],Tabla4[[NIT]:[TOTAL CREDITO]],3,FALSE),0))</f>
        <v>0</v>
      </c>
      <c r="R2102" s="9">
        <f>+IFERROR(VLOOKUP(Tabla3[[#This Row],[Cliente factura]],Tabla4[[NIT]:[TOTAL CREDITO]],6,FALSE),0)</f>
        <v>0</v>
      </c>
      <c r="S2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2" s="10" t="e">
        <f>VLOOKUP(Tabla3[[#This Row],[Razón social cliente factura]]&amp;Tabla3[[#This Row],[Desc. ciudad]],'Estandar de Rutas'!$C$1:$E$553,2,FALSE)</f>
        <v>#N/A</v>
      </c>
      <c r="U2102" s="130">
        <f>IFERROR(VLOOKUP(Tabla3[[#This Row],[Referencia]]&amp;Tabla3[[#This Row],[Desc detalle ext 1]],Tabla1[[Referencia-Color]:[Disponibilidad]],3,FALSE),0)</f>
        <v>0</v>
      </c>
      <c r="V2102" s="13"/>
      <c r="W2102" s="17">
        <f>+Tabla3[[#This Row],[Cant. Programada]]*Tabla3[[#This Row],[Precio unit]]</f>
        <v>0</v>
      </c>
      <c r="X2102" s="8"/>
      <c r="Y2102" s="8"/>
      <c r="Z2102" s="8" t="str">
        <f>+Tabla3[[#This Row],[Referencia]]&amp;Tabla3[[#This Row],[Desc detalle ext 1]]</f>
        <v/>
      </c>
      <c r="AA2102" s="128" t="e">
        <f>+VLOOKUP(Tabla3[[#This Row],[CODIGO2]],ESTANDAR!$B$3:$C$9,2,FALSE)</f>
        <v>#N/A</v>
      </c>
      <c r="AB2102" s="128" t="str">
        <f>+MID(Tabla3[[#This Row],['# Viaje]],10,1)</f>
        <v/>
      </c>
    </row>
    <row r="2103" spans="1:28" ht="15" hidden="1" customHeight="1">
      <c r="A2103" s="25"/>
      <c r="B2103" s="26"/>
      <c r="C2103" s="25"/>
      <c r="D2103" s="25"/>
      <c r="E2103" s="25"/>
      <c r="F2103" s="25"/>
      <c r="G2103" s="25"/>
      <c r="H2103" s="25"/>
      <c r="I2103" s="25"/>
      <c r="J2103" s="25"/>
      <c r="K2103" s="25"/>
      <c r="L2103" s="26"/>
      <c r="M2103" s="25"/>
      <c r="N2103" s="25"/>
      <c r="O2103" s="27"/>
      <c r="P2103" s="7"/>
      <c r="Q2103" s="16">
        <f>+IF(IFERROR(VLOOKUP(Tabla3[[#This Row],[Cliente factura]],Tabla4[[NIT]:[TOTAL CREDITO]],3,FALSE),0)="",0,IFERROR(VLOOKUP(Tabla3[[#This Row],[Cliente factura]],Tabla4[[NIT]:[TOTAL CREDITO]],3,FALSE),0))</f>
        <v>0</v>
      </c>
      <c r="R2103" s="9">
        <f>+IFERROR(VLOOKUP(Tabla3[[#This Row],[Cliente factura]],Tabla4[[NIT]:[TOTAL CREDITO]],6,FALSE),0)</f>
        <v>0</v>
      </c>
      <c r="S2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3" s="10" t="e">
        <f>VLOOKUP(Tabla3[[#This Row],[Razón social cliente factura]]&amp;Tabla3[[#This Row],[Desc. ciudad]],'Estandar de Rutas'!$C$1:$E$553,2,FALSE)</f>
        <v>#N/A</v>
      </c>
      <c r="U2103" s="130">
        <f>IFERROR(VLOOKUP(Tabla3[[#This Row],[Referencia]]&amp;Tabla3[[#This Row],[Desc detalle ext 1]],Tabla1[[Referencia-Color]:[Disponibilidad]],3,FALSE),0)</f>
        <v>0</v>
      </c>
      <c r="V2103" s="13"/>
      <c r="W2103" s="17">
        <f>+Tabla3[[#This Row],[Cant. Programada]]*Tabla3[[#This Row],[Precio unit]]</f>
        <v>0</v>
      </c>
      <c r="X2103" s="8"/>
      <c r="Y2103" s="8"/>
      <c r="Z2103" s="8" t="str">
        <f>+Tabla3[[#This Row],[Referencia]]&amp;Tabla3[[#This Row],[Desc detalle ext 1]]</f>
        <v/>
      </c>
      <c r="AA2103" s="128" t="e">
        <f>+VLOOKUP(Tabla3[[#This Row],[CODIGO2]],ESTANDAR!$B$3:$C$9,2,FALSE)</f>
        <v>#N/A</v>
      </c>
      <c r="AB2103" s="128" t="str">
        <f>+MID(Tabla3[[#This Row],['# Viaje]],10,1)</f>
        <v/>
      </c>
    </row>
    <row r="2104" spans="1:28" ht="15" hidden="1" customHeight="1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6"/>
      <c r="M2104" s="25"/>
      <c r="N2104" s="25"/>
      <c r="O2104" s="27"/>
      <c r="P2104" s="7"/>
      <c r="Q2104" s="16">
        <f>+IF(IFERROR(VLOOKUP(Tabla3[[#This Row],[Cliente factura]],Tabla4[[NIT]:[TOTAL CREDITO]],3,FALSE),0)="",0,IFERROR(VLOOKUP(Tabla3[[#This Row],[Cliente factura]],Tabla4[[NIT]:[TOTAL CREDITO]],3,FALSE),0))</f>
        <v>0</v>
      </c>
      <c r="R2104" s="9">
        <f>+IFERROR(VLOOKUP(Tabla3[[#This Row],[Cliente factura]],Tabla4[[NIT]:[TOTAL CREDITO]],6,FALSE),0)</f>
        <v>0</v>
      </c>
      <c r="S2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4" s="10" t="e">
        <f>VLOOKUP(Tabla3[[#This Row],[Razón social cliente factura]]&amp;Tabla3[[#This Row],[Desc. ciudad]],'Estandar de Rutas'!$C$1:$E$553,2,FALSE)</f>
        <v>#N/A</v>
      </c>
      <c r="U2104" s="130">
        <f>IFERROR(VLOOKUP(Tabla3[[#This Row],[Referencia]]&amp;Tabla3[[#This Row],[Desc detalle ext 1]],Tabla1[[Referencia-Color]:[Disponibilidad]],3,FALSE),0)</f>
        <v>0</v>
      </c>
      <c r="V2104" s="13"/>
      <c r="W2104" s="17">
        <f>+Tabla3[[#This Row],[Cant. Programada]]*Tabla3[[#This Row],[Precio unit]]</f>
        <v>0</v>
      </c>
      <c r="X2104" s="8"/>
      <c r="Y2104" s="8"/>
      <c r="Z2104" s="8" t="str">
        <f>+Tabla3[[#This Row],[Referencia]]&amp;Tabla3[[#This Row],[Desc detalle ext 1]]</f>
        <v/>
      </c>
      <c r="AA2104" s="128" t="e">
        <f>+VLOOKUP(Tabla3[[#This Row],[CODIGO2]],ESTANDAR!$B$3:$C$9,2,FALSE)</f>
        <v>#N/A</v>
      </c>
      <c r="AB2104" s="128" t="str">
        <f>+MID(Tabla3[[#This Row],['# Viaje]],10,1)</f>
        <v/>
      </c>
    </row>
    <row r="2105" spans="1:28" ht="15" hidden="1" customHeight="1">
      <c r="A2105" s="25"/>
      <c r="B2105" s="26"/>
      <c r="C2105" s="25"/>
      <c r="D2105" s="25"/>
      <c r="E2105" s="25"/>
      <c r="F2105" s="25"/>
      <c r="G2105" s="25"/>
      <c r="H2105" s="25"/>
      <c r="I2105" s="25"/>
      <c r="J2105" s="25"/>
      <c r="K2105" s="25"/>
      <c r="L2105" s="26"/>
      <c r="M2105" s="25"/>
      <c r="N2105" s="25"/>
      <c r="O2105" s="27"/>
      <c r="P2105" s="7"/>
      <c r="Q2105" s="16">
        <f>+IF(IFERROR(VLOOKUP(Tabla3[[#This Row],[Cliente factura]],Tabla4[[NIT]:[TOTAL CREDITO]],3,FALSE),0)="",0,IFERROR(VLOOKUP(Tabla3[[#This Row],[Cliente factura]],Tabla4[[NIT]:[TOTAL CREDITO]],3,FALSE),0))</f>
        <v>0</v>
      </c>
      <c r="R2105" s="9">
        <f>+IFERROR(VLOOKUP(Tabla3[[#This Row],[Cliente factura]],Tabla4[[NIT]:[TOTAL CREDITO]],6,FALSE),0)</f>
        <v>0</v>
      </c>
      <c r="S2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5" s="10" t="e">
        <f>VLOOKUP(Tabla3[[#This Row],[Razón social cliente factura]]&amp;Tabla3[[#This Row],[Desc. ciudad]],'Estandar de Rutas'!$C$1:$E$553,2,FALSE)</f>
        <v>#N/A</v>
      </c>
      <c r="U2105" s="130">
        <f>IFERROR(VLOOKUP(Tabla3[[#This Row],[Referencia]]&amp;Tabla3[[#This Row],[Desc detalle ext 1]],Tabla1[[Referencia-Color]:[Disponibilidad]],3,FALSE),0)</f>
        <v>0</v>
      </c>
      <c r="V2105" s="13"/>
      <c r="W2105" s="17">
        <f>+Tabla3[[#This Row],[Cant. Programada]]*Tabla3[[#This Row],[Precio unit]]</f>
        <v>0</v>
      </c>
      <c r="X2105" s="8"/>
      <c r="Y2105" s="8"/>
      <c r="Z2105" s="8" t="str">
        <f>+Tabla3[[#This Row],[Referencia]]&amp;Tabla3[[#This Row],[Desc detalle ext 1]]</f>
        <v/>
      </c>
      <c r="AA2105" s="128" t="e">
        <f>+VLOOKUP(Tabla3[[#This Row],[CODIGO2]],ESTANDAR!$B$3:$C$9,2,FALSE)</f>
        <v>#N/A</v>
      </c>
      <c r="AB2105" s="128" t="str">
        <f>+MID(Tabla3[[#This Row],['# Viaje]],10,1)</f>
        <v/>
      </c>
    </row>
    <row r="2106" spans="1:28" ht="15" hidden="1" customHeight="1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6"/>
      <c r="M2106" s="25"/>
      <c r="N2106" s="25"/>
      <c r="O2106" s="27"/>
      <c r="P2106" s="7"/>
      <c r="Q2106" s="16">
        <f>+IF(IFERROR(VLOOKUP(Tabla3[[#This Row],[Cliente factura]],Tabla4[[NIT]:[TOTAL CREDITO]],3,FALSE),0)="",0,IFERROR(VLOOKUP(Tabla3[[#This Row],[Cliente factura]],Tabla4[[NIT]:[TOTAL CREDITO]],3,FALSE),0))</f>
        <v>0</v>
      </c>
      <c r="R2106" s="9">
        <f>+IFERROR(VLOOKUP(Tabla3[[#This Row],[Cliente factura]],Tabla4[[NIT]:[TOTAL CREDITO]],6,FALSE),0)</f>
        <v>0</v>
      </c>
      <c r="S2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6" s="10" t="e">
        <f>VLOOKUP(Tabla3[[#This Row],[Razón social cliente factura]]&amp;Tabla3[[#This Row],[Desc. ciudad]],'Estandar de Rutas'!$C$1:$E$553,2,FALSE)</f>
        <v>#N/A</v>
      </c>
      <c r="U2106" s="130">
        <f>IFERROR(VLOOKUP(Tabla3[[#This Row],[Referencia]]&amp;Tabla3[[#This Row],[Desc detalle ext 1]],Tabla1[[Referencia-Color]:[Disponibilidad]],3,FALSE),0)</f>
        <v>0</v>
      </c>
      <c r="V2106" s="13"/>
      <c r="W2106" s="17">
        <f>+Tabla3[[#This Row],[Cant. Programada]]*Tabla3[[#This Row],[Precio unit]]</f>
        <v>0</v>
      </c>
      <c r="X2106" s="8"/>
      <c r="Y2106" s="8"/>
      <c r="Z2106" s="8" t="str">
        <f>+Tabla3[[#This Row],[Referencia]]&amp;Tabla3[[#This Row],[Desc detalle ext 1]]</f>
        <v/>
      </c>
      <c r="AA2106" s="128" t="e">
        <f>+VLOOKUP(Tabla3[[#This Row],[CODIGO2]],ESTANDAR!$B$3:$C$9,2,FALSE)</f>
        <v>#N/A</v>
      </c>
      <c r="AB2106" s="128" t="str">
        <f>+MID(Tabla3[[#This Row],['# Viaje]],10,1)</f>
        <v/>
      </c>
    </row>
    <row r="2107" spans="1:28" ht="15" hidden="1" customHeight="1">
      <c r="A2107" s="25"/>
      <c r="B2107" s="26"/>
      <c r="C2107" s="25"/>
      <c r="D2107" s="25"/>
      <c r="E2107" s="25"/>
      <c r="F2107" s="25"/>
      <c r="G2107" s="25"/>
      <c r="H2107" s="25"/>
      <c r="I2107" s="25"/>
      <c r="J2107" s="25"/>
      <c r="K2107" s="25"/>
      <c r="L2107" s="26"/>
      <c r="M2107" s="25"/>
      <c r="N2107" s="25"/>
      <c r="O2107" s="27"/>
      <c r="P2107" s="7"/>
      <c r="Q2107" s="16">
        <f>+IF(IFERROR(VLOOKUP(Tabla3[[#This Row],[Cliente factura]],Tabla4[[NIT]:[TOTAL CREDITO]],3,FALSE),0)="",0,IFERROR(VLOOKUP(Tabla3[[#This Row],[Cliente factura]],Tabla4[[NIT]:[TOTAL CREDITO]],3,FALSE),0))</f>
        <v>0</v>
      </c>
      <c r="R2107" s="9">
        <f>+IFERROR(VLOOKUP(Tabla3[[#This Row],[Cliente factura]],Tabla4[[NIT]:[TOTAL CREDITO]],6,FALSE),0)</f>
        <v>0</v>
      </c>
      <c r="S2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7" s="10" t="e">
        <f>VLOOKUP(Tabla3[[#This Row],[Razón social cliente factura]]&amp;Tabla3[[#This Row],[Desc. ciudad]],'Estandar de Rutas'!$C$1:$E$553,2,FALSE)</f>
        <v>#N/A</v>
      </c>
      <c r="U2107" s="130">
        <f>IFERROR(VLOOKUP(Tabla3[[#This Row],[Referencia]]&amp;Tabla3[[#This Row],[Desc detalle ext 1]],Tabla1[[Referencia-Color]:[Disponibilidad]],3,FALSE),0)</f>
        <v>0</v>
      </c>
      <c r="V2107" s="13"/>
      <c r="W2107" s="17">
        <f>+Tabla3[[#This Row],[Cant. Programada]]*Tabla3[[#This Row],[Precio unit]]</f>
        <v>0</v>
      </c>
      <c r="X2107" s="8"/>
      <c r="Y2107" s="8"/>
      <c r="Z2107" s="8" t="str">
        <f>+Tabla3[[#This Row],[Referencia]]&amp;Tabla3[[#This Row],[Desc detalle ext 1]]</f>
        <v/>
      </c>
      <c r="AA2107" s="128" t="e">
        <f>+VLOOKUP(Tabla3[[#This Row],[CODIGO2]],ESTANDAR!$B$3:$C$9,2,FALSE)</f>
        <v>#N/A</v>
      </c>
      <c r="AB2107" s="128" t="str">
        <f>+MID(Tabla3[[#This Row],['# Viaje]],10,1)</f>
        <v/>
      </c>
    </row>
    <row r="2108" spans="1:28" ht="15" hidden="1" customHeight="1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6"/>
      <c r="M2108" s="25"/>
      <c r="N2108" s="25"/>
      <c r="O2108" s="27"/>
      <c r="P2108" s="7"/>
      <c r="Q2108" s="16">
        <f>+IF(IFERROR(VLOOKUP(Tabla3[[#This Row],[Cliente factura]],Tabla4[[NIT]:[TOTAL CREDITO]],3,FALSE),0)="",0,IFERROR(VLOOKUP(Tabla3[[#This Row],[Cliente factura]],Tabla4[[NIT]:[TOTAL CREDITO]],3,FALSE),0))</f>
        <v>0</v>
      </c>
      <c r="R2108" s="9">
        <f>+IFERROR(VLOOKUP(Tabla3[[#This Row],[Cliente factura]],Tabla4[[NIT]:[TOTAL CREDITO]],6,FALSE),0)</f>
        <v>0</v>
      </c>
      <c r="S2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8" s="10" t="e">
        <f>VLOOKUP(Tabla3[[#This Row],[Razón social cliente factura]]&amp;Tabla3[[#This Row],[Desc. ciudad]],'Estandar de Rutas'!$C$1:$E$553,2,FALSE)</f>
        <v>#N/A</v>
      </c>
      <c r="U2108" s="130">
        <f>IFERROR(VLOOKUP(Tabla3[[#This Row],[Referencia]]&amp;Tabla3[[#This Row],[Desc detalle ext 1]],Tabla1[[Referencia-Color]:[Disponibilidad]],3,FALSE),0)</f>
        <v>0</v>
      </c>
      <c r="V2108" s="13"/>
      <c r="W2108" s="17">
        <f>+Tabla3[[#This Row],[Cant. Programada]]*Tabla3[[#This Row],[Precio unit]]</f>
        <v>0</v>
      </c>
      <c r="X2108" s="8"/>
      <c r="Y2108" s="8"/>
      <c r="Z2108" s="8" t="str">
        <f>+Tabla3[[#This Row],[Referencia]]&amp;Tabla3[[#This Row],[Desc detalle ext 1]]</f>
        <v/>
      </c>
      <c r="AA2108" s="128" t="e">
        <f>+VLOOKUP(Tabla3[[#This Row],[CODIGO2]],ESTANDAR!$B$3:$C$9,2,FALSE)</f>
        <v>#N/A</v>
      </c>
      <c r="AB2108" s="128" t="str">
        <f>+MID(Tabla3[[#This Row],['# Viaje]],10,1)</f>
        <v/>
      </c>
    </row>
    <row r="2109" spans="1:28" ht="15" hidden="1" customHeight="1">
      <c r="A2109" s="25"/>
      <c r="B2109" s="26"/>
      <c r="C2109" s="25"/>
      <c r="D2109" s="25"/>
      <c r="E2109" s="25"/>
      <c r="F2109" s="25"/>
      <c r="G2109" s="25"/>
      <c r="H2109" s="25"/>
      <c r="I2109" s="25"/>
      <c r="J2109" s="25"/>
      <c r="K2109" s="25"/>
      <c r="L2109" s="26"/>
      <c r="M2109" s="25"/>
      <c r="N2109" s="25"/>
      <c r="O2109" s="27"/>
      <c r="P2109" s="7"/>
      <c r="Q2109" s="16">
        <f>+IF(IFERROR(VLOOKUP(Tabla3[[#This Row],[Cliente factura]],Tabla4[[NIT]:[TOTAL CREDITO]],3,FALSE),0)="",0,IFERROR(VLOOKUP(Tabla3[[#This Row],[Cliente factura]],Tabla4[[NIT]:[TOTAL CREDITO]],3,FALSE),0))</f>
        <v>0</v>
      </c>
      <c r="R2109" s="9">
        <f>+IFERROR(VLOOKUP(Tabla3[[#This Row],[Cliente factura]],Tabla4[[NIT]:[TOTAL CREDITO]],6,FALSE),0)</f>
        <v>0</v>
      </c>
      <c r="S2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9" s="10" t="e">
        <f>VLOOKUP(Tabla3[[#This Row],[Razón social cliente factura]]&amp;Tabla3[[#This Row],[Desc. ciudad]],'Estandar de Rutas'!$C$1:$E$553,2,FALSE)</f>
        <v>#N/A</v>
      </c>
      <c r="U2109" s="130">
        <f>IFERROR(VLOOKUP(Tabla3[[#This Row],[Referencia]]&amp;Tabla3[[#This Row],[Desc detalle ext 1]],Tabla1[[Referencia-Color]:[Disponibilidad]],3,FALSE),0)</f>
        <v>0</v>
      </c>
      <c r="V2109" s="13"/>
      <c r="W2109" s="17">
        <f>+Tabla3[[#This Row],[Cant. Programada]]*Tabla3[[#This Row],[Precio unit]]</f>
        <v>0</v>
      </c>
      <c r="X2109" s="8"/>
      <c r="Y2109" s="8"/>
      <c r="Z2109" s="8" t="str">
        <f>+Tabla3[[#This Row],[Referencia]]&amp;Tabla3[[#This Row],[Desc detalle ext 1]]</f>
        <v/>
      </c>
      <c r="AA2109" s="128" t="e">
        <f>+VLOOKUP(Tabla3[[#This Row],[CODIGO2]],ESTANDAR!$B$3:$C$9,2,FALSE)</f>
        <v>#N/A</v>
      </c>
      <c r="AB2109" s="128" t="str">
        <f>+MID(Tabla3[[#This Row],['# Viaje]],10,1)</f>
        <v/>
      </c>
    </row>
    <row r="2110" spans="1:28" ht="15" hidden="1" customHeight="1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6"/>
      <c r="M2110" s="25"/>
      <c r="N2110" s="25"/>
      <c r="O2110" s="27"/>
      <c r="P2110" s="7"/>
      <c r="Q2110" s="16">
        <f>+IF(IFERROR(VLOOKUP(Tabla3[[#This Row],[Cliente factura]],Tabla4[[NIT]:[TOTAL CREDITO]],3,FALSE),0)="",0,IFERROR(VLOOKUP(Tabla3[[#This Row],[Cliente factura]],Tabla4[[NIT]:[TOTAL CREDITO]],3,FALSE),0))</f>
        <v>0</v>
      </c>
      <c r="R2110" s="9">
        <f>+IFERROR(VLOOKUP(Tabla3[[#This Row],[Cliente factura]],Tabla4[[NIT]:[TOTAL CREDITO]],6,FALSE),0)</f>
        <v>0</v>
      </c>
      <c r="S2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0" s="10" t="e">
        <f>VLOOKUP(Tabla3[[#This Row],[Razón social cliente factura]]&amp;Tabla3[[#This Row],[Desc. ciudad]],'Estandar de Rutas'!$C$1:$E$553,2,FALSE)</f>
        <v>#N/A</v>
      </c>
      <c r="U2110" s="130">
        <f>IFERROR(VLOOKUP(Tabla3[[#This Row],[Referencia]]&amp;Tabla3[[#This Row],[Desc detalle ext 1]],Tabla1[[Referencia-Color]:[Disponibilidad]],3,FALSE),0)</f>
        <v>0</v>
      </c>
      <c r="V2110" s="13"/>
      <c r="W2110" s="17">
        <f>+Tabla3[[#This Row],[Cant. Programada]]*Tabla3[[#This Row],[Precio unit]]</f>
        <v>0</v>
      </c>
      <c r="X2110" s="8"/>
      <c r="Y2110" s="8"/>
      <c r="Z2110" s="8" t="str">
        <f>+Tabla3[[#This Row],[Referencia]]&amp;Tabla3[[#This Row],[Desc detalle ext 1]]</f>
        <v/>
      </c>
      <c r="AA2110" s="128" t="e">
        <f>+VLOOKUP(Tabla3[[#This Row],[CODIGO2]],ESTANDAR!$B$3:$C$9,2,FALSE)</f>
        <v>#N/A</v>
      </c>
      <c r="AB2110" s="128" t="str">
        <f>+MID(Tabla3[[#This Row],['# Viaje]],10,1)</f>
        <v/>
      </c>
    </row>
    <row r="2111" spans="1:28" ht="15" hidden="1" customHeight="1">
      <c r="A2111" s="25"/>
      <c r="B2111" s="26"/>
      <c r="C2111" s="25"/>
      <c r="D2111" s="25"/>
      <c r="E2111" s="25"/>
      <c r="F2111" s="25"/>
      <c r="G2111" s="25"/>
      <c r="H2111" s="25"/>
      <c r="I2111" s="25"/>
      <c r="J2111" s="25"/>
      <c r="K2111" s="25"/>
      <c r="L2111" s="26"/>
      <c r="M2111" s="25"/>
      <c r="N2111" s="25"/>
      <c r="O2111" s="27"/>
      <c r="P2111" s="7"/>
      <c r="Q2111" s="16">
        <f>+IF(IFERROR(VLOOKUP(Tabla3[[#This Row],[Cliente factura]],Tabla4[[NIT]:[TOTAL CREDITO]],3,FALSE),0)="",0,IFERROR(VLOOKUP(Tabla3[[#This Row],[Cliente factura]],Tabla4[[NIT]:[TOTAL CREDITO]],3,FALSE),0))</f>
        <v>0</v>
      </c>
      <c r="R2111" s="9">
        <f>+IFERROR(VLOOKUP(Tabla3[[#This Row],[Cliente factura]],Tabla4[[NIT]:[TOTAL CREDITO]],6,FALSE),0)</f>
        <v>0</v>
      </c>
      <c r="S2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1" s="10" t="e">
        <f>VLOOKUP(Tabla3[[#This Row],[Razón social cliente factura]]&amp;Tabla3[[#This Row],[Desc. ciudad]],'Estandar de Rutas'!$C$1:$E$553,2,FALSE)</f>
        <v>#N/A</v>
      </c>
      <c r="U2111" s="130">
        <f>IFERROR(VLOOKUP(Tabla3[[#This Row],[Referencia]]&amp;Tabla3[[#This Row],[Desc detalle ext 1]],Tabla1[[Referencia-Color]:[Disponibilidad]],3,FALSE),0)</f>
        <v>0</v>
      </c>
      <c r="V2111" s="13"/>
      <c r="W2111" s="17">
        <f>+Tabla3[[#This Row],[Cant. Programada]]*Tabla3[[#This Row],[Precio unit]]</f>
        <v>0</v>
      </c>
      <c r="X2111" s="8"/>
      <c r="Y2111" s="8"/>
      <c r="Z2111" s="8" t="str">
        <f>+Tabla3[[#This Row],[Referencia]]&amp;Tabla3[[#This Row],[Desc detalle ext 1]]</f>
        <v/>
      </c>
      <c r="AA2111" s="128" t="e">
        <f>+VLOOKUP(Tabla3[[#This Row],[CODIGO2]],ESTANDAR!$B$3:$C$9,2,FALSE)</f>
        <v>#N/A</v>
      </c>
      <c r="AB2111" s="128" t="str">
        <f>+MID(Tabla3[[#This Row],['# Viaje]],10,1)</f>
        <v/>
      </c>
    </row>
    <row r="2112" spans="1:28" ht="15" hidden="1" customHeight="1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6"/>
      <c r="M2112" s="25"/>
      <c r="N2112" s="25"/>
      <c r="O2112" s="27"/>
      <c r="P2112" s="7"/>
      <c r="Q2112" s="16">
        <f>+IF(IFERROR(VLOOKUP(Tabla3[[#This Row],[Cliente factura]],Tabla4[[NIT]:[TOTAL CREDITO]],3,FALSE),0)="",0,IFERROR(VLOOKUP(Tabla3[[#This Row],[Cliente factura]],Tabla4[[NIT]:[TOTAL CREDITO]],3,FALSE),0))</f>
        <v>0</v>
      </c>
      <c r="R2112" s="9">
        <f>+IFERROR(VLOOKUP(Tabla3[[#This Row],[Cliente factura]],Tabla4[[NIT]:[TOTAL CREDITO]],6,FALSE),0)</f>
        <v>0</v>
      </c>
      <c r="S2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2" s="10" t="e">
        <f>VLOOKUP(Tabla3[[#This Row],[Razón social cliente factura]]&amp;Tabla3[[#This Row],[Desc. ciudad]],'Estandar de Rutas'!$C$1:$E$553,2,FALSE)</f>
        <v>#N/A</v>
      </c>
      <c r="U2112" s="130">
        <f>IFERROR(VLOOKUP(Tabla3[[#This Row],[Referencia]]&amp;Tabla3[[#This Row],[Desc detalle ext 1]],Tabla1[[Referencia-Color]:[Disponibilidad]],3,FALSE),0)</f>
        <v>0</v>
      </c>
      <c r="V2112" s="13"/>
      <c r="W2112" s="17">
        <f>+Tabla3[[#This Row],[Cant. Programada]]*Tabla3[[#This Row],[Precio unit]]</f>
        <v>0</v>
      </c>
      <c r="X2112" s="8"/>
      <c r="Y2112" s="8"/>
      <c r="Z2112" s="8" t="str">
        <f>+Tabla3[[#This Row],[Referencia]]&amp;Tabla3[[#This Row],[Desc detalle ext 1]]</f>
        <v/>
      </c>
      <c r="AA2112" s="128" t="e">
        <f>+VLOOKUP(Tabla3[[#This Row],[CODIGO2]],ESTANDAR!$B$3:$C$9,2,FALSE)</f>
        <v>#N/A</v>
      </c>
      <c r="AB2112" s="128" t="str">
        <f>+MID(Tabla3[[#This Row],['# Viaje]],10,1)</f>
        <v/>
      </c>
    </row>
    <row r="2113" spans="1:28" ht="15" hidden="1" customHeight="1">
      <c r="A2113" s="25"/>
      <c r="B2113" s="26"/>
      <c r="C2113" s="25"/>
      <c r="D2113" s="25"/>
      <c r="E2113" s="25"/>
      <c r="F2113" s="25"/>
      <c r="G2113" s="25"/>
      <c r="H2113" s="25"/>
      <c r="I2113" s="25"/>
      <c r="J2113" s="25"/>
      <c r="K2113" s="25"/>
      <c r="L2113" s="26"/>
      <c r="M2113" s="25"/>
      <c r="N2113" s="25"/>
      <c r="O2113" s="27"/>
      <c r="P2113" s="7"/>
      <c r="Q2113" s="16">
        <f>+IF(IFERROR(VLOOKUP(Tabla3[[#This Row],[Cliente factura]],Tabla4[[NIT]:[TOTAL CREDITO]],3,FALSE),0)="",0,IFERROR(VLOOKUP(Tabla3[[#This Row],[Cliente factura]],Tabla4[[NIT]:[TOTAL CREDITO]],3,FALSE),0))</f>
        <v>0</v>
      </c>
      <c r="R2113" s="9">
        <f>+IFERROR(VLOOKUP(Tabla3[[#This Row],[Cliente factura]],Tabla4[[NIT]:[TOTAL CREDITO]],6,FALSE),0)</f>
        <v>0</v>
      </c>
      <c r="S2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3" s="10" t="e">
        <f>VLOOKUP(Tabla3[[#This Row],[Razón social cliente factura]]&amp;Tabla3[[#This Row],[Desc. ciudad]],'Estandar de Rutas'!$C$1:$E$553,2,FALSE)</f>
        <v>#N/A</v>
      </c>
      <c r="U2113" s="130">
        <f>IFERROR(VLOOKUP(Tabla3[[#This Row],[Referencia]]&amp;Tabla3[[#This Row],[Desc detalle ext 1]],Tabla1[[Referencia-Color]:[Disponibilidad]],3,FALSE),0)</f>
        <v>0</v>
      </c>
      <c r="V2113" s="13"/>
      <c r="W2113" s="17">
        <f>+Tabla3[[#This Row],[Cant. Programada]]*Tabla3[[#This Row],[Precio unit]]</f>
        <v>0</v>
      </c>
      <c r="X2113" s="8"/>
      <c r="Y2113" s="8"/>
      <c r="Z2113" s="8" t="str">
        <f>+Tabla3[[#This Row],[Referencia]]&amp;Tabla3[[#This Row],[Desc detalle ext 1]]</f>
        <v/>
      </c>
      <c r="AA2113" s="128" t="e">
        <f>+VLOOKUP(Tabla3[[#This Row],[CODIGO2]],ESTANDAR!$B$3:$C$9,2,FALSE)</f>
        <v>#N/A</v>
      </c>
      <c r="AB2113" s="128" t="str">
        <f>+MID(Tabla3[[#This Row],['# Viaje]],10,1)</f>
        <v/>
      </c>
    </row>
    <row r="2114" spans="1:28" ht="15" hidden="1" customHeight="1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6"/>
      <c r="M2114" s="25"/>
      <c r="N2114" s="25"/>
      <c r="O2114" s="27"/>
      <c r="P2114" s="7"/>
      <c r="Q2114" s="16">
        <f>+IF(IFERROR(VLOOKUP(Tabla3[[#This Row],[Cliente factura]],Tabla4[[NIT]:[TOTAL CREDITO]],3,FALSE),0)="",0,IFERROR(VLOOKUP(Tabla3[[#This Row],[Cliente factura]],Tabla4[[NIT]:[TOTAL CREDITO]],3,FALSE),0))</f>
        <v>0</v>
      </c>
      <c r="R2114" s="9">
        <f>+IFERROR(VLOOKUP(Tabla3[[#This Row],[Cliente factura]],Tabla4[[NIT]:[TOTAL CREDITO]],6,FALSE),0)</f>
        <v>0</v>
      </c>
      <c r="S2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4" s="10" t="e">
        <f>VLOOKUP(Tabla3[[#This Row],[Razón social cliente factura]]&amp;Tabla3[[#This Row],[Desc. ciudad]],'Estandar de Rutas'!$C$1:$E$553,2,FALSE)</f>
        <v>#N/A</v>
      </c>
      <c r="U2114" s="130">
        <f>IFERROR(VLOOKUP(Tabla3[[#This Row],[Referencia]]&amp;Tabla3[[#This Row],[Desc detalle ext 1]],Tabla1[[Referencia-Color]:[Disponibilidad]],3,FALSE),0)</f>
        <v>0</v>
      </c>
      <c r="V2114" s="13"/>
      <c r="W2114" s="17">
        <f>+Tabla3[[#This Row],[Cant. Programada]]*Tabla3[[#This Row],[Precio unit]]</f>
        <v>0</v>
      </c>
      <c r="X2114" s="8"/>
      <c r="Y2114" s="8"/>
      <c r="Z2114" s="8" t="str">
        <f>+Tabla3[[#This Row],[Referencia]]&amp;Tabla3[[#This Row],[Desc detalle ext 1]]</f>
        <v/>
      </c>
      <c r="AA2114" s="128" t="e">
        <f>+VLOOKUP(Tabla3[[#This Row],[CODIGO2]],ESTANDAR!$B$3:$C$9,2,FALSE)</f>
        <v>#N/A</v>
      </c>
      <c r="AB2114" s="128" t="str">
        <f>+MID(Tabla3[[#This Row],['# Viaje]],10,1)</f>
        <v/>
      </c>
    </row>
    <row r="2115" spans="1:28" ht="15" hidden="1" customHeight="1">
      <c r="A2115" s="25"/>
      <c r="B2115" s="26"/>
      <c r="C2115" s="25"/>
      <c r="D2115" s="25"/>
      <c r="E2115" s="25"/>
      <c r="F2115" s="25"/>
      <c r="G2115" s="25"/>
      <c r="H2115" s="25"/>
      <c r="I2115" s="25"/>
      <c r="J2115" s="25"/>
      <c r="K2115" s="25"/>
      <c r="L2115" s="26"/>
      <c r="M2115" s="25"/>
      <c r="N2115" s="25"/>
      <c r="O2115" s="27"/>
      <c r="P2115" s="7"/>
      <c r="Q2115" s="16">
        <f>+IF(IFERROR(VLOOKUP(Tabla3[[#This Row],[Cliente factura]],Tabla4[[NIT]:[TOTAL CREDITO]],3,FALSE),0)="",0,IFERROR(VLOOKUP(Tabla3[[#This Row],[Cliente factura]],Tabla4[[NIT]:[TOTAL CREDITO]],3,FALSE),0))</f>
        <v>0</v>
      </c>
      <c r="R2115" s="9">
        <f>+IFERROR(VLOOKUP(Tabla3[[#This Row],[Cliente factura]],Tabla4[[NIT]:[TOTAL CREDITO]],6,FALSE),0)</f>
        <v>0</v>
      </c>
      <c r="S2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5" s="10" t="e">
        <f>VLOOKUP(Tabla3[[#This Row],[Razón social cliente factura]]&amp;Tabla3[[#This Row],[Desc. ciudad]],'Estandar de Rutas'!$C$1:$E$553,2,FALSE)</f>
        <v>#N/A</v>
      </c>
      <c r="U2115" s="130">
        <f>IFERROR(VLOOKUP(Tabla3[[#This Row],[Referencia]]&amp;Tabla3[[#This Row],[Desc detalle ext 1]],Tabla1[[Referencia-Color]:[Disponibilidad]],3,FALSE),0)</f>
        <v>0</v>
      </c>
      <c r="V2115" s="13"/>
      <c r="W2115" s="17">
        <f>+Tabla3[[#This Row],[Cant. Programada]]*Tabla3[[#This Row],[Precio unit]]</f>
        <v>0</v>
      </c>
      <c r="X2115" s="8"/>
      <c r="Y2115" s="8"/>
      <c r="Z2115" s="8" t="str">
        <f>+Tabla3[[#This Row],[Referencia]]&amp;Tabla3[[#This Row],[Desc detalle ext 1]]</f>
        <v/>
      </c>
      <c r="AA2115" s="128" t="e">
        <f>+VLOOKUP(Tabla3[[#This Row],[CODIGO2]],ESTANDAR!$B$3:$C$9,2,FALSE)</f>
        <v>#N/A</v>
      </c>
      <c r="AB2115" s="128" t="str">
        <f>+MID(Tabla3[[#This Row],['# Viaje]],10,1)</f>
        <v/>
      </c>
    </row>
    <row r="2116" spans="1:28" ht="15" hidden="1" customHeight="1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6"/>
      <c r="M2116" s="25"/>
      <c r="N2116" s="25"/>
      <c r="O2116" s="27"/>
      <c r="P2116" s="7"/>
      <c r="Q2116" s="16">
        <f>+IF(IFERROR(VLOOKUP(Tabla3[[#This Row],[Cliente factura]],Tabla4[[NIT]:[TOTAL CREDITO]],3,FALSE),0)="",0,IFERROR(VLOOKUP(Tabla3[[#This Row],[Cliente factura]],Tabla4[[NIT]:[TOTAL CREDITO]],3,FALSE),0))</f>
        <v>0</v>
      </c>
      <c r="R2116" s="9">
        <f>+IFERROR(VLOOKUP(Tabla3[[#This Row],[Cliente factura]],Tabla4[[NIT]:[TOTAL CREDITO]],6,FALSE),0)</f>
        <v>0</v>
      </c>
      <c r="S2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6" s="10" t="e">
        <f>VLOOKUP(Tabla3[[#This Row],[Razón social cliente factura]]&amp;Tabla3[[#This Row],[Desc. ciudad]],'Estandar de Rutas'!$C$1:$E$553,2,FALSE)</f>
        <v>#N/A</v>
      </c>
      <c r="U2116" s="130">
        <f>IFERROR(VLOOKUP(Tabla3[[#This Row],[Referencia]]&amp;Tabla3[[#This Row],[Desc detalle ext 1]],Tabla1[[Referencia-Color]:[Disponibilidad]],3,FALSE),0)</f>
        <v>0</v>
      </c>
      <c r="V2116" s="13"/>
      <c r="W2116" s="17">
        <f>+Tabla3[[#This Row],[Cant. Programada]]*Tabla3[[#This Row],[Precio unit]]</f>
        <v>0</v>
      </c>
      <c r="X2116" s="8"/>
      <c r="Y2116" s="8"/>
      <c r="Z2116" s="8" t="str">
        <f>+Tabla3[[#This Row],[Referencia]]&amp;Tabla3[[#This Row],[Desc detalle ext 1]]</f>
        <v/>
      </c>
      <c r="AA2116" s="128" t="e">
        <f>+VLOOKUP(Tabla3[[#This Row],[CODIGO2]],ESTANDAR!$B$3:$C$9,2,FALSE)</f>
        <v>#N/A</v>
      </c>
      <c r="AB2116" s="128" t="str">
        <f>+MID(Tabla3[[#This Row],['# Viaje]],10,1)</f>
        <v/>
      </c>
    </row>
    <row r="2117" spans="1:28" ht="15" hidden="1" customHeight="1">
      <c r="A2117" s="25"/>
      <c r="B2117" s="26"/>
      <c r="C2117" s="25"/>
      <c r="D2117" s="25"/>
      <c r="E2117" s="25"/>
      <c r="F2117" s="25"/>
      <c r="G2117" s="25"/>
      <c r="H2117" s="25"/>
      <c r="I2117" s="25"/>
      <c r="J2117" s="25"/>
      <c r="K2117" s="25"/>
      <c r="L2117" s="26"/>
      <c r="M2117" s="25"/>
      <c r="N2117" s="25"/>
      <c r="O2117" s="27"/>
      <c r="P2117" s="7"/>
      <c r="Q2117" s="16">
        <f>+IF(IFERROR(VLOOKUP(Tabla3[[#This Row],[Cliente factura]],Tabla4[[NIT]:[TOTAL CREDITO]],3,FALSE),0)="",0,IFERROR(VLOOKUP(Tabla3[[#This Row],[Cliente factura]],Tabla4[[NIT]:[TOTAL CREDITO]],3,FALSE),0))</f>
        <v>0</v>
      </c>
      <c r="R2117" s="9">
        <f>+IFERROR(VLOOKUP(Tabla3[[#This Row],[Cliente factura]],Tabla4[[NIT]:[TOTAL CREDITO]],6,FALSE),0)</f>
        <v>0</v>
      </c>
      <c r="S2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7" s="10" t="e">
        <f>VLOOKUP(Tabla3[[#This Row],[Razón social cliente factura]]&amp;Tabla3[[#This Row],[Desc. ciudad]],'Estandar de Rutas'!$C$1:$E$553,2,FALSE)</f>
        <v>#N/A</v>
      </c>
      <c r="U2117" s="130">
        <f>IFERROR(VLOOKUP(Tabla3[[#This Row],[Referencia]]&amp;Tabla3[[#This Row],[Desc detalle ext 1]],Tabla1[[Referencia-Color]:[Disponibilidad]],3,FALSE),0)</f>
        <v>0</v>
      </c>
      <c r="V2117" s="13"/>
      <c r="W2117" s="17">
        <f>+Tabla3[[#This Row],[Cant. Programada]]*Tabla3[[#This Row],[Precio unit]]</f>
        <v>0</v>
      </c>
      <c r="X2117" s="8"/>
      <c r="Y2117" s="8"/>
      <c r="Z2117" s="8" t="str">
        <f>+Tabla3[[#This Row],[Referencia]]&amp;Tabla3[[#This Row],[Desc detalle ext 1]]</f>
        <v/>
      </c>
      <c r="AA2117" s="128" t="e">
        <f>+VLOOKUP(Tabla3[[#This Row],[CODIGO2]],ESTANDAR!$B$3:$C$9,2,FALSE)</f>
        <v>#N/A</v>
      </c>
      <c r="AB2117" s="128" t="str">
        <f>+MID(Tabla3[[#This Row],['# Viaje]],10,1)</f>
        <v/>
      </c>
    </row>
    <row r="2118" spans="1:28" ht="15" hidden="1" customHeight="1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6"/>
      <c r="M2118" s="25"/>
      <c r="N2118" s="25"/>
      <c r="O2118" s="27"/>
      <c r="P2118" s="7"/>
      <c r="Q2118" s="16">
        <f>+IF(IFERROR(VLOOKUP(Tabla3[[#This Row],[Cliente factura]],Tabla4[[NIT]:[TOTAL CREDITO]],3,FALSE),0)="",0,IFERROR(VLOOKUP(Tabla3[[#This Row],[Cliente factura]],Tabla4[[NIT]:[TOTAL CREDITO]],3,FALSE),0))</f>
        <v>0</v>
      </c>
      <c r="R2118" s="9">
        <f>+IFERROR(VLOOKUP(Tabla3[[#This Row],[Cliente factura]],Tabla4[[NIT]:[TOTAL CREDITO]],6,FALSE),0)</f>
        <v>0</v>
      </c>
      <c r="S2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8" s="10" t="e">
        <f>VLOOKUP(Tabla3[[#This Row],[Razón social cliente factura]]&amp;Tabla3[[#This Row],[Desc. ciudad]],'Estandar de Rutas'!$C$1:$E$553,2,FALSE)</f>
        <v>#N/A</v>
      </c>
      <c r="U2118" s="130">
        <f>IFERROR(VLOOKUP(Tabla3[[#This Row],[Referencia]]&amp;Tabla3[[#This Row],[Desc detalle ext 1]],Tabla1[[Referencia-Color]:[Disponibilidad]],3,FALSE),0)</f>
        <v>0</v>
      </c>
      <c r="V2118" s="13"/>
      <c r="W2118" s="17">
        <f>+Tabla3[[#This Row],[Cant. Programada]]*Tabla3[[#This Row],[Precio unit]]</f>
        <v>0</v>
      </c>
      <c r="X2118" s="8"/>
      <c r="Y2118" s="8"/>
      <c r="Z2118" s="8" t="str">
        <f>+Tabla3[[#This Row],[Referencia]]&amp;Tabla3[[#This Row],[Desc detalle ext 1]]</f>
        <v/>
      </c>
      <c r="AA2118" s="128" t="e">
        <f>+VLOOKUP(Tabla3[[#This Row],[CODIGO2]],ESTANDAR!$B$3:$C$9,2,FALSE)</f>
        <v>#N/A</v>
      </c>
      <c r="AB2118" s="128" t="str">
        <f>+MID(Tabla3[[#This Row],['# Viaje]],10,1)</f>
        <v/>
      </c>
    </row>
    <row r="2119" spans="1:28" ht="15" hidden="1" customHeight="1">
      <c r="A2119" s="25"/>
      <c r="B2119" s="26"/>
      <c r="C2119" s="25"/>
      <c r="D2119" s="25"/>
      <c r="E2119" s="25"/>
      <c r="F2119" s="25"/>
      <c r="G2119" s="25"/>
      <c r="H2119" s="25"/>
      <c r="I2119" s="25"/>
      <c r="J2119" s="25"/>
      <c r="K2119" s="25"/>
      <c r="L2119" s="26"/>
      <c r="M2119" s="25"/>
      <c r="N2119" s="25"/>
      <c r="O2119" s="27"/>
      <c r="P2119" s="7"/>
      <c r="Q2119" s="16">
        <f>+IF(IFERROR(VLOOKUP(Tabla3[[#This Row],[Cliente factura]],Tabla4[[NIT]:[TOTAL CREDITO]],3,FALSE),0)="",0,IFERROR(VLOOKUP(Tabla3[[#This Row],[Cliente factura]],Tabla4[[NIT]:[TOTAL CREDITO]],3,FALSE),0))</f>
        <v>0</v>
      </c>
      <c r="R2119" s="9">
        <f>+IFERROR(VLOOKUP(Tabla3[[#This Row],[Cliente factura]],Tabla4[[NIT]:[TOTAL CREDITO]],6,FALSE),0)</f>
        <v>0</v>
      </c>
      <c r="S2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9" s="10" t="e">
        <f>VLOOKUP(Tabla3[[#This Row],[Razón social cliente factura]]&amp;Tabla3[[#This Row],[Desc. ciudad]],'Estandar de Rutas'!$C$1:$E$553,2,FALSE)</f>
        <v>#N/A</v>
      </c>
      <c r="U2119" s="130">
        <f>IFERROR(VLOOKUP(Tabla3[[#This Row],[Referencia]]&amp;Tabla3[[#This Row],[Desc detalle ext 1]],Tabla1[[Referencia-Color]:[Disponibilidad]],3,FALSE),0)</f>
        <v>0</v>
      </c>
      <c r="V2119" s="13"/>
      <c r="W2119" s="17">
        <f>+Tabla3[[#This Row],[Cant. Programada]]*Tabla3[[#This Row],[Precio unit]]</f>
        <v>0</v>
      </c>
      <c r="X2119" s="8"/>
      <c r="Y2119" s="8"/>
      <c r="Z2119" s="8" t="str">
        <f>+Tabla3[[#This Row],[Referencia]]&amp;Tabla3[[#This Row],[Desc detalle ext 1]]</f>
        <v/>
      </c>
      <c r="AA2119" s="128" t="e">
        <f>+VLOOKUP(Tabla3[[#This Row],[CODIGO2]],ESTANDAR!$B$3:$C$9,2,FALSE)</f>
        <v>#N/A</v>
      </c>
      <c r="AB2119" s="128" t="str">
        <f>+MID(Tabla3[[#This Row],['# Viaje]],10,1)</f>
        <v/>
      </c>
    </row>
    <row r="2120" spans="1:28" ht="15" hidden="1" customHeight="1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6"/>
      <c r="M2120" s="25"/>
      <c r="N2120" s="25"/>
      <c r="O2120" s="27"/>
      <c r="P2120" s="7"/>
      <c r="Q2120" s="16">
        <f>+IF(IFERROR(VLOOKUP(Tabla3[[#This Row],[Cliente factura]],Tabla4[[NIT]:[TOTAL CREDITO]],3,FALSE),0)="",0,IFERROR(VLOOKUP(Tabla3[[#This Row],[Cliente factura]],Tabla4[[NIT]:[TOTAL CREDITO]],3,FALSE),0))</f>
        <v>0</v>
      </c>
      <c r="R2120" s="9">
        <f>+IFERROR(VLOOKUP(Tabla3[[#This Row],[Cliente factura]],Tabla4[[NIT]:[TOTAL CREDITO]],6,FALSE),0)</f>
        <v>0</v>
      </c>
      <c r="S2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0" s="10" t="e">
        <f>VLOOKUP(Tabla3[[#This Row],[Razón social cliente factura]]&amp;Tabla3[[#This Row],[Desc. ciudad]],'Estandar de Rutas'!$C$1:$E$553,2,FALSE)</f>
        <v>#N/A</v>
      </c>
      <c r="U2120" s="130">
        <f>IFERROR(VLOOKUP(Tabla3[[#This Row],[Referencia]]&amp;Tabla3[[#This Row],[Desc detalle ext 1]],Tabla1[[Referencia-Color]:[Disponibilidad]],3,FALSE),0)</f>
        <v>0</v>
      </c>
      <c r="V2120" s="13"/>
      <c r="W2120" s="17">
        <f>+Tabla3[[#This Row],[Cant. Programada]]*Tabla3[[#This Row],[Precio unit]]</f>
        <v>0</v>
      </c>
      <c r="X2120" s="8"/>
      <c r="Y2120" s="8"/>
      <c r="Z2120" s="8" t="str">
        <f>+Tabla3[[#This Row],[Referencia]]&amp;Tabla3[[#This Row],[Desc detalle ext 1]]</f>
        <v/>
      </c>
      <c r="AA2120" s="128" t="e">
        <f>+VLOOKUP(Tabla3[[#This Row],[CODIGO2]],ESTANDAR!$B$3:$C$9,2,FALSE)</f>
        <v>#N/A</v>
      </c>
      <c r="AB2120" s="128" t="str">
        <f>+MID(Tabla3[[#This Row],['# Viaje]],10,1)</f>
        <v/>
      </c>
    </row>
    <row r="2121" spans="1:28" ht="15" hidden="1" customHeight="1">
      <c r="A2121" s="25"/>
      <c r="B2121" s="26"/>
      <c r="C2121" s="25"/>
      <c r="D2121" s="25"/>
      <c r="E2121" s="25"/>
      <c r="F2121" s="25"/>
      <c r="G2121" s="25"/>
      <c r="H2121" s="25"/>
      <c r="I2121" s="25"/>
      <c r="J2121" s="25"/>
      <c r="K2121" s="25"/>
      <c r="L2121" s="26"/>
      <c r="M2121" s="25"/>
      <c r="N2121" s="25"/>
      <c r="O2121" s="27"/>
      <c r="P2121" s="7"/>
      <c r="Q2121" s="16">
        <f>+IF(IFERROR(VLOOKUP(Tabla3[[#This Row],[Cliente factura]],Tabla4[[NIT]:[TOTAL CREDITO]],3,FALSE),0)="",0,IFERROR(VLOOKUP(Tabla3[[#This Row],[Cliente factura]],Tabla4[[NIT]:[TOTAL CREDITO]],3,FALSE),0))</f>
        <v>0</v>
      </c>
      <c r="R2121" s="9">
        <f>+IFERROR(VLOOKUP(Tabla3[[#This Row],[Cliente factura]],Tabla4[[NIT]:[TOTAL CREDITO]],6,FALSE),0)</f>
        <v>0</v>
      </c>
      <c r="S2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1" s="10" t="e">
        <f>VLOOKUP(Tabla3[[#This Row],[Razón social cliente factura]]&amp;Tabla3[[#This Row],[Desc. ciudad]],'Estandar de Rutas'!$C$1:$E$553,2,FALSE)</f>
        <v>#N/A</v>
      </c>
      <c r="U2121" s="130">
        <f>IFERROR(VLOOKUP(Tabla3[[#This Row],[Referencia]]&amp;Tabla3[[#This Row],[Desc detalle ext 1]],Tabla1[[Referencia-Color]:[Disponibilidad]],3,FALSE),0)</f>
        <v>0</v>
      </c>
      <c r="V2121" s="13"/>
      <c r="W2121" s="17">
        <f>+Tabla3[[#This Row],[Cant. Programada]]*Tabla3[[#This Row],[Precio unit]]</f>
        <v>0</v>
      </c>
      <c r="X2121" s="8"/>
      <c r="Y2121" s="8"/>
      <c r="Z2121" s="8" t="str">
        <f>+Tabla3[[#This Row],[Referencia]]&amp;Tabla3[[#This Row],[Desc detalle ext 1]]</f>
        <v/>
      </c>
      <c r="AA2121" s="128" t="e">
        <f>+VLOOKUP(Tabla3[[#This Row],[CODIGO2]],ESTANDAR!$B$3:$C$9,2,FALSE)</f>
        <v>#N/A</v>
      </c>
      <c r="AB2121" s="128" t="str">
        <f>+MID(Tabla3[[#This Row],['# Viaje]],10,1)</f>
        <v/>
      </c>
    </row>
    <row r="2122" spans="1:28" ht="15" hidden="1" customHeight="1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6"/>
      <c r="M2122" s="25"/>
      <c r="N2122" s="25"/>
      <c r="O2122" s="27"/>
      <c r="P2122" s="7"/>
      <c r="Q2122" s="16">
        <f>+IF(IFERROR(VLOOKUP(Tabla3[[#This Row],[Cliente factura]],Tabla4[[NIT]:[TOTAL CREDITO]],3,FALSE),0)="",0,IFERROR(VLOOKUP(Tabla3[[#This Row],[Cliente factura]],Tabla4[[NIT]:[TOTAL CREDITO]],3,FALSE),0))</f>
        <v>0</v>
      </c>
      <c r="R2122" s="9">
        <f>+IFERROR(VLOOKUP(Tabla3[[#This Row],[Cliente factura]],Tabla4[[NIT]:[TOTAL CREDITO]],6,FALSE),0)</f>
        <v>0</v>
      </c>
      <c r="S2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2" s="10" t="e">
        <f>VLOOKUP(Tabla3[[#This Row],[Razón social cliente factura]]&amp;Tabla3[[#This Row],[Desc. ciudad]],'Estandar de Rutas'!$C$1:$E$553,2,FALSE)</f>
        <v>#N/A</v>
      </c>
      <c r="U2122" s="130">
        <f>IFERROR(VLOOKUP(Tabla3[[#This Row],[Referencia]]&amp;Tabla3[[#This Row],[Desc detalle ext 1]],Tabla1[[Referencia-Color]:[Disponibilidad]],3,FALSE),0)</f>
        <v>0</v>
      </c>
      <c r="V2122" s="13"/>
      <c r="W2122" s="17">
        <f>+Tabla3[[#This Row],[Cant. Programada]]*Tabla3[[#This Row],[Precio unit]]</f>
        <v>0</v>
      </c>
      <c r="X2122" s="8"/>
      <c r="Y2122" s="8"/>
      <c r="Z2122" s="8" t="str">
        <f>+Tabla3[[#This Row],[Referencia]]&amp;Tabla3[[#This Row],[Desc detalle ext 1]]</f>
        <v/>
      </c>
      <c r="AA2122" s="128" t="e">
        <f>+VLOOKUP(Tabla3[[#This Row],[CODIGO2]],ESTANDAR!$B$3:$C$9,2,FALSE)</f>
        <v>#N/A</v>
      </c>
      <c r="AB2122" s="128" t="str">
        <f>+MID(Tabla3[[#This Row],['# Viaje]],10,1)</f>
        <v/>
      </c>
    </row>
    <row r="2123" spans="1:28" ht="15" hidden="1" customHeight="1">
      <c r="A2123" s="25"/>
      <c r="B2123" s="26"/>
      <c r="C2123" s="25"/>
      <c r="D2123" s="25"/>
      <c r="E2123" s="25"/>
      <c r="F2123" s="25"/>
      <c r="G2123" s="25"/>
      <c r="H2123" s="25"/>
      <c r="I2123" s="25"/>
      <c r="J2123" s="25"/>
      <c r="K2123" s="25"/>
      <c r="L2123" s="26"/>
      <c r="M2123" s="25"/>
      <c r="N2123" s="25"/>
      <c r="O2123" s="27"/>
      <c r="P2123" s="7"/>
      <c r="Q2123" s="16">
        <f>+IF(IFERROR(VLOOKUP(Tabla3[[#This Row],[Cliente factura]],Tabla4[[NIT]:[TOTAL CREDITO]],3,FALSE),0)="",0,IFERROR(VLOOKUP(Tabla3[[#This Row],[Cliente factura]],Tabla4[[NIT]:[TOTAL CREDITO]],3,FALSE),0))</f>
        <v>0</v>
      </c>
      <c r="R2123" s="9">
        <f>+IFERROR(VLOOKUP(Tabla3[[#This Row],[Cliente factura]],Tabla4[[NIT]:[TOTAL CREDITO]],6,FALSE),0)</f>
        <v>0</v>
      </c>
      <c r="S2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3" s="10" t="e">
        <f>VLOOKUP(Tabla3[[#This Row],[Razón social cliente factura]]&amp;Tabla3[[#This Row],[Desc. ciudad]],'Estandar de Rutas'!$C$1:$E$553,2,FALSE)</f>
        <v>#N/A</v>
      </c>
      <c r="U2123" s="130">
        <f>IFERROR(VLOOKUP(Tabla3[[#This Row],[Referencia]]&amp;Tabla3[[#This Row],[Desc detalle ext 1]],Tabla1[[Referencia-Color]:[Disponibilidad]],3,FALSE),0)</f>
        <v>0</v>
      </c>
      <c r="V2123" s="13"/>
      <c r="W2123" s="24">
        <f>+Tabla3[[#This Row],[Cant. Programada]]*Tabla3[[#This Row],[Precio unit]]</f>
        <v>0</v>
      </c>
      <c r="X2123" s="8"/>
      <c r="Y2123" s="8"/>
      <c r="Z2123" s="8" t="str">
        <f>+Tabla3[[#This Row],[Referencia]]&amp;Tabla3[[#This Row],[Desc detalle ext 1]]</f>
        <v/>
      </c>
      <c r="AA2123" s="128" t="e">
        <f>+VLOOKUP(Tabla3[[#This Row],[CODIGO2]],ESTANDAR!$B$3:$C$9,2,FALSE)</f>
        <v>#N/A</v>
      </c>
      <c r="AB2123" s="128" t="str">
        <f>+MID(Tabla3[[#This Row],['# Viaje]],10,1)</f>
        <v/>
      </c>
    </row>
    <row r="2124" spans="1:28" ht="15" hidden="1" customHeight="1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6"/>
      <c r="M2124" s="25"/>
      <c r="N2124" s="25"/>
      <c r="O2124" s="27"/>
      <c r="P2124" s="7"/>
      <c r="Q2124" s="16">
        <f>+IF(IFERROR(VLOOKUP(Tabla3[[#This Row],[Cliente factura]],Tabla4[[NIT]:[TOTAL CREDITO]],3,FALSE),0)="",0,IFERROR(VLOOKUP(Tabla3[[#This Row],[Cliente factura]],Tabla4[[NIT]:[TOTAL CREDITO]],3,FALSE),0))</f>
        <v>0</v>
      </c>
      <c r="R2124" s="9">
        <f>+IFERROR(VLOOKUP(Tabla3[[#This Row],[Cliente factura]],Tabla4[[NIT]:[TOTAL CREDITO]],6,FALSE),0)</f>
        <v>0</v>
      </c>
      <c r="S2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4" s="10" t="e">
        <f>VLOOKUP(Tabla3[[#This Row],[Razón social cliente factura]]&amp;Tabla3[[#This Row],[Desc. ciudad]],'Estandar de Rutas'!$C$1:$E$553,2,FALSE)</f>
        <v>#N/A</v>
      </c>
      <c r="U2124" s="130">
        <f>IFERROR(VLOOKUP(Tabla3[[#This Row],[Referencia]]&amp;Tabla3[[#This Row],[Desc detalle ext 1]],Tabla1[[Referencia-Color]:[Disponibilidad]],3,FALSE),0)</f>
        <v>0</v>
      </c>
      <c r="V2124" s="13"/>
      <c r="W2124" s="24">
        <f>+Tabla3[[#This Row],[Cant. Programada]]*Tabla3[[#This Row],[Precio unit]]</f>
        <v>0</v>
      </c>
      <c r="X2124" s="8"/>
      <c r="Y2124" s="8"/>
      <c r="Z2124" s="8" t="str">
        <f>+Tabla3[[#This Row],[Referencia]]&amp;Tabla3[[#This Row],[Desc detalle ext 1]]</f>
        <v/>
      </c>
      <c r="AA2124" s="128" t="e">
        <f>+VLOOKUP(Tabla3[[#This Row],[CODIGO2]],ESTANDAR!$B$3:$C$9,2,FALSE)</f>
        <v>#N/A</v>
      </c>
      <c r="AB2124" s="128" t="str">
        <f>+MID(Tabla3[[#This Row],['# Viaje]],10,1)</f>
        <v/>
      </c>
    </row>
    <row r="2125" spans="1:28" ht="15" hidden="1" customHeight="1">
      <c r="A2125" s="25"/>
      <c r="B2125" s="26"/>
      <c r="C2125" s="25"/>
      <c r="D2125" s="25"/>
      <c r="E2125" s="25"/>
      <c r="F2125" s="25"/>
      <c r="G2125" s="25"/>
      <c r="H2125" s="25"/>
      <c r="I2125" s="25"/>
      <c r="J2125" s="25"/>
      <c r="K2125" s="25"/>
      <c r="L2125" s="26"/>
      <c r="M2125" s="25"/>
      <c r="N2125" s="25"/>
      <c r="O2125" s="27"/>
      <c r="P2125" s="7"/>
      <c r="Q2125" s="16">
        <f>+IF(IFERROR(VLOOKUP(Tabla3[[#This Row],[Cliente factura]],Tabla4[[NIT]:[TOTAL CREDITO]],3,FALSE),0)="",0,IFERROR(VLOOKUP(Tabla3[[#This Row],[Cliente factura]],Tabla4[[NIT]:[TOTAL CREDITO]],3,FALSE),0))</f>
        <v>0</v>
      </c>
      <c r="R2125" s="9">
        <f>+IFERROR(VLOOKUP(Tabla3[[#This Row],[Cliente factura]],Tabla4[[NIT]:[TOTAL CREDITO]],6,FALSE),0)</f>
        <v>0</v>
      </c>
      <c r="S2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5" s="10" t="e">
        <f>VLOOKUP(Tabla3[[#This Row],[Razón social cliente factura]]&amp;Tabla3[[#This Row],[Desc. ciudad]],'Estandar de Rutas'!$C$1:$E$553,2,FALSE)</f>
        <v>#N/A</v>
      </c>
      <c r="U2125" s="130">
        <f>IFERROR(VLOOKUP(Tabla3[[#This Row],[Referencia]]&amp;Tabla3[[#This Row],[Desc detalle ext 1]],Tabla1[[Referencia-Color]:[Disponibilidad]],3,FALSE),0)</f>
        <v>0</v>
      </c>
      <c r="V2125" s="13"/>
      <c r="W2125" s="24">
        <f>+Tabla3[[#This Row],[Cant. Programada]]*Tabla3[[#This Row],[Precio unit]]</f>
        <v>0</v>
      </c>
      <c r="X2125" s="8"/>
      <c r="Y2125" s="8"/>
      <c r="Z2125" s="8" t="str">
        <f>+Tabla3[[#This Row],[Referencia]]&amp;Tabla3[[#This Row],[Desc detalle ext 1]]</f>
        <v/>
      </c>
      <c r="AA2125" s="128" t="e">
        <f>+VLOOKUP(Tabla3[[#This Row],[CODIGO2]],ESTANDAR!$B$3:$C$9,2,FALSE)</f>
        <v>#N/A</v>
      </c>
      <c r="AB2125" s="128" t="str">
        <f>+MID(Tabla3[[#This Row],['# Viaje]],10,1)</f>
        <v/>
      </c>
    </row>
    <row r="2126" spans="1:28" ht="15" hidden="1" customHeight="1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6"/>
      <c r="M2126" s="25"/>
      <c r="N2126" s="25"/>
      <c r="O2126" s="27"/>
      <c r="P2126" s="7"/>
      <c r="Q2126" s="16">
        <f>+IF(IFERROR(VLOOKUP(Tabla3[[#This Row],[Cliente factura]],Tabla4[[NIT]:[TOTAL CREDITO]],3,FALSE),0)="",0,IFERROR(VLOOKUP(Tabla3[[#This Row],[Cliente factura]],Tabla4[[NIT]:[TOTAL CREDITO]],3,FALSE),0))</f>
        <v>0</v>
      </c>
      <c r="R2126" s="9">
        <f>+IFERROR(VLOOKUP(Tabla3[[#This Row],[Cliente factura]],Tabla4[[NIT]:[TOTAL CREDITO]],6,FALSE),0)</f>
        <v>0</v>
      </c>
      <c r="S2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6" s="10" t="e">
        <f>VLOOKUP(Tabla3[[#This Row],[Razón social cliente factura]]&amp;Tabla3[[#This Row],[Desc. ciudad]],'Estandar de Rutas'!$C$1:$E$553,2,FALSE)</f>
        <v>#N/A</v>
      </c>
      <c r="U2126" s="130">
        <f>IFERROR(VLOOKUP(Tabla3[[#This Row],[Referencia]]&amp;Tabla3[[#This Row],[Desc detalle ext 1]],Tabla1[[Referencia-Color]:[Disponibilidad]],3,FALSE),0)</f>
        <v>0</v>
      </c>
      <c r="V2126" s="13"/>
      <c r="W2126" s="24">
        <f>+Tabla3[[#This Row],[Cant. Programada]]*Tabla3[[#This Row],[Precio unit]]</f>
        <v>0</v>
      </c>
      <c r="X2126" s="8"/>
      <c r="Y2126" s="8"/>
      <c r="Z2126" s="8" t="str">
        <f>+Tabla3[[#This Row],[Referencia]]&amp;Tabla3[[#This Row],[Desc detalle ext 1]]</f>
        <v/>
      </c>
      <c r="AA2126" s="128" t="e">
        <f>+VLOOKUP(Tabla3[[#This Row],[CODIGO2]],ESTANDAR!$B$3:$C$9,2,FALSE)</f>
        <v>#N/A</v>
      </c>
      <c r="AB2126" s="128" t="str">
        <f>+MID(Tabla3[[#This Row],['# Viaje]],10,1)</f>
        <v/>
      </c>
    </row>
    <row r="2127" spans="1:28" ht="15" hidden="1" customHeight="1">
      <c r="A2127" s="25"/>
      <c r="B2127" s="26"/>
      <c r="C2127" s="25"/>
      <c r="D2127" s="25"/>
      <c r="E2127" s="25"/>
      <c r="F2127" s="25"/>
      <c r="G2127" s="25"/>
      <c r="H2127" s="25"/>
      <c r="I2127" s="25"/>
      <c r="J2127" s="25"/>
      <c r="K2127" s="25"/>
      <c r="L2127" s="26"/>
      <c r="M2127" s="25"/>
      <c r="N2127" s="25"/>
      <c r="O2127" s="27"/>
      <c r="P2127" s="7"/>
      <c r="Q2127" s="16">
        <f>+IF(IFERROR(VLOOKUP(Tabla3[[#This Row],[Cliente factura]],Tabla4[[NIT]:[TOTAL CREDITO]],3,FALSE),0)="",0,IFERROR(VLOOKUP(Tabla3[[#This Row],[Cliente factura]],Tabla4[[NIT]:[TOTAL CREDITO]],3,FALSE),0))</f>
        <v>0</v>
      </c>
      <c r="R2127" s="9">
        <f>+IFERROR(VLOOKUP(Tabla3[[#This Row],[Cliente factura]],Tabla4[[NIT]:[TOTAL CREDITO]],6,FALSE),0)</f>
        <v>0</v>
      </c>
      <c r="S2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7" s="10" t="e">
        <f>VLOOKUP(Tabla3[[#This Row],[Razón social cliente factura]]&amp;Tabla3[[#This Row],[Desc. ciudad]],'Estandar de Rutas'!$C$1:$E$553,2,FALSE)</f>
        <v>#N/A</v>
      </c>
      <c r="U2127" s="130">
        <f>IFERROR(VLOOKUP(Tabla3[[#This Row],[Referencia]]&amp;Tabla3[[#This Row],[Desc detalle ext 1]],Tabla1[[Referencia-Color]:[Disponibilidad]],3,FALSE),0)</f>
        <v>0</v>
      </c>
      <c r="V2127" s="13"/>
      <c r="W2127" s="24">
        <f>+Tabla3[[#This Row],[Cant. Programada]]*Tabla3[[#This Row],[Precio unit]]</f>
        <v>0</v>
      </c>
      <c r="X2127" s="8"/>
      <c r="Y2127" s="8"/>
      <c r="Z2127" s="8" t="str">
        <f>+Tabla3[[#This Row],[Referencia]]&amp;Tabla3[[#This Row],[Desc detalle ext 1]]</f>
        <v/>
      </c>
      <c r="AA2127" s="128" t="e">
        <f>+VLOOKUP(Tabla3[[#This Row],[CODIGO2]],ESTANDAR!$B$3:$C$9,2,FALSE)</f>
        <v>#N/A</v>
      </c>
      <c r="AB2127" s="128" t="str">
        <f>+MID(Tabla3[[#This Row],['# Viaje]],10,1)</f>
        <v/>
      </c>
    </row>
    <row r="2128" spans="1:28" ht="15" hidden="1" customHeight="1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6"/>
      <c r="M2128" s="25"/>
      <c r="N2128" s="25"/>
      <c r="O2128" s="27"/>
      <c r="P2128" s="7"/>
      <c r="Q2128" s="16">
        <f>+IF(IFERROR(VLOOKUP(Tabla3[[#This Row],[Cliente factura]],Tabla4[[NIT]:[TOTAL CREDITO]],3,FALSE),0)="",0,IFERROR(VLOOKUP(Tabla3[[#This Row],[Cliente factura]],Tabla4[[NIT]:[TOTAL CREDITO]],3,FALSE),0))</f>
        <v>0</v>
      </c>
      <c r="R2128" s="9">
        <f>+IFERROR(VLOOKUP(Tabla3[[#This Row],[Cliente factura]],Tabla4[[NIT]:[TOTAL CREDITO]],6,FALSE),0)</f>
        <v>0</v>
      </c>
      <c r="S2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8" s="10" t="e">
        <f>VLOOKUP(Tabla3[[#This Row],[Razón social cliente factura]]&amp;Tabla3[[#This Row],[Desc. ciudad]],'Estandar de Rutas'!$C$1:$E$553,2,FALSE)</f>
        <v>#N/A</v>
      </c>
      <c r="U2128" s="130">
        <f>IFERROR(VLOOKUP(Tabla3[[#This Row],[Referencia]]&amp;Tabla3[[#This Row],[Desc detalle ext 1]],Tabla1[[Referencia-Color]:[Disponibilidad]],3,FALSE),0)</f>
        <v>0</v>
      </c>
      <c r="V2128" s="13"/>
      <c r="W2128" s="24">
        <f>+Tabla3[[#This Row],[Cant. Programada]]*Tabla3[[#This Row],[Precio unit]]</f>
        <v>0</v>
      </c>
      <c r="X2128" s="8"/>
      <c r="Y2128" s="8"/>
      <c r="Z2128" s="8" t="str">
        <f>+Tabla3[[#This Row],[Referencia]]&amp;Tabla3[[#This Row],[Desc detalle ext 1]]</f>
        <v/>
      </c>
      <c r="AA2128" s="128" t="e">
        <f>+VLOOKUP(Tabla3[[#This Row],[CODIGO2]],ESTANDAR!$B$3:$C$9,2,FALSE)</f>
        <v>#N/A</v>
      </c>
      <c r="AB2128" s="128" t="str">
        <f>+MID(Tabla3[[#This Row],['# Viaje]],10,1)</f>
        <v/>
      </c>
    </row>
    <row r="2129" spans="1:28" ht="15" hidden="1" customHeight="1">
      <c r="A2129" s="25"/>
      <c r="B2129" s="26"/>
      <c r="C2129" s="25"/>
      <c r="D2129" s="25"/>
      <c r="E2129" s="25"/>
      <c r="F2129" s="25"/>
      <c r="G2129" s="25"/>
      <c r="H2129" s="25"/>
      <c r="I2129" s="25"/>
      <c r="J2129" s="25"/>
      <c r="K2129" s="25"/>
      <c r="L2129" s="26"/>
      <c r="M2129" s="25"/>
      <c r="N2129" s="25"/>
      <c r="O2129" s="27"/>
      <c r="P2129" s="7"/>
      <c r="Q2129" s="16">
        <f>+IF(IFERROR(VLOOKUP(Tabla3[[#This Row],[Cliente factura]],Tabla4[[NIT]:[TOTAL CREDITO]],3,FALSE),0)="",0,IFERROR(VLOOKUP(Tabla3[[#This Row],[Cliente factura]],Tabla4[[NIT]:[TOTAL CREDITO]],3,FALSE),0))</f>
        <v>0</v>
      </c>
      <c r="R2129" s="9">
        <f>+IFERROR(VLOOKUP(Tabla3[[#This Row],[Cliente factura]],Tabla4[[NIT]:[TOTAL CREDITO]],6,FALSE),0)</f>
        <v>0</v>
      </c>
      <c r="S2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9" s="10" t="e">
        <f>VLOOKUP(Tabla3[[#This Row],[Razón social cliente factura]]&amp;Tabla3[[#This Row],[Desc. ciudad]],'Estandar de Rutas'!$C$1:$E$553,2,FALSE)</f>
        <v>#N/A</v>
      </c>
      <c r="U2129" s="130">
        <f>IFERROR(VLOOKUP(Tabla3[[#This Row],[Referencia]]&amp;Tabla3[[#This Row],[Desc detalle ext 1]],Tabla1[[Referencia-Color]:[Disponibilidad]],3,FALSE),0)</f>
        <v>0</v>
      </c>
      <c r="V2129" s="13"/>
      <c r="W2129" s="24">
        <f>+Tabla3[[#This Row],[Cant. Programada]]*Tabla3[[#This Row],[Precio unit]]</f>
        <v>0</v>
      </c>
      <c r="X2129" s="8"/>
      <c r="Y2129" s="8"/>
      <c r="Z2129" s="8" t="str">
        <f>+Tabla3[[#This Row],[Referencia]]&amp;Tabla3[[#This Row],[Desc detalle ext 1]]</f>
        <v/>
      </c>
      <c r="AA2129" s="128" t="e">
        <f>+VLOOKUP(Tabla3[[#This Row],[CODIGO2]],ESTANDAR!$B$3:$C$9,2,FALSE)</f>
        <v>#N/A</v>
      </c>
      <c r="AB2129" s="128" t="str">
        <f>+MID(Tabla3[[#This Row],['# Viaje]],10,1)</f>
        <v/>
      </c>
    </row>
    <row r="2130" spans="1:28" ht="15" hidden="1" customHeight="1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6"/>
      <c r="M2130" s="25"/>
      <c r="N2130" s="25"/>
      <c r="O2130" s="27"/>
      <c r="P2130" s="7"/>
      <c r="Q2130" s="16">
        <f>+IF(IFERROR(VLOOKUP(Tabla3[[#This Row],[Cliente factura]],Tabla4[[NIT]:[TOTAL CREDITO]],3,FALSE),0)="",0,IFERROR(VLOOKUP(Tabla3[[#This Row],[Cliente factura]],Tabla4[[NIT]:[TOTAL CREDITO]],3,FALSE),0))</f>
        <v>0</v>
      </c>
      <c r="R2130" s="9">
        <f>+IFERROR(VLOOKUP(Tabla3[[#This Row],[Cliente factura]],Tabla4[[NIT]:[TOTAL CREDITO]],6,FALSE),0)</f>
        <v>0</v>
      </c>
      <c r="S2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0" s="10" t="e">
        <f>VLOOKUP(Tabla3[[#This Row],[Razón social cliente factura]]&amp;Tabla3[[#This Row],[Desc. ciudad]],'Estandar de Rutas'!$C$1:$E$553,2,FALSE)</f>
        <v>#N/A</v>
      </c>
      <c r="U2130" s="130">
        <f>IFERROR(VLOOKUP(Tabla3[[#This Row],[Referencia]]&amp;Tabla3[[#This Row],[Desc detalle ext 1]],Tabla1[[Referencia-Color]:[Disponibilidad]],3,FALSE),0)</f>
        <v>0</v>
      </c>
      <c r="V2130" s="13"/>
      <c r="W2130" s="24">
        <f>+Tabla3[[#This Row],[Cant. Programada]]*Tabla3[[#This Row],[Precio unit]]</f>
        <v>0</v>
      </c>
      <c r="X2130" s="8"/>
      <c r="Y2130" s="8"/>
      <c r="Z2130" s="8" t="str">
        <f>+Tabla3[[#This Row],[Referencia]]&amp;Tabla3[[#This Row],[Desc detalle ext 1]]</f>
        <v/>
      </c>
      <c r="AA2130" s="128" t="e">
        <f>+VLOOKUP(Tabla3[[#This Row],[CODIGO2]],ESTANDAR!$B$3:$C$9,2,FALSE)</f>
        <v>#N/A</v>
      </c>
      <c r="AB2130" s="128" t="str">
        <f>+MID(Tabla3[[#This Row],['# Viaje]],10,1)</f>
        <v/>
      </c>
    </row>
    <row r="2131" spans="1:28" ht="15" hidden="1" customHeight="1">
      <c r="A2131" s="25"/>
      <c r="B2131" s="26"/>
      <c r="C2131" s="25"/>
      <c r="D2131" s="25"/>
      <c r="E2131" s="25"/>
      <c r="F2131" s="25"/>
      <c r="G2131" s="25"/>
      <c r="H2131" s="25"/>
      <c r="I2131" s="25"/>
      <c r="J2131" s="25"/>
      <c r="K2131" s="25"/>
      <c r="L2131" s="26"/>
      <c r="M2131" s="25"/>
      <c r="N2131" s="25"/>
      <c r="O2131" s="27"/>
      <c r="P2131" s="7"/>
      <c r="Q2131" s="16">
        <f>+IF(IFERROR(VLOOKUP(Tabla3[[#This Row],[Cliente factura]],Tabla4[[NIT]:[TOTAL CREDITO]],3,FALSE),0)="",0,IFERROR(VLOOKUP(Tabla3[[#This Row],[Cliente factura]],Tabla4[[NIT]:[TOTAL CREDITO]],3,FALSE),0))</f>
        <v>0</v>
      </c>
      <c r="R2131" s="9">
        <f>+IFERROR(VLOOKUP(Tabla3[[#This Row],[Cliente factura]],Tabla4[[NIT]:[TOTAL CREDITO]],6,FALSE),0)</f>
        <v>0</v>
      </c>
      <c r="S2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1" s="10" t="e">
        <f>VLOOKUP(Tabla3[[#This Row],[Razón social cliente factura]]&amp;Tabla3[[#This Row],[Desc. ciudad]],'Estandar de Rutas'!$C$1:$E$553,2,FALSE)</f>
        <v>#N/A</v>
      </c>
      <c r="U2131" s="130">
        <f>IFERROR(VLOOKUP(Tabla3[[#This Row],[Referencia]]&amp;Tabla3[[#This Row],[Desc detalle ext 1]],Tabla1[[Referencia-Color]:[Disponibilidad]],3,FALSE),0)</f>
        <v>0</v>
      </c>
      <c r="V2131" s="13"/>
      <c r="W2131" s="24">
        <f>+Tabla3[[#This Row],[Cant. Programada]]*Tabla3[[#This Row],[Precio unit]]</f>
        <v>0</v>
      </c>
      <c r="X2131" s="8"/>
      <c r="Y2131" s="8"/>
      <c r="Z2131" s="8" t="str">
        <f>+Tabla3[[#This Row],[Referencia]]&amp;Tabla3[[#This Row],[Desc detalle ext 1]]</f>
        <v/>
      </c>
      <c r="AA2131" s="128" t="e">
        <f>+VLOOKUP(Tabla3[[#This Row],[CODIGO2]],ESTANDAR!$B$3:$C$9,2,FALSE)</f>
        <v>#N/A</v>
      </c>
      <c r="AB2131" s="128" t="str">
        <f>+MID(Tabla3[[#This Row],['# Viaje]],10,1)</f>
        <v/>
      </c>
    </row>
    <row r="2132" spans="1:28" ht="15" hidden="1" customHeight="1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6"/>
      <c r="M2132" s="25"/>
      <c r="N2132" s="25"/>
      <c r="O2132" s="27"/>
      <c r="P2132" s="7"/>
      <c r="Q2132" s="16">
        <f>+IF(IFERROR(VLOOKUP(Tabla3[[#This Row],[Cliente factura]],Tabla4[[NIT]:[TOTAL CREDITO]],3,FALSE),0)="",0,IFERROR(VLOOKUP(Tabla3[[#This Row],[Cliente factura]],Tabla4[[NIT]:[TOTAL CREDITO]],3,FALSE),0))</f>
        <v>0</v>
      </c>
      <c r="R2132" s="9">
        <f>+IFERROR(VLOOKUP(Tabla3[[#This Row],[Cliente factura]],Tabla4[[NIT]:[TOTAL CREDITO]],6,FALSE),0)</f>
        <v>0</v>
      </c>
      <c r="S2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2" s="10" t="e">
        <f>VLOOKUP(Tabla3[[#This Row],[Razón social cliente factura]]&amp;Tabla3[[#This Row],[Desc. ciudad]],'Estandar de Rutas'!$C$1:$E$553,2,FALSE)</f>
        <v>#N/A</v>
      </c>
      <c r="U2132" s="130">
        <f>IFERROR(VLOOKUP(Tabla3[[#This Row],[Referencia]]&amp;Tabla3[[#This Row],[Desc detalle ext 1]],Tabla1[[Referencia-Color]:[Disponibilidad]],3,FALSE),0)</f>
        <v>0</v>
      </c>
      <c r="V2132" s="13"/>
      <c r="W2132" s="24">
        <f>+Tabla3[[#This Row],[Cant. Programada]]*Tabla3[[#This Row],[Precio unit]]</f>
        <v>0</v>
      </c>
      <c r="X2132" s="8"/>
      <c r="Y2132" s="8"/>
      <c r="Z2132" s="8" t="str">
        <f>+Tabla3[[#This Row],[Referencia]]&amp;Tabla3[[#This Row],[Desc detalle ext 1]]</f>
        <v/>
      </c>
      <c r="AA2132" s="128" t="e">
        <f>+VLOOKUP(Tabla3[[#This Row],[CODIGO2]],ESTANDAR!$B$3:$C$9,2,FALSE)</f>
        <v>#N/A</v>
      </c>
      <c r="AB2132" s="128" t="str">
        <f>+MID(Tabla3[[#This Row],['# Viaje]],10,1)</f>
        <v/>
      </c>
    </row>
    <row r="2133" spans="1:28" ht="15" hidden="1" customHeight="1">
      <c r="A2133" s="25"/>
      <c r="B2133" s="26"/>
      <c r="C2133" s="25"/>
      <c r="D2133" s="25"/>
      <c r="E2133" s="25"/>
      <c r="F2133" s="25"/>
      <c r="G2133" s="25"/>
      <c r="H2133" s="25"/>
      <c r="I2133" s="25"/>
      <c r="J2133" s="25"/>
      <c r="K2133" s="25"/>
      <c r="L2133" s="26"/>
      <c r="M2133" s="25"/>
      <c r="N2133" s="25"/>
      <c r="O2133" s="27"/>
      <c r="P2133" s="7"/>
      <c r="Q2133" s="16">
        <f>+IF(IFERROR(VLOOKUP(Tabla3[[#This Row],[Cliente factura]],Tabla4[[NIT]:[TOTAL CREDITO]],3,FALSE),0)="",0,IFERROR(VLOOKUP(Tabla3[[#This Row],[Cliente factura]],Tabla4[[NIT]:[TOTAL CREDITO]],3,FALSE),0))</f>
        <v>0</v>
      </c>
      <c r="R2133" s="9">
        <f>+IFERROR(VLOOKUP(Tabla3[[#This Row],[Cliente factura]],Tabla4[[NIT]:[TOTAL CREDITO]],6,FALSE),0)</f>
        <v>0</v>
      </c>
      <c r="S2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3" s="10" t="e">
        <f>VLOOKUP(Tabla3[[#This Row],[Razón social cliente factura]]&amp;Tabla3[[#This Row],[Desc. ciudad]],'Estandar de Rutas'!$C$1:$E$553,2,FALSE)</f>
        <v>#N/A</v>
      </c>
      <c r="U2133" s="130">
        <f>IFERROR(VLOOKUP(Tabla3[[#This Row],[Referencia]]&amp;Tabla3[[#This Row],[Desc detalle ext 1]],Tabla1[[Referencia-Color]:[Disponibilidad]],3,FALSE),0)</f>
        <v>0</v>
      </c>
      <c r="V2133" s="13"/>
      <c r="W2133" s="24">
        <f>+Tabla3[[#This Row],[Cant. Programada]]*Tabla3[[#This Row],[Precio unit]]</f>
        <v>0</v>
      </c>
      <c r="X2133" s="8"/>
      <c r="Y2133" s="8"/>
      <c r="Z2133" s="8" t="str">
        <f>+Tabla3[[#This Row],[Referencia]]&amp;Tabla3[[#This Row],[Desc detalle ext 1]]</f>
        <v/>
      </c>
      <c r="AA2133" s="128" t="e">
        <f>+VLOOKUP(Tabla3[[#This Row],[CODIGO2]],ESTANDAR!$B$3:$C$9,2,FALSE)</f>
        <v>#N/A</v>
      </c>
      <c r="AB2133" s="128" t="str">
        <f>+MID(Tabla3[[#This Row],['# Viaje]],10,1)</f>
        <v/>
      </c>
    </row>
    <row r="2134" spans="1:28" ht="15" hidden="1" customHeight="1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6"/>
      <c r="M2134" s="25"/>
      <c r="N2134" s="25"/>
      <c r="O2134" s="27"/>
      <c r="P2134" s="7"/>
      <c r="Q2134" s="16">
        <f>+IF(IFERROR(VLOOKUP(Tabla3[[#This Row],[Cliente factura]],Tabla4[[NIT]:[TOTAL CREDITO]],3,FALSE),0)="",0,IFERROR(VLOOKUP(Tabla3[[#This Row],[Cliente factura]],Tabla4[[NIT]:[TOTAL CREDITO]],3,FALSE),0))</f>
        <v>0</v>
      </c>
      <c r="R2134" s="9">
        <f>+IFERROR(VLOOKUP(Tabla3[[#This Row],[Cliente factura]],Tabla4[[NIT]:[TOTAL CREDITO]],6,FALSE),0)</f>
        <v>0</v>
      </c>
      <c r="S2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4" s="10" t="e">
        <f>VLOOKUP(Tabla3[[#This Row],[Razón social cliente factura]]&amp;Tabla3[[#This Row],[Desc. ciudad]],'Estandar de Rutas'!$C$1:$E$553,2,FALSE)</f>
        <v>#N/A</v>
      </c>
      <c r="U2134" s="130">
        <f>IFERROR(VLOOKUP(Tabla3[[#This Row],[Referencia]]&amp;Tabla3[[#This Row],[Desc detalle ext 1]],Tabla1[[Referencia-Color]:[Disponibilidad]],3,FALSE),0)</f>
        <v>0</v>
      </c>
      <c r="V2134" s="13"/>
      <c r="W2134" s="24">
        <f>+Tabla3[[#This Row],[Cant. Programada]]*Tabla3[[#This Row],[Precio unit]]</f>
        <v>0</v>
      </c>
      <c r="X2134" s="8"/>
      <c r="Y2134" s="8"/>
      <c r="Z2134" s="8" t="str">
        <f>+Tabla3[[#This Row],[Referencia]]&amp;Tabla3[[#This Row],[Desc detalle ext 1]]</f>
        <v/>
      </c>
      <c r="AA2134" s="128" t="e">
        <f>+VLOOKUP(Tabla3[[#This Row],[CODIGO2]],ESTANDAR!$B$3:$C$9,2,FALSE)</f>
        <v>#N/A</v>
      </c>
      <c r="AB2134" s="128" t="str">
        <f>+MID(Tabla3[[#This Row],['# Viaje]],10,1)</f>
        <v/>
      </c>
    </row>
    <row r="2135" spans="1:28" ht="15" hidden="1" customHeight="1">
      <c r="A2135" s="25"/>
      <c r="B2135" s="26"/>
      <c r="C2135" s="25"/>
      <c r="D2135" s="25"/>
      <c r="E2135" s="25"/>
      <c r="F2135" s="25"/>
      <c r="G2135" s="25"/>
      <c r="H2135" s="25"/>
      <c r="I2135" s="25"/>
      <c r="J2135" s="25"/>
      <c r="K2135" s="25"/>
      <c r="L2135" s="26"/>
      <c r="M2135" s="25"/>
      <c r="N2135" s="25"/>
      <c r="O2135" s="27"/>
      <c r="P2135" s="7"/>
      <c r="Q2135" s="16">
        <f>+IF(IFERROR(VLOOKUP(Tabla3[[#This Row],[Cliente factura]],Tabla4[[NIT]:[TOTAL CREDITO]],3,FALSE),0)="",0,IFERROR(VLOOKUP(Tabla3[[#This Row],[Cliente factura]],Tabla4[[NIT]:[TOTAL CREDITO]],3,FALSE),0))</f>
        <v>0</v>
      </c>
      <c r="R2135" s="9">
        <f>+IFERROR(VLOOKUP(Tabla3[[#This Row],[Cliente factura]],Tabla4[[NIT]:[TOTAL CREDITO]],6,FALSE),0)</f>
        <v>0</v>
      </c>
      <c r="S2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5" s="10" t="e">
        <f>VLOOKUP(Tabla3[[#This Row],[Razón social cliente factura]]&amp;Tabla3[[#This Row],[Desc. ciudad]],'Estandar de Rutas'!$C$1:$E$553,2,FALSE)</f>
        <v>#N/A</v>
      </c>
      <c r="U2135" s="130">
        <f>IFERROR(VLOOKUP(Tabla3[[#This Row],[Referencia]]&amp;Tabla3[[#This Row],[Desc detalle ext 1]],Tabla1[[Referencia-Color]:[Disponibilidad]],3,FALSE),0)</f>
        <v>0</v>
      </c>
      <c r="V2135" s="13"/>
      <c r="W2135" s="24">
        <f>+Tabla3[[#This Row],[Cant. Programada]]*Tabla3[[#This Row],[Precio unit]]</f>
        <v>0</v>
      </c>
      <c r="X2135" s="8"/>
      <c r="Y2135" s="8"/>
      <c r="Z2135" s="8" t="str">
        <f>+Tabla3[[#This Row],[Referencia]]&amp;Tabla3[[#This Row],[Desc detalle ext 1]]</f>
        <v/>
      </c>
      <c r="AA2135" s="128" t="e">
        <f>+VLOOKUP(Tabla3[[#This Row],[CODIGO2]],ESTANDAR!$B$3:$C$9,2,FALSE)</f>
        <v>#N/A</v>
      </c>
      <c r="AB2135" s="128" t="str">
        <f>+MID(Tabla3[[#This Row],['# Viaje]],10,1)</f>
        <v/>
      </c>
    </row>
    <row r="2136" spans="1:28" ht="15" hidden="1" customHeight="1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6"/>
      <c r="M2136" s="25"/>
      <c r="N2136" s="25"/>
      <c r="O2136" s="27"/>
      <c r="P2136" s="7"/>
      <c r="Q2136" s="16">
        <f>+IF(IFERROR(VLOOKUP(Tabla3[[#This Row],[Cliente factura]],Tabla4[[NIT]:[TOTAL CREDITO]],3,FALSE),0)="",0,IFERROR(VLOOKUP(Tabla3[[#This Row],[Cliente factura]],Tabla4[[NIT]:[TOTAL CREDITO]],3,FALSE),0))</f>
        <v>0</v>
      </c>
      <c r="R2136" s="9">
        <f>+IFERROR(VLOOKUP(Tabla3[[#This Row],[Cliente factura]],Tabla4[[NIT]:[TOTAL CREDITO]],6,FALSE),0)</f>
        <v>0</v>
      </c>
      <c r="S2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6" s="10" t="e">
        <f>VLOOKUP(Tabla3[[#This Row],[Razón social cliente factura]]&amp;Tabla3[[#This Row],[Desc. ciudad]],'Estandar de Rutas'!$C$1:$E$553,2,FALSE)</f>
        <v>#N/A</v>
      </c>
      <c r="U2136" s="130">
        <f>IFERROR(VLOOKUP(Tabla3[[#This Row],[Referencia]]&amp;Tabla3[[#This Row],[Desc detalle ext 1]],Tabla1[[Referencia-Color]:[Disponibilidad]],3,FALSE),0)</f>
        <v>0</v>
      </c>
      <c r="V2136" s="13"/>
      <c r="W2136" s="24">
        <f>+Tabla3[[#This Row],[Cant. Programada]]*Tabla3[[#This Row],[Precio unit]]</f>
        <v>0</v>
      </c>
      <c r="X2136" s="8"/>
      <c r="Y2136" s="8"/>
      <c r="Z2136" s="8" t="str">
        <f>+Tabla3[[#This Row],[Referencia]]&amp;Tabla3[[#This Row],[Desc detalle ext 1]]</f>
        <v/>
      </c>
      <c r="AA2136" s="128" t="e">
        <f>+VLOOKUP(Tabla3[[#This Row],[CODIGO2]],ESTANDAR!$B$3:$C$9,2,FALSE)</f>
        <v>#N/A</v>
      </c>
      <c r="AB2136" s="128" t="str">
        <f>+MID(Tabla3[[#This Row],['# Viaje]],10,1)</f>
        <v/>
      </c>
    </row>
    <row r="2137" spans="1:28" ht="15" hidden="1" customHeight="1">
      <c r="A2137" s="25"/>
      <c r="B2137" s="26"/>
      <c r="C2137" s="25"/>
      <c r="D2137" s="25"/>
      <c r="E2137" s="25"/>
      <c r="F2137" s="25"/>
      <c r="G2137" s="25"/>
      <c r="H2137" s="25"/>
      <c r="I2137" s="25"/>
      <c r="J2137" s="25"/>
      <c r="K2137" s="25"/>
      <c r="L2137" s="26"/>
      <c r="M2137" s="25"/>
      <c r="N2137" s="25"/>
      <c r="O2137" s="27"/>
      <c r="P2137" s="7"/>
      <c r="Q2137" s="16">
        <f>+IF(IFERROR(VLOOKUP(Tabla3[[#This Row],[Cliente factura]],Tabla4[[NIT]:[TOTAL CREDITO]],3,FALSE),0)="",0,IFERROR(VLOOKUP(Tabla3[[#This Row],[Cliente factura]],Tabla4[[NIT]:[TOTAL CREDITO]],3,FALSE),0))</f>
        <v>0</v>
      </c>
      <c r="R2137" s="9">
        <f>+IFERROR(VLOOKUP(Tabla3[[#This Row],[Cliente factura]],Tabla4[[NIT]:[TOTAL CREDITO]],6,FALSE),0)</f>
        <v>0</v>
      </c>
      <c r="S2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7" s="10" t="e">
        <f>VLOOKUP(Tabla3[[#This Row],[Razón social cliente factura]]&amp;Tabla3[[#This Row],[Desc. ciudad]],'Estandar de Rutas'!$C$1:$E$553,2,FALSE)</f>
        <v>#N/A</v>
      </c>
      <c r="U2137" s="130">
        <f>IFERROR(VLOOKUP(Tabla3[[#This Row],[Referencia]]&amp;Tabla3[[#This Row],[Desc detalle ext 1]],Tabla1[[Referencia-Color]:[Disponibilidad]],3,FALSE),0)</f>
        <v>0</v>
      </c>
      <c r="V2137" s="13"/>
      <c r="W2137" s="24">
        <f>+Tabla3[[#This Row],[Cant. Programada]]*Tabla3[[#This Row],[Precio unit]]</f>
        <v>0</v>
      </c>
      <c r="X2137" s="8"/>
      <c r="Y2137" s="8"/>
      <c r="Z2137" s="8" t="str">
        <f>+Tabla3[[#This Row],[Referencia]]&amp;Tabla3[[#This Row],[Desc detalle ext 1]]</f>
        <v/>
      </c>
      <c r="AA2137" s="128" t="e">
        <f>+VLOOKUP(Tabla3[[#This Row],[CODIGO2]],ESTANDAR!$B$3:$C$9,2,FALSE)</f>
        <v>#N/A</v>
      </c>
      <c r="AB2137" s="128" t="str">
        <f>+MID(Tabla3[[#This Row],['# Viaje]],10,1)</f>
        <v/>
      </c>
    </row>
    <row r="2138" spans="1:28" ht="15" hidden="1" customHeight="1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6"/>
      <c r="M2138" s="25"/>
      <c r="N2138" s="25"/>
      <c r="O2138" s="27"/>
      <c r="P2138" s="7"/>
      <c r="Q2138" s="16">
        <f>+IF(IFERROR(VLOOKUP(Tabla3[[#This Row],[Cliente factura]],Tabla4[[NIT]:[TOTAL CREDITO]],3,FALSE),0)="",0,IFERROR(VLOOKUP(Tabla3[[#This Row],[Cliente factura]],Tabla4[[NIT]:[TOTAL CREDITO]],3,FALSE),0))</f>
        <v>0</v>
      </c>
      <c r="R2138" s="9">
        <f>+IFERROR(VLOOKUP(Tabla3[[#This Row],[Cliente factura]],Tabla4[[NIT]:[TOTAL CREDITO]],6,FALSE),0)</f>
        <v>0</v>
      </c>
      <c r="S2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8" s="10" t="e">
        <f>VLOOKUP(Tabla3[[#This Row],[Razón social cliente factura]]&amp;Tabla3[[#This Row],[Desc. ciudad]],'Estandar de Rutas'!$C$1:$E$553,2,FALSE)</f>
        <v>#N/A</v>
      </c>
      <c r="U2138" s="130">
        <f>IFERROR(VLOOKUP(Tabla3[[#This Row],[Referencia]]&amp;Tabla3[[#This Row],[Desc detalle ext 1]],Tabla1[[Referencia-Color]:[Disponibilidad]],3,FALSE),0)</f>
        <v>0</v>
      </c>
      <c r="V2138" s="13"/>
      <c r="W2138" s="24">
        <f>+Tabla3[[#This Row],[Cant. Programada]]*Tabla3[[#This Row],[Precio unit]]</f>
        <v>0</v>
      </c>
      <c r="X2138" s="8"/>
      <c r="Y2138" s="8"/>
      <c r="Z2138" s="8" t="str">
        <f>+Tabla3[[#This Row],[Referencia]]&amp;Tabla3[[#This Row],[Desc detalle ext 1]]</f>
        <v/>
      </c>
      <c r="AA2138" s="128" t="e">
        <f>+VLOOKUP(Tabla3[[#This Row],[CODIGO2]],ESTANDAR!$B$3:$C$9,2,FALSE)</f>
        <v>#N/A</v>
      </c>
      <c r="AB2138" s="128" t="str">
        <f>+MID(Tabla3[[#This Row],['# Viaje]],10,1)</f>
        <v/>
      </c>
    </row>
    <row r="2139" spans="1:28" ht="15" hidden="1" customHeight="1">
      <c r="A2139" s="25"/>
      <c r="B2139" s="26"/>
      <c r="C2139" s="25"/>
      <c r="D2139" s="25"/>
      <c r="E2139" s="25"/>
      <c r="F2139" s="25"/>
      <c r="G2139" s="25"/>
      <c r="H2139" s="25"/>
      <c r="I2139" s="25"/>
      <c r="J2139" s="25"/>
      <c r="K2139" s="25"/>
      <c r="L2139" s="26"/>
      <c r="M2139" s="25"/>
      <c r="N2139" s="25"/>
      <c r="O2139" s="27"/>
      <c r="P2139" s="7"/>
      <c r="Q2139" s="16">
        <f>+IF(IFERROR(VLOOKUP(Tabla3[[#This Row],[Cliente factura]],Tabla4[[NIT]:[TOTAL CREDITO]],3,FALSE),0)="",0,IFERROR(VLOOKUP(Tabla3[[#This Row],[Cliente factura]],Tabla4[[NIT]:[TOTAL CREDITO]],3,FALSE),0))</f>
        <v>0</v>
      </c>
      <c r="R2139" s="9">
        <f>+IFERROR(VLOOKUP(Tabla3[[#This Row],[Cliente factura]],Tabla4[[NIT]:[TOTAL CREDITO]],6,FALSE),0)</f>
        <v>0</v>
      </c>
      <c r="S2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9" s="10" t="e">
        <f>VLOOKUP(Tabla3[[#This Row],[Razón social cliente factura]]&amp;Tabla3[[#This Row],[Desc. ciudad]],'Estandar de Rutas'!$C$1:$E$553,2,FALSE)</f>
        <v>#N/A</v>
      </c>
      <c r="U2139" s="130">
        <f>IFERROR(VLOOKUP(Tabla3[[#This Row],[Referencia]]&amp;Tabla3[[#This Row],[Desc detalle ext 1]],Tabla1[[Referencia-Color]:[Disponibilidad]],3,FALSE),0)</f>
        <v>0</v>
      </c>
      <c r="V2139" s="13"/>
      <c r="W2139" s="24">
        <f>+Tabla3[[#This Row],[Cant. Programada]]*Tabla3[[#This Row],[Precio unit]]</f>
        <v>0</v>
      </c>
      <c r="X2139" s="8"/>
      <c r="Y2139" s="8"/>
      <c r="Z2139" s="8" t="str">
        <f>+Tabla3[[#This Row],[Referencia]]&amp;Tabla3[[#This Row],[Desc detalle ext 1]]</f>
        <v/>
      </c>
      <c r="AA2139" s="128" t="e">
        <f>+VLOOKUP(Tabla3[[#This Row],[CODIGO2]],ESTANDAR!$B$3:$C$9,2,FALSE)</f>
        <v>#N/A</v>
      </c>
      <c r="AB2139" s="128" t="str">
        <f>+MID(Tabla3[[#This Row],['# Viaje]],10,1)</f>
        <v/>
      </c>
    </row>
    <row r="2140" spans="1:28" ht="15" hidden="1" customHeight="1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6"/>
      <c r="M2140" s="25"/>
      <c r="N2140" s="25"/>
      <c r="O2140" s="27"/>
      <c r="P2140" s="7"/>
      <c r="Q2140" s="16">
        <f>+IF(IFERROR(VLOOKUP(Tabla3[[#This Row],[Cliente factura]],Tabla4[[NIT]:[TOTAL CREDITO]],3,FALSE),0)="",0,IFERROR(VLOOKUP(Tabla3[[#This Row],[Cliente factura]],Tabla4[[NIT]:[TOTAL CREDITO]],3,FALSE),0))</f>
        <v>0</v>
      </c>
      <c r="R2140" s="9">
        <f>+IFERROR(VLOOKUP(Tabla3[[#This Row],[Cliente factura]],Tabla4[[NIT]:[TOTAL CREDITO]],6,FALSE),0)</f>
        <v>0</v>
      </c>
      <c r="S2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0" s="10" t="e">
        <f>VLOOKUP(Tabla3[[#This Row],[Razón social cliente factura]]&amp;Tabla3[[#This Row],[Desc. ciudad]],'Estandar de Rutas'!$C$1:$E$553,2,FALSE)</f>
        <v>#N/A</v>
      </c>
      <c r="U2140" s="130">
        <f>IFERROR(VLOOKUP(Tabla3[[#This Row],[Referencia]]&amp;Tabla3[[#This Row],[Desc detalle ext 1]],Tabla1[[Referencia-Color]:[Disponibilidad]],3,FALSE),0)</f>
        <v>0</v>
      </c>
      <c r="V2140" s="13"/>
      <c r="W2140" s="24">
        <f>+Tabla3[[#This Row],[Cant. Programada]]*Tabla3[[#This Row],[Precio unit]]</f>
        <v>0</v>
      </c>
      <c r="X2140" s="8"/>
      <c r="Y2140" s="8"/>
      <c r="Z2140" s="8" t="str">
        <f>+Tabla3[[#This Row],[Referencia]]&amp;Tabla3[[#This Row],[Desc detalle ext 1]]</f>
        <v/>
      </c>
      <c r="AA2140" s="128" t="e">
        <f>+VLOOKUP(Tabla3[[#This Row],[CODIGO2]],ESTANDAR!$B$3:$C$9,2,FALSE)</f>
        <v>#N/A</v>
      </c>
      <c r="AB2140" s="128" t="str">
        <f>+MID(Tabla3[[#This Row],['# Viaje]],10,1)</f>
        <v/>
      </c>
    </row>
    <row r="2141" spans="1:28" ht="15" hidden="1" customHeight="1">
      <c r="A2141" s="25"/>
      <c r="B2141" s="26"/>
      <c r="C2141" s="25"/>
      <c r="D2141" s="25"/>
      <c r="E2141" s="25"/>
      <c r="F2141" s="25"/>
      <c r="G2141" s="25"/>
      <c r="H2141" s="25"/>
      <c r="I2141" s="25"/>
      <c r="J2141" s="25"/>
      <c r="K2141" s="25"/>
      <c r="L2141" s="26"/>
      <c r="M2141" s="25"/>
      <c r="N2141" s="25"/>
      <c r="O2141" s="27"/>
      <c r="P2141" s="7"/>
      <c r="Q2141" s="16">
        <f>+IF(IFERROR(VLOOKUP(Tabla3[[#This Row],[Cliente factura]],Tabla4[[NIT]:[TOTAL CREDITO]],3,FALSE),0)="",0,IFERROR(VLOOKUP(Tabla3[[#This Row],[Cliente factura]],Tabla4[[NIT]:[TOTAL CREDITO]],3,FALSE),0))</f>
        <v>0</v>
      </c>
      <c r="R2141" s="9">
        <f>+IFERROR(VLOOKUP(Tabla3[[#This Row],[Cliente factura]],Tabla4[[NIT]:[TOTAL CREDITO]],6,FALSE),0)</f>
        <v>0</v>
      </c>
      <c r="S2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1" s="10" t="e">
        <f>VLOOKUP(Tabla3[[#This Row],[Razón social cliente factura]]&amp;Tabla3[[#This Row],[Desc. ciudad]],'Estandar de Rutas'!$C$1:$E$553,2,FALSE)</f>
        <v>#N/A</v>
      </c>
      <c r="U2141" s="130">
        <f>IFERROR(VLOOKUP(Tabla3[[#This Row],[Referencia]]&amp;Tabla3[[#This Row],[Desc detalle ext 1]],Tabla1[[Referencia-Color]:[Disponibilidad]],3,FALSE),0)</f>
        <v>0</v>
      </c>
      <c r="V2141" s="13"/>
      <c r="W2141" s="24">
        <f>+Tabla3[[#This Row],[Cant. Programada]]*Tabla3[[#This Row],[Precio unit]]</f>
        <v>0</v>
      </c>
      <c r="X2141" s="8"/>
      <c r="Y2141" s="8"/>
      <c r="Z2141" s="8" t="str">
        <f>+Tabla3[[#This Row],[Referencia]]&amp;Tabla3[[#This Row],[Desc detalle ext 1]]</f>
        <v/>
      </c>
      <c r="AA2141" s="128" t="e">
        <f>+VLOOKUP(Tabla3[[#This Row],[CODIGO2]],ESTANDAR!$B$3:$C$9,2,FALSE)</f>
        <v>#N/A</v>
      </c>
      <c r="AB2141" s="128" t="str">
        <f>+MID(Tabla3[[#This Row],['# Viaje]],10,1)</f>
        <v/>
      </c>
    </row>
    <row r="2142" spans="1:28" ht="15" hidden="1" customHeight="1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6"/>
      <c r="M2142" s="25"/>
      <c r="N2142" s="25"/>
      <c r="O2142" s="27"/>
      <c r="P2142" s="7"/>
      <c r="Q2142" s="16">
        <f>+IF(IFERROR(VLOOKUP(Tabla3[[#This Row],[Cliente factura]],Tabla4[[NIT]:[TOTAL CREDITO]],3,FALSE),0)="",0,IFERROR(VLOOKUP(Tabla3[[#This Row],[Cliente factura]],Tabla4[[NIT]:[TOTAL CREDITO]],3,FALSE),0))</f>
        <v>0</v>
      </c>
      <c r="R2142" s="9">
        <f>+IFERROR(VLOOKUP(Tabla3[[#This Row],[Cliente factura]],Tabla4[[NIT]:[TOTAL CREDITO]],6,FALSE),0)</f>
        <v>0</v>
      </c>
      <c r="S2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2" s="10" t="e">
        <f>VLOOKUP(Tabla3[[#This Row],[Razón social cliente factura]]&amp;Tabla3[[#This Row],[Desc. ciudad]],'Estandar de Rutas'!$C$1:$E$553,2,FALSE)</f>
        <v>#N/A</v>
      </c>
      <c r="U2142" s="130">
        <f>IFERROR(VLOOKUP(Tabla3[[#This Row],[Referencia]]&amp;Tabla3[[#This Row],[Desc detalle ext 1]],Tabla1[[Referencia-Color]:[Disponibilidad]],3,FALSE),0)</f>
        <v>0</v>
      </c>
      <c r="V2142" s="13"/>
      <c r="W2142" s="24">
        <f>+Tabla3[[#This Row],[Cant. Programada]]*Tabla3[[#This Row],[Precio unit]]</f>
        <v>0</v>
      </c>
      <c r="X2142" s="8"/>
      <c r="Y2142" s="8"/>
      <c r="Z2142" s="8" t="str">
        <f>+Tabla3[[#This Row],[Referencia]]&amp;Tabla3[[#This Row],[Desc detalle ext 1]]</f>
        <v/>
      </c>
      <c r="AA2142" s="128" t="e">
        <f>+VLOOKUP(Tabla3[[#This Row],[CODIGO2]],ESTANDAR!$B$3:$C$9,2,FALSE)</f>
        <v>#N/A</v>
      </c>
      <c r="AB2142" s="128" t="str">
        <f>+MID(Tabla3[[#This Row],['# Viaje]],10,1)</f>
        <v/>
      </c>
    </row>
    <row r="2143" spans="1:28" ht="15" hidden="1" customHeight="1">
      <c r="A2143" s="25"/>
      <c r="B2143" s="26"/>
      <c r="C2143" s="25"/>
      <c r="D2143" s="25"/>
      <c r="E2143" s="25"/>
      <c r="F2143" s="25"/>
      <c r="G2143" s="25"/>
      <c r="H2143" s="25"/>
      <c r="I2143" s="25"/>
      <c r="J2143" s="25"/>
      <c r="K2143" s="25"/>
      <c r="L2143" s="26"/>
      <c r="M2143" s="25"/>
      <c r="N2143" s="25"/>
      <c r="O2143" s="27"/>
      <c r="P2143" s="7"/>
      <c r="Q2143" s="16">
        <f>+IF(IFERROR(VLOOKUP(Tabla3[[#This Row],[Cliente factura]],Tabla4[[NIT]:[TOTAL CREDITO]],3,FALSE),0)="",0,IFERROR(VLOOKUP(Tabla3[[#This Row],[Cliente factura]],Tabla4[[NIT]:[TOTAL CREDITO]],3,FALSE),0))</f>
        <v>0</v>
      </c>
      <c r="R2143" s="9">
        <f>+IFERROR(VLOOKUP(Tabla3[[#This Row],[Cliente factura]],Tabla4[[NIT]:[TOTAL CREDITO]],6,FALSE),0)</f>
        <v>0</v>
      </c>
      <c r="S2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3" s="10" t="e">
        <f>VLOOKUP(Tabla3[[#This Row],[Razón social cliente factura]]&amp;Tabla3[[#This Row],[Desc. ciudad]],'Estandar de Rutas'!$C$1:$E$553,2,FALSE)</f>
        <v>#N/A</v>
      </c>
      <c r="U2143" s="130">
        <f>IFERROR(VLOOKUP(Tabla3[[#This Row],[Referencia]]&amp;Tabla3[[#This Row],[Desc detalle ext 1]],Tabla1[[Referencia-Color]:[Disponibilidad]],3,FALSE),0)</f>
        <v>0</v>
      </c>
      <c r="V2143" s="13"/>
      <c r="W2143" s="24">
        <f>+Tabla3[[#This Row],[Cant. Programada]]*Tabla3[[#This Row],[Precio unit]]</f>
        <v>0</v>
      </c>
      <c r="X2143" s="8"/>
      <c r="Y2143" s="8"/>
      <c r="Z2143" s="8" t="str">
        <f>+Tabla3[[#This Row],[Referencia]]&amp;Tabla3[[#This Row],[Desc detalle ext 1]]</f>
        <v/>
      </c>
      <c r="AA2143" s="128" t="e">
        <f>+VLOOKUP(Tabla3[[#This Row],[CODIGO2]],ESTANDAR!$B$3:$C$9,2,FALSE)</f>
        <v>#N/A</v>
      </c>
      <c r="AB2143" s="128" t="str">
        <f>+MID(Tabla3[[#This Row],['# Viaje]],10,1)</f>
        <v/>
      </c>
    </row>
    <row r="2144" spans="1:28" ht="15" hidden="1" customHeight="1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6"/>
      <c r="M2144" s="25"/>
      <c r="N2144" s="25"/>
      <c r="O2144" s="27"/>
      <c r="P2144" s="7"/>
      <c r="Q2144" s="16">
        <f>+IF(IFERROR(VLOOKUP(Tabla3[[#This Row],[Cliente factura]],Tabla4[[NIT]:[TOTAL CREDITO]],3,FALSE),0)="",0,IFERROR(VLOOKUP(Tabla3[[#This Row],[Cliente factura]],Tabla4[[NIT]:[TOTAL CREDITO]],3,FALSE),0))</f>
        <v>0</v>
      </c>
      <c r="R2144" s="9">
        <f>+IFERROR(VLOOKUP(Tabla3[[#This Row],[Cliente factura]],Tabla4[[NIT]:[TOTAL CREDITO]],6,FALSE),0)</f>
        <v>0</v>
      </c>
      <c r="S2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4" s="10" t="e">
        <f>VLOOKUP(Tabla3[[#This Row],[Razón social cliente factura]]&amp;Tabla3[[#This Row],[Desc. ciudad]],'Estandar de Rutas'!$C$1:$E$553,2,FALSE)</f>
        <v>#N/A</v>
      </c>
      <c r="U2144" s="130">
        <f>IFERROR(VLOOKUP(Tabla3[[#This Row],[Referencia]]&amp;Tabla3[[#This Row],[Desc detalle ext 1]],Tabla1[[Referencia-Color]:[Disponibilidad]],3,FALSE),0)</f>
        <v>0</v>
      </c>
      <c r="V2144" s="13"/>
      <c r="W2144" s="24">
        <f>+Tabla3[[#This Row],[Cant. Programada]]*Tabla3[[#This Row],[Precio unit]]</f>
        <v>0</v>
      </c>
      <c r="X2144" s="8"/>
      <c r="Y2144" s="8"/>
      <c r="Z2144" s="8" t="str">
        <f>+Tabla3[[#This Row],[Referencia]]&amp;Tabla3[[#This Row],[Desc detalle ext 1]]</f>
        <v/>
      </c>
      <c r="AA2144" s="128" t="e">
        <f>+VLOOKUP(Tabla3[[#This Row],[CODIGO2]],ESTANDAR!$B$3:$C$9,2,FALSE)</f>
        <v>#N/A</v>
      </c>
      <c r="AB2144" s="128" t="str">
        <f>+MID(Tabla3[[#This Row],['# Viaje]],10,1)</f>
        <v/>
      </c>
    </row>
    <row r="2145" spans="1:28" ht="15" hidden="1" customHeight="1">
      <c r="A2145" s="25"/>
      <c r="B2145" s="26"/>
      <c r="C2145" s="25"/>
      <c r="D2145" s="25"/>
      <c r="E2145" s="25"/>
      <c r="F2145" s="25"/>
      <c r="G2145" s="25"/>
      <c r="H2145" s="25"/>
      <c r="I2145" s="25"/>
      <c r="J2145" s="25"/>
      <c r="K2145" s="25"/>
      <c r="L2145" s="26"/>
      <c r="M2145" s="25"/>
      <c r="N2145" s="25"/>
      <c r="O2145" s="27"/>
      <c r="P2145" s="7"/>
      <c r="Q2145" s="16">
        <f>+IF(IFERROR(VLOOKUP(Tabla3[[#This Row],[Cliente factura]],Tabla4[[NIT]:[TOTAL CREDITO]],3,FALSE),0)="",0,IFERROR(VLOOKUP(Tabla3[[#This Row],[Cliente factura]],Tabla4[[NIT]:[TOTAL CREDITO]],3,FALSE),0))</f>
        <v>0</v>
      </c>
      <c r="R2145" s="9">
        <f>+IFERROR(VLOOKUP(Tabla3[[#This Row],[Cliente factura]],Tabla4[[NIT]:[TOTAL CREDITO]],6,FALSE),0)</f>
        <v>0</v>
      </c>
      <c r="S2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5" s="10" t="e">
        <f>VLOOKUP(Tabla3[[#This Row],[Razón social cliente factura]]&amp;Tabla3[[#This Row],[Desc. ciudad]],'Estandar de Rutas'!$C$1:$E$553,2,FALSE)</f>
        <v>#N/A</v>
      </c>
      <c r="U2145" s="130">
        <f>IFERROR(VLOOKUP(Tabla3[[#This Row],[Referencia]]&amp;Tabla3[[#This Row],[Desc detalle ext 1]],Tabla1[[Referencia-Color]:[Disponibilidad]],3,FALSE),0)</f>
        <v>0</v>
      </c>
      <c r="V2145" s="13"/>
      <c r="W2145" s="24">
        <f>+Tabla3[[#This Row],[Cant. Programada]]*Tabla3[[#This Row],[Precio unit]]</f>
        <v>0</v>
      </c>
      <c r="X2145" s="8"/>
      <c r="Y2145" s="8"/>
      <c r="Z2145" s="8" t="str">
        <f>+Tabla3[[#This Row],[Referencia]]&amp;Tabla3[[#This Row],[Desc detalle ext 1]]</f>
        <v/>
      </c>
      <c r="AA2145" s="128" t="e">
        <f>+VLOOKUP(Tabla3[[#This Row],[CODIGO2]],ESTANDAR!$B$3:$C$9,2,FALSE)</f>
        <v>#N/A</v>
      </c>
      <c r="AB2145" s="128" t="str">
        <f>+MID(Tabla3[[#This Row],['# Viaje]],10,1)</f>
        <v/>
      </c>
    </row>
    <row r="2146" spans="1:28" ht="15" hidden="1" customHeight="1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6"/>
      <c r="M2146" s="25"/>
      <c r="N2146" s="25"/>
      <c r="O2146" s="27"/>
      <c r="P2146" s="7"/>
      <c r="Q2146" s="16">
        <f>+IF(IFERROR(VLOOKUP(Tabla3[[#This Row],[Cliente factura]],Tabla4[[NIT]:[TOTAL CREDITO]],3,FALSE),0)="",0,IFERROR(VLOOKUP(Tabla3[[#This Row],[Cliente factura]],Tabla4[[NIT]:[TOTAL CREDITO]],3,FALSE),0))</f>
        <v>0</v>
      </c>
      <c r="R2146" s="9">
        <f>+IFERROR(VLOOKUP(Tabla3[[#This Row],[Cliente factura]],Tabla4[[NIT]:[TOTAL CREDITO]],6,FALSE),0)</f>
        <v>0</v>
      </c>
      <c r="S2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6" s="10" t="e">
        <f>VLOOKUP(Tabla3[[#This Row],[Razón social cliente factura]]&amp;Tabla3[[#This Row],[Desc. ciudad]],'Estandar de Rutas'!$C$1:$E$553,2,FALSE)</f>
        <v>#N/A</v>
      </c>
      <c r="U2146" s="130">
        <f>IFERROR(VLOOKUP(Tabla3[[#This Row],[Referencia]]&amp;Tabla3[[#This Row],[Desc detalle ext 1]],Tabla1[[Referencia-Color]:[Disponibilidad]],3,FALSE),0)</f>
        <v>0</v>
      </c>
      <c r="V2146" s="13"/>
      <c r="W2146" s="24">
        <f>+Tabla3[[#This Row],[Cant. Programada]]*Tabla3[[#This Row],[Precio unit]]</f>
        <v>0</v>
      </c>
      <c r="X2146" s="8"/>
      <c r="Y2146" s="8"/>
      <c r="Z2146" s="8" t="str">
        <f>+Tabla3[[#This Row],[Referencia]]&amp;Tabla3[[#This Row],[Desc detalle ext 1]]</f>
        <v/>
      </c>
      <c r="AA2146" s="128" t="e">
        <f>+VLOOKUP(Tabla3[[#This Row],[CODIGO2]],ESTANDAR!$B$3:$C$9,2,FALSE)</f>
        <v>#N/A</v>
      </c>
      <c r="AB2146" s="128" t="str">
        <f>+MID(Tabla3[[#This Row],['# Viaje]],10,1)</f>
        <v/>
      </c>
    </row>
    <row r="2147" spans="1:28" ht="15" hidden="1" customHeight="1">
      <c r="A2147" s="25"/>
      <c r="B2147" s="26"/>
      <c r="C2147" s="25"/>
      <c r="D2147" s="25"/>
      <c r="E2147" s="25"/>
      <c r="F2147" s="25"/>
      <c r="G2147" s="25"/>
      <c r="H2147" s="25"/>
      <c r="I2147" s="25"/>
      <c r="J2147" s="25"/>
      <c r="K2147" s="25"/>
      <c r="L2147" s="26"/>
      <c r="M2147" s="25"/>
      <c r="N2147" s="25"/>
      <c r="O2147" s="27"/>
      <c r="P2147" s="7"/>
      <c r="Q2147" s="16">
        <f>+IF(IFERROR(VLOOKUP(Tabla3[[#This Row],[Cliente factura]],Tabla4[[NIT]:[TOTAL CREDITO]],3,FALSE),0)="",0,IFERROR(VLOOKUP(Tabla3[[#This Row],[Cliente factura]],Tabla4[[NIT]:[TOTAL CREDITO]],3,FALSE),0))</f>
        <v>0</v>
      </c>
      <c r="R2147" s="9">
        <f>+IFERROR(VLOOKUP(Tabla3[[#This Row],[Cliente factura]],Tabla4[[NIT]:[TOTAL CREDITO]],6,FALSE),0)</f>
        <v>0</v>
      </c>
      <c r="S2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7" s="10" t="e">
        <f>VLOOKUP(Tabla3[[#This Row],[Razón social cliente factura]]&amp;Tabla3[[#This Row],[Desc. ciudad]],'Estandar de Rutas'!$C$1:$E$553,2,FALSE)</f>
        <v>#N/A</v>
      </c>
      <c r="U2147" s="130">
        <f>IFERROR(VLOOKUP(Tabla3[[#This Row],[Referencia]]&amp;Tabla3[[#This Row],[Desc detalle ext 1]],Tabla1[[Referencia-Color]:[Disponibilidad]],3,FALSE),0)</f>
        <v>0</v>
      </c>
      <c r="V2147" s="13"/>
      <c r="W2147" s="24">
        <f>+Tabla3[[#This Row],[Cant. Programada]]*Tabla3[[#This Row],[Precio unit]]</f>
        <v>0</v>
      </c>
      <c r="X2147" s="8"/>
      <c r="Y2147" s="8"/>
      <c r="Z2147" s="8" t="str">
        <f>+Tabla3[[#This Row],[Referencia]]&amp;Tabla3[[#This Row],[Desc detalle ext 1]]</f>
        <v/>
      </c>
      <c r="AA2147" s="128" t="e">
        <f>+VLOOKUP(Tabla3[[#This Row],[CODIGO2]],ESTANDAR!$B$3:$C$9,2,FALSE)</f>
        <v>#N/A</v>
      </c>
      <c r="AB2147" s="128" t="str">
        <f>+MID(Tabla3[[#This Row],['# Viaje]],10,1)</f>
        <v/>
      </c>
    </row>
    <row r="2148" spans="1:28" ht="15" hidden="1" customHeight="1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6"/>
      <c r="M2148" s="25"/>
      <c r="N2148" s="25"/>
      <c r="O2148" s="27"/>
      <c r="P2148" s="7"/>
      <c r="Q2148" s="16">
        <f>+IF(IFERROR(VLOOKUP(Tabla3[[#This Row],[Cliente factura]],Tabla4[[NIT]:[TOTAL CREDITO]],3,FALSE),0)="",0,IFERROR(VLOOKUP(Tabla3[[#This Row],[Cliente factura]],Tabla4[[NIT]:[TOTAL CREDITO]],3,FALSE),0))</f>
        <v>0</v>
      </c>
      <c r="R2148" s="9">
        <f>+IFERROR(VLOOKUP(Tabla3[[#This Row],[Cliente factura]],Tabla4[[NIT]:[TOTAL CREDITO]],6,FALSE),0)</f>
        <v>0</v>
      </c>
      <c r="S2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8" s="10" t="e">
        <f>VLOOKUP(Tabla3[[#This Row],[Razón social cliente factura]]&amp;Tabla3[[#This Row],[Desc. ciudad]],'Estandar de Rutas'!$C$1:$E$553,2,FALSE)</f>
        <v>#N/A</v>
      </c>
      <c r="U2148" s="130">
        <f>IFERROR(VLOOKUP(Tabla3[[#This Row],[Referencia]]&amp;Tabla3[[#This Row],[Desc detalle ext 1]],Tabla1[[Referencia-Color]:[Disponibilidad]],3,FALSE),0)</f>
        <v>0</v>
      </c>
      <c r="V2148" s="13"/>
      <c r="W2148" s="24">
        <f>+Tabla3[[#This Row],[Cant. Programada]]*Tabla3[[#This Row],[Precio unit]]</f>
        <v>0</v>
      </c>
      <c r="X2148" s="8"/>
      <c r="Y2148" s="8"/>
      <c r="Z2148" s="8" t="str">
        <f>+Tabla3[[#This Row],[Referencia]]&amp;Tabla3[[#This Row],[Desc detalle ext 1]]</f>
        <v/>
      </c>
      <c r="AA2148" s="128" t="e">
        <f>+VLOOKUP(Tabla3[[#This Row],[CODIGO2]],ESTANDAR!$B$3:$C$9,2,FALSE)</f>
        <v>#N/A</v>
      </c>
      <c r="AB2148" s="128" t="str">
        <f>+MID(Tabla3[[#This Row],['# Viaje]],10,1)</f>
        <v/>
      </c>
    </row>
    <row r="2149" spans="1:28" ht="15" hidden="1" customHeight="1">
      <c r="A2149" s="25"/>
      <c r="B2149" s="26"/>
      <c r="C2149" s="25"/>
      <c r="D2149" s="25"/>
      <c r="E2149" s="25"/>
      <c r="F2149" s="25"/>
      <c r="G2149" s="25"/>
      <c r="H2149" s="25"/>
      <c r="I2149" s="25"/>
      <c r="J2149" s="25"/>
      <c r="K2149" s="25"/>
      <c r="L2149" s="26"/>
      <c r="M2149" s="25"/>
      <c r="N2149" s="25"/>
      <c r="O2149" s="27"/>
      <c r="P2149" s="7"/>
      <c r="Q2149" s="16">
        <f>+IF(IFERROR(VLOOKUP(Tabla3[[#This Row],[Cliente factura]],Tabla4[[NIT]:[TOTAL CREDITO]],3,FALSE),0)="",0,IFERROR(VLOOKUP(Tabla3[[#This Row],[Cliente factura]],Tabla4[[NIT]:[TOTAL CREDITO]],3,FALSE),0))</f>
        <v>0</v>
      </c>
      <c r="R2149" s="9">
        <f>+IFERROR(VLOOKUP(Tabla3[[#This Row],[Cliente factura]],Tabla4[[NIT]:[TOTAL CREDITO]],6,FALSE),0)</f>
        <v>0</v>
      </c>
      <c r="S2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9" s="10" t="e">
        <f>VLOOKUP(Tabla3[[#This Row],[Razón social cliente factura]]&amp;Tabla3[[#This Row],[Desc. ciudad]],'Estandar de Rutas'!$C$1:$E$553,2,FALSE)</f>
        <v>#N/A</v>
      </c>
      <c r="U2149" s="130">
        <f>IFERROR(VLOOKUP(Tabla3[[#This Row],[Referencia]]&amp;Tabla3[[#This Row],[Desc detalle ext 1]],Tabla1[[Referencia-Color]:[Disponibilidad]],3,FALSE),0)</f>
        <v>0</v>
      </c>
      <c r="V2149" s="13"/>
      <c r="W2149" s="24">
        <f>+Tabla3[[#This Row],[Cant. Programada]]*Tabla3[[#This Row],[Precio unit]]</f>
        <v>0</v>
      </c>
      <c r="X2149" s="8"/>
      <c r="Y2149" s="8"/>
      <c r="Z2149" s="8" t="str">
        <f>+Tabla3[[#This Row],[Referencia]]&amp;Tabla3[[#This Row],[Desc detalle ext 1]]</f>
        <v/>
      </c>
      <c r="AA2149" s="128" t="e">
        <f>+VLOOKUP(Tabla3[[#This Row],[CODIGO2]],ESTANDAR!$B$3:$C$9,2,FALSE)</f>
        <v>#N/A</v>
      </c>
      <c r="AB2149" s="128" t="str">
        <f>+MID(Tabla3[[#This Row],['# Viaje]],10,1)</f>
        <v/>
      </c>
    </row>
    <row r="2150" spans="1:28" ht="15" hidden="1" customHeight="1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6"/>
      <c r="M2150" s="25"/>
      <c r="N2150" s="25"/>
      <c r="O2150" s="27"/>
      <c r="P2150" s="7"/>
      <c r="Q2150" s="16">
        <f>+IF(IFERROR(VLOOKUP(Tabla3[[#This Row],[Cliente factura]],Tabla4[[NIT]:[TOTAL CREDITO]],3,FALSE),0)="",0,IFERROR(VLOOKUP(Tabla3[[#This Row],[Cliente factura]],Tabla4[[NIT]:[TOTAL CREDITO]],3,FALSE),0))</f>
        <v>0</v>
      </c>
      <c r="R2150" s="9">
        <f>+IFERROR(VLOOKUP(Tabla3[[#This Row],[Cliente factura]],Tabla4[[NIT]:[TOTAL CREDITO]],6,FALSE),0)</f>
        <v>0</v>
      </c>
      <c r="S2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0" s="10" t="e">
        <f>VLOOKUP(Tabla3[[#This Row],[Razón social cliente factura]]&amp;Tabla3[[#This Row],[Desc. ciudad]],'Estandar de Rutas'!$C$1:$E$553,2,FALSE)</f>
        <v>#N/A</v>
      </c>
      <c r="U2150" s="130">
        <f>IFERROR(VLOOKUP(Tabla3[[#This Row],[Referencia]]&amp;Tabla3[[#This Row],[Desc detalle ext 1]],Tabla1[[Referencia-Color]:[Disponibilidad]],3,FALSE),0)</f>
        <v>0</v>
      </c>
      <c r="V2150" s="13"/>
      <c r="W2150" s="24">
        <f>+Tabla3[[#This Row],[Cant. Programada]]*Tabla3[[#This Row],[Precio unit]]</f>
        <v>0</v>
      </c>
      <c r="X2150" s="8"/>
      <c r="Y2150" s="8"/>
      <c r="Z2150" s="8" t="str">
        <f>+Tabla3[[#This Row],[Referencia]]&amp;Tabla3[[#This Row],[Desc detalle ext 1]]</f>
        <v/>
      </c>
      <c r="AA2150" s="128" t="e">
        <f>+VLOOKUP(Tabla3[[#This Row],[CODIGO2]],ESTANDAR!$B$3:$C$9,2,FALSE)</f>
        <v>#N/A</v>
      </c>
      <c r="AB2150" s="128" t="str">
        <f>+MID(Tabla3[[#This Row],['# Viaje]],10,1)</f>
        <v/>
      </c>
    </row>
    <row r="2151" spans="1:28" ht="15" hidden="1" customHeight="1">
      <c r="A2151" s="25"/>
      <c r="B2151" s="26"/>
      <c r="C2151" s="25"/>
      <c r="D2151" s="25"/>
      <c r="E2151" s="25"/>
      <c r="F2151" s="25"/>
      <c r="G2151" s="25"/>
      <c r="H2151" s="25"/>
      <c r="I2151" s="25"/>
      <c r="J2151" s="25"/>
      <c r="K2151" s="25"/>
      <c r="L2151" s="26"/>
      <c r="M2151" s="25"/>
      <c r="N2151" s="25"/>
      <c r="O2151" s="27"/>
      <c r="P2151" s="7"/>
      <c r="Q2151" s="16">
        <f>+IF(IFERROR(VLOOKUP(Tabla3[[#This Row],[Cliente factura]],Tabla4[[NIT]:[TOTAL CREDITO]],3,FALSE),0)="",0,IFERROR(VLOOKUP(Tabla3[[#This Row],[Cliente factura]],Tabla4[[NIT]:[TOTAL CREDITO]],3,FALSE),0))</f>
        <v>0</v>
      </c>
      <c r="R2151" s="9">
        <f>+IFERROR(VLOOKUP(Tabla3[[#This Row],[Cliente factura]],Tabla4[[NIT]:[TOTAL CREDITO]],6,FALSE),0)</f>
        <v>0</v>
      </c>
      <c r="S2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1" s="10" t="e">
        <f>VLOOKUP(Tabla3[[#This Row],[Razón social cliente factura]]&amp;Tabla3[[#This Row],[Desc. ciudad]],'Estandar de Rutas'!$C$1:$E$553,2,FALSE)</f>
        <v>#N/A</v>
      </c>
      <c r="U2151" s="130">
        <f>IFERROR(VLOOKUP(Tabla3[[#This Row],[Referencia]]&amp;Tabla3[[#This Row],[Desc detalle ext 1]],Tabla1[[Referencia-Color]:[Disponibilidad]],3,FALSE),0)</f>
        <v>0</v>
      </c>
      <c r="V2151" s="13"/>
      <c r="W2151" s="24">
        <f>+Tabla3[[#This Row],[Cant. Programada]]*Tabla3[[#This Row],[Precio unit]]</f>
        <v>0</v>
      </c>
      <c r="X2151" s="8"/>
      <c r="Y2151" s="8"/>
      <c r="Z2151" s="8" t="str">
        <f>+Tabla3[[#This Row],[Referencia]]&amp;Tabla3[[#This Row],[Desc detalle ext 1]]</f>
        <v/>
      </c>
      <c r="AA2151" s="128" t="e">
        <f>+VLOOKUP(Tabla3[[#This Row],[CODIGO2]],ESTANDAR!$B$3:$C$9,2,FALSE)</f>
        <v>#N/A</v>
      </c>
      <c r="AB2151" s="128" t="str">
        <f>+MID(Tabla3[[#This Row],['# Viaje]],10,1)</f>
        <v/>
      </c>
    </row>
    <row r="2152" spans="1:28" ht="15" hidden="1" customHeight="1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6"/>
      <c r="M2152" s="25"/>
      <c r="N2152" s="25"/>
      <c r="O2152" s="27"/>
      <c r="P2152" s="7"/>
      <c r="Q2152" s="16">
        <f>+IF(IFERROR(VLOOKUP(Tabla3[[#This Row],[Cliente factura]],Tabla4[[NIT]:[TOTAL CREDITO]],3,FALSE),0)="",0,IFERROR(VLOOKUP(Tabla3[[#This Row],[Cliente factura]],Tabla4[[NIT]:[TOTAL CREDITO]],3,FALSE),0))</f>
        <v>0</v>
      </c>
      <c r="R2152" s="9">
        <f>+IFERROR(VLOOKUP(Tabla3[[#This Row],[Cliente factura]],Tabla4[[NIT]:[TOTAL CREDITO]],6,FALSE),0)</f>
        <v>0</v>
      </c>
      <c r="S2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2" s="10" t="e">
        <f>VLOOKUP(Tabla3[[#This Row],[Razón social cliente factura]]&amp;Tabla3[[#This Row],[Desc. ciudad]],'Estandar de Rutas'!$C$1:$E$553,2,FALSE)</f>
        <v>#N/A</v>
      </c>
      <c r="U2152" s="130">
        <f>IFERROR(VLOOKUP(Tabla3[[#This Row],[Referencia]]&amp;Tabla3[[#This Row],[Desc detalle ext 1]],Tabla1[[Referencia-Color]:[Disponibilidad]],3,FALSE),0)</f>
        <v>0</v>
      </c>
      <c r="V2152" s="13"/>
      <c r="W2152" s="24">
        <f>+Tabla3[[#This Row],[Cant. Programada]]*Tabla3[[#This Row],[Precio unit]]</f>
        <v>0</v>
      </c>
      <c r="X2152" s="8"/>
      <c r="Y2152" s="8"/>
      <c r="Z2152" s="8" t="str">
        <f>+Tabla3[[#This Row],[Referencia]]&amp;Tabla3[[#This Row],[Desc detalle ext 1]]</f>
        <v/>
      </c>
      <c r="AA2152" s="128" t="e">
        <f>+VLOOKUP(Tabla3[[#This Row],[CODIGO2]],ESTANDAR!$B$3:$C$9,2,FALSE)</f>
        <v>#N/A</v>
      </c>
      <c r="AB2152" s="128" t="str">
        <f>+MID(Tabla3[[#This Row],['# Viaje]],10,1)</f>
        <v/>
      </c>
    </row>
    <row r="2153" spans="1:28" ht="15" hidden="1" customHeight="1">
      <c r="A2153" s="25"/>
      <c r="B2153" s="26"/>
      <c r="C2153" s="25"/>
      <c r="D2153" s="25"/>
      <c r="E2153" s="25"/>
      <c r="F2153" s="25"/>
      <c r="G2153" s="25"/>
      <c r="H2153" s="25"/>
      <c r="I2153" s="25"/>
      <c r="J2153" s="25"/>
      <c r="K2153" s="25"/>
      <c r="L2153" s="26"/>
      <c r="M2153" s="25"/>
      <c r="N2153" s="25"/>
      <c r="O2153" s="27"/>
      <c r="P2153" s="7"/>
      <c r="Q2153" s="16">
        <f>+IF(IFERROR(VLOOKUP(Tabla3[[#This Row],[Cliente factura]],Tabla4[[NIT]:[TOTAL CREDITO]],3,FALSE),0)="",0,IFERROR(VLOOKUP(Tabla3[[#This Row],[Cliente factura]],Tabla4[[NIT]:[TOTAL CREDITO]],3,FALSE),0))</f>
        <v>0</v>
      </c>
      <c r="R2153" s="9">
        <f>+IFERROR(VLOOKUP(Tabla3[[#This Row],[Cliente factura]],Tabla4[[NIT]:[TOTAL CREDITO]],6,FALSE),0)</f>
        <v>0</v>
      </c>
      <c r="S2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3" s="10" t="e">
        <f>VLOOKUP(Tabla3[[#This Row],[Razón social cliente factura]]&amp;Tabla3[[#This Row],[Desc. ciudad]],'Estandar de Rutas'!$C$1:$E$553,2,FALSE)</f>
        <v>#N/A</v>
      </c>
      <c r="U2153" s="130">
        <f>IFERROR(VLOOKUP(Tabla3[[#This Row],[Referencia]]&amp;Tabla3[[#This Row],[Desc detalle ext 1]],Tabla1[[Referencia-Color]:[Disponibilidad]],3,FALSE),0)</f>
        <v>0</v>
      </c>
      <c r="V2153" s="13"/>
      <c r="W2153" s="24">
        <f>+Tabla3[[#This Row],[Cant. Programada]]*Tabla3[[#This Row],[Precio unit]]</f>
        <v>0</v>
      </c>
      <c r="X2153" s="8"/>
      <c r="Y2153" s="8"/>
      <c r="Z2153" s="8" t="str">
        <f>+Tabla3[[#This Row],[Referencia]]&amp;Tabla3[[#This Row],[Desc detalle ext 1]]</f>
        <v/>
      </c>
      <c r="AA2153" s="128" t="e">
        <f>+VLOOKUP(Tabla3[[#This Row],[CODIGO2]],ESTANDAR!$B$3:$C$9,2,FALSE)</f>
        <v>#N/A</v>
      </c>
      <c r="AB2153" s="128" t="str">
        <f>+MID(Tabla3[[#This Row],['# Viaje]],10,1)</f>
        <v/>
      </c>
    </row>
    <row r="2154" spans="1:28" ht="15" hidden="1" customHeight="1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6"/>
      <c r="M2154" s="25"/>
      <c r="N2154" s="25"/>
      <c r="O2154" s="27"/>
      <c r="P2154" s="7"/>
      <c r="Q2154" s="16">
        <f>+IF(IFERROR(VLOOKUP(Tabla3[[#This Row],[Cliente factura]],Tabla4[[NIT]:[TOTAL CREDITO]],3,FALSE),0)="",0,IFERROR(VLOOKUP(Tabla3[[#This Row],[Cliente factura]],Tabla4[[NIT]:[TOTAL CREDITO]],3,FALSE),0))</f>
        <v>0</v>
      </c>
      <c r="R2154" s="9">
        <f>+IFERROR(VLOOKUP(Tabla3[[#This Row],[Cliente factura]],Tabla4[[NIT]:[TOTAL CREDITO]],6,FALSE),0)</f>
        <v>0</v>
      </c>
      <c r="S2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4" s="10" t="e">
        <f>VLOOKUP(Tabla3[[#This Row],[Razón social cliente factura]]&amp;Tabla3[[#This Row],[Desc. ciudad]],'Estandar de Rutas'!$C$1:$E$553,2,FALSE)</f>
        <v>#N/A</v>
      </c>
      <c r="U2154" s="130">
        <f>IFERROR(VLOOKUP(Tabla3[[#This Row],[Referencia]]&amp;Tabla3[[#This Row],[Desc detalle ext 1]],Tabla1[[Referencia-Color]:[Disponibilidad]],3,FALSE),0)</f>
        <v>0</v>
      </c>
      <c r="V2154" s="13"/>
      <c r="W2154" s="24">
        <f>+Tabla3[[#This Row],[Cant. Programada]]*Tabla3[[#This Row],[Precio unit]]</f>
        <v>0</v>
      </c>
      <c r="X2154" s="8"/>
      <c r="Y2154" s="8"/>
      <c r="Z2154" s="8" t="str">
        <f>+Tabla3[[#This Row],[Referencia]]&amp;Tabla3[[#This Row],[Desc detalle ext 1]]</f>
        <v/>
      </c>
      <c r="AA2154" s="128" t="e">
        <f>+VLOOKUP(Tabla3[[#This Row],[CODIGO2]],ESTANDAR!$B$3:$C$9,2,FALSE)</f>
        <v>#N/A</v>
      </c>
      <c r="AB2154" s="128" t="str">
        <f>+MID(Tabla3[[#This Row],['# Viaje]],10,1)</f>
        <v/>
      </c>
    </row>
    <row r="2155" spans="1:28" ht="15" hidden="1" customHeight="1">
      <c r="A2155" s="25"/>
      <c r="B2155" s="26"/>
      <c r="C2155" s="25"/>
      <c r="D2155" s="25"/>
      <c r="E2155" s="25"/>
      <c r="F2155" s="25"/>
      <c r="G2155" s="25"/>
      <c r="H2155" s="25"/>
      <c r="I2155" s="25"/>
      <c r="J2155" s="25"/>
      <c r="K2155" s="25"/>
      <c r="L2155" s="26"/>
      <c r="M2155" s="25"/>
      <c r="N2155" s="25"/>
      <c r="O2155" s="27"/>
      <c r="P2155" s="7"/>
      <c r="Q2155" s="16">
        <f>+IF(IFERROR(VLOOKUP(Tabla3[[#This Row],[Cliente factura]],Tabla4[[NIT]:[TOTAL CREDITO]],3,FALSE),0)="",0,IFERROR(VLOOKUP(Tabla3[[#This Row],[Cliente factura]],Tabla4[[NIT]:[TOTAL CREDITO]],3,FALSE),0))</f>
        <v>0</v>
      </c>
      <c r="R2155" s="9">
        <f>+IFERROR(VLOOKUP(Tabla3[[#This Row],[Cliente factura]],Tabla4[[NIT]:[TOTAL CREDITO]],6,FALSE),0)</f>
        <v>0</v>
      </c>
      <c r="S2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5" s="10" t="e">
        <f>VLOOKUP(Tabla3[[#This Row],[Razón social cliente factura]]&amp;Tabla3[[#This Row],[Desc. ciudad]],'Estandar de Rutas'!$C$1:$E$553,2,FALSE)</f>
        <v>#N/A</v>
      </c>
      <c r="U2155" s="130">
        <f>IFERROR(VLOOKUP(Tabla3[[#This Row],[Referencia]]&amp;Tabla3[[#This Row],[Desc detalle ext 1]],Tabla1[[Referencia-Color]:[Disponibilidad]],3,FALSE),0)</f>
        <v>0</v>
      </c>
      <c r="V2155" s="13"/>
      <c r="W2155" s="24">
        <f>+Tabla3[[#This Row],[Cant. Programada]]*Tabla3[[#This Row],[Precio unit]]</f>
        <v>0</v>
      </c>
      <c r="X2155" s="8"/>
      <c r="Y2155" s="8"/>
      <c r="Z2155" s="8" t="str">
        <f>+Tabla3[[#This Row],[Referencia]]&amp;Tabla3[[#This Row],[Desc detalle ext 1]]</f>
        <v/>
      </c>
      <c r="AA2155" s="128" t="e">
        <f>+VLOOKUP(Tabla3[[#This Row],[CODIGO2]],ESTANDAR!$B$3:$C$9,2,FALSE)</f>
        <v>#N/A</v>
      </c>
      <c r="AB2155" s="128" t="str">
        <f>+MID(Tabla3[[#This Row],['# Viaje]],10,1)</f>
        <v/>
      </c>
    </row>
    <row r="2156" spans="1:28" ht="15" hidden="1" customHeight="1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6"/>
      <c r="M2156" s="25"/>
      <c r="N2156" s="25"/>
      <c r="O2156" s="27"/>
      <c r="P2156" s="7"/>
      <c r="Q2156" s="16">
        <f>+IF(IFERROR(VLOOKUP(Tabla3[[#This Row],[Cliente factura]],Tabla4[[NIT]:[TOTAL CREDITO]],3,FALSE),0)="",0,IFERROR(VLOOKUP(Tabla3[[#This Row],[Cliente factura]],Tabla4[[NIT]:[TOTAL CREDITO]],3,FALSE),0))</f>
        <v>0</v>
      </c>
      <c r="R2156" s="9">
        <f>+IFERROR(VLOOKUP(Tabla3[[#This Row],[Cliente factura]],Tabla4[[NIT]:[TOTAL CREDITO]],6,FALSE),0)</f>
        <v>0</v>
      </c>
      <c r="S2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6" s="10" t="e">
        <f>VLOOKUP(Tabla3[[#This Row],[Razón social cliente factura]]&amp;Tabla3[[#This Row],[Desc. ciudad]],'Estandar de Rutas'!$C$1:$E$553,2,FALSE)</f>
        <v>#N/A</v>
      </c>
      <c r="U2156" s="130">
        <f>IFERROR(VLOOKUP(Tabla3[[#This Row],[Referencia]]&amp;Tabla3[[#This Row],[Desc detalle ext 1]],Tabla1[[Referencia-Color]:[Disponibilidad]],3,FALSE),0)</f>
        <v>0</v>
      </c>
      <c r="V2156" s="13"/>
      <c r="W2156" s="24">
        <f>+Tabla3[[#This Row],[Cant. Programada]]*Tabla3[[#This Row],[Precio unit]]</f>
        <v>0</v>
      </c>
      <c r="X2156" s="8"/>
      <c r="Y2156" s="8"/>
      <c r="Z2156" s="8" t="str">
        <f>+Tabla3[[#This Row],[Referencia]]&amp;Tabla3[[#This Row],[Desc detalle ext 1]]</f>
        <v/>
      </c>
      <c r="AA2156" s="128" t="e">
        <f>+VLOOKUP(Tabla3[[#This Row],[CODIGO2]],ESTANDAR!$B$3:$C$9,2,FALSE)</f>
        <v>#N/A</v>
      </c>
      <c r="AB2156" s="128" t="str">
        <f>+MID(Tabla3[[#This Row],['# Viaje]],10,1)</f>
        <v/>
      </c>
    </row>
    <row r="2157" spans="1:28" ht="15" hidden="1" customHeight="1">
      <c r="A2157" s="25"/>
      <c r="B2157" s="26"/>
      <c r="C2157" s="25"/>
      <c r="D2157" s="25"/>
      <c r="E2157" s="25"/>
      <c r="F2157" s="25"/>
      <c r="G2157" s="25"/>
      <c r="H2157" s="25"/>
      <c r="I2157" s="25"/>
      <c r="J2157" s="25"/>
      <c r="K2157" s="25"/>
      <c r="L2157" s="26"/>
      <c r="M2157" s="25"/>
      <c r="N2157" s="25"/>
      <c r="O2157" s="27"/>
      <c r="P2157" s="7"/>
      <c r="Q2157" s="16">
        <f>+IF(IFERROR(VLOOKUP(Tabla3[[#This Row],[Cliente factura]],Tabla4[[NIT]:[TOTAL CREDITO]],3,FALSE),0)="",0,IFERROR(VLOOKUP(Tabla3[[#This Row],[Cliente factura]],Tabla4[[NIT]:[TOTAL CREDITO]],3,FALSE),0))</f>
        <v>0</v>
      </c>
      <c r="R2157" s="9">
        <f>+IFERROR(VLOOKUP(Tabla3[[#This Row],[Cliente factura]],Tabla4[[NIT]:[TOTAL CREDITO]],6,FALSE),0)</f>
        <v>0</v>
      </c>
      <c r="S2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7" s="10" t="e">
        <f>VLOOKUP(Tabla3[[#This Row],[Razón social cliente factura]]&amp;Tabla3[[#This Row],[Desc. ciudad]],'Estandar de Rutas'!$C$1:$E$553,2,FALSE)</f>
        <v>#N/A</v>
      </c>
      <c r="U2157" s="130">
        <f>IFERROR(VLOOKUP(Tabla3[[#This Row],[Referencia]]&amp;Tabla3[[#This Row],[Desc detalle ext 1]],Tabla1[[Referencia-Color]:[Disponibilidad]],3,FALSE),0)</f>
        <v>0</v>
      </c>
      <c r="V2157" s="13"/>
      <c r="W2157" s="24">
        <f>+Tabla3[[#This Row],[Cant. Programada]]*Tabla3[[#This Row],[Precio unit]]</f>
        <v>0</v>
      </c>
      <c r="X2157" s="8"/>
      <c r="Y2157" s="8"/>
      <c r="Z2157" s="8" t="str">
        <f>+Tabla3[[#This Row],[Referencia]]&amp;Tabla3[[#This Row],[Desc detalle ext 1]]</f>
        <v/>
      </c>
      <c r="AA2157" s="128" t="e">
        <f>+VLOOKUP(Tabla3[[#This Row],[CODIGO2]],ESTANDAR!$B$3:$C$9,2,FALSE)</f>
        <v>#N/A</v>
      </c>
      <c r="AB2157" s="128" t="str">
        <f>+MID(Tabla3[[#This Row],['# Viaje]],10,1)</f>
        <v/>
      </c>
    </row>
    <row r="2158" spans="1:28" ht="15" hidden="1" customHeight="1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6"/>
      <c r="M2158" s="25"/>
      <c r="N2158" s="25"/>
      <c r="O2158" s="27"/>
      <c r="P2158" s="7"/>
      <c r="Q2158" s="16">
        <f>+IF(IFERROR(VLOOKUP(Tabla3[[#This Row],[Cliente factura]],Tabla4[[NIT]:[TOTAL CREDITO]],3,FALSE),0)="",0,IFERROR(VLOOKUP(Tabla3[[#This Row],[Cliente factura]],Tabla4[[NIT]:[TOTAL CREDITO]],3,FALSE),0))</f>
        <v>0</v>
      </c>
      <c r="R2158" s="9">
        <f>+IFERROR(VLOOKUP(Tabla3[[#This Row],[Cliente factura]],Tabla4[[NIT]:[TOTAL CREDITO]],6,FALSE),0)</f>
        <v>0</v>
      </c>
      <c r="S2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8" s="10" t="e">
        <f>VLOOKUP(Tabla3[[#This Row],[Razón social cliente factura]]&amp;Tabla3[[#This Row],[Desc. ciudad]],'Estandar de Rutas'!$C$1:$E$553,2,FALSE)</f>
        <v>#N/A</v>
      </c>
      <c r="U2158" s="130">
        <f>IFERROR(VLOOKUP(Tabla3[[#This Row],[Referencia]]&amp;Tabla3[[#This Row],[Desc detalle ext 1]],Tabla1[[Referencia-Color]:[Disponibilidad]],3,FALSE),0)</f>
        <v>0</v>
      </c>
      <c r="V2158" s="13"/>
      <c r="W2158" s="24">
        <f>+Tabla3[[#This Row],[Cant. Programada]]*Tabla3[[#This Row],[Precio unit]]</f>
        <v>0</v>
      </c>
      <c r="X2158" s="8"/>
      <c r="Y2158" s="8"/>
      <c r="Z2158" s="8" t="str">
        <f>+Tabla3[[#This Row],[Referencia]]&amp;Tabla3[[#This Row],[Desc detalle ext 1]]</f>
        <v/>
      </c>
      <c r="AA2158" s="128" t="e">
        <f>+VLOOKUP(Tabla3[[#This Row],[CODIGO2]],ESTANDAR!$B$3:$C$9,2,FALSE)</f>
        <v>#N/A</v>
      </c>
      <c r="AB2158" s="128" t="str">
        <f>+MID(Tabla3[[#This Row],['# Viaje]],10,1)</f>
        <v/>
      </c>
    </row>
    <row r="2159" spans="1:28" ht="15" hidden="1" customHeight="1">
      <c r="A2159" s="25"/>
      <c r="B2159" s="26"/>
      <c r="C2159" s="25"/>
      <c r="D2159" s="25"/>
      <c r="E2159" s="25"/>
      <c r="F2159" s="25"/>
      <c r="G2159" s="25"/>
      <c r="H2159" s="25"/>
      <c r="I2159" s="25"/>
      <c r="J2159" s="25"/>
      <c r="K2159" s="25"/>
      <c r="L2159" s="26"/>
      <c r="M2159" s="25"/>
      <c r="N2159" s="25"/>
      <c r="O2159" s="27"/>
      <c r="P2159" s="7"/>
      <c r="Q2159" s="16">
        <f>+IF(IFERROR(VLOOKUP(Tabla3[[#This Row],[Cliente factura]],Tabla4[[NIT]:[TOTAL CREDITO]],3,FALSE),0)="",0,IFERROR(VLOOKUP(Tabla3[[#This Row],[Cliente factura]],Tabla4[[NIT]:[TOTAL CREDITO]],3,FALSE),0))</f>
        <v>0</v>
      </c>
      <c r="R2159" s="9">
        <f>+IFERROR(VLOOKUP(Tabla3[[#This Row],[Cliente factura]],Tabla4[[NIT]:[TOTAL CREDITO]],6,FALSE),0)</f>
        <v>0</v>
      </c>
      <c r="S2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9" s="10" t="e">
        <f>VLOOKUP(Tabla3[[#This Row],[Razón social cliente factura]]&amp;Tabla3[[#This Row],[Desc. ciudad]],'Estandar de Rutas'!$C$1:$E$553,2,FALSE)</f>
        <v>#N/A</v>
      </c>
      <c r="U2159" s="130">
        <f>IFERROR(VLOOKUP(Tabla3[[#This Row],[Referencia]]&amp;Tabla3[[#This Row],[Desc detalle ext 1]],Tabla1[[Referencia-Color]:[Disponibilidad]],3,FALSE),0)</f>
        <v>0</v>
      </c>
      <c r="V2159" s="13"/>
      <c r="W2159" s="24">
        <f>+Tabla3[[#This Row],[Cant. Programada]]*Tabla3[[#This Row],[Precio unit]]</f>
        <v>0</v>
      </c>
      <c r="X2159" s="8"/>
      <c r="Y2159" s="8"/>
      <c r="Z2159" s="8" t="str">
        <f>+Tabla3[[#This Row],[Referencia]]&amp;Tabla3[[#This Row],[Desc detalle ext 1]]</f>
        <v/>
      </c>
      <c r="AA2159" s="128" t="e">
        <f>+VLOOKUP(Tabla3[[#This Row],[CODIGO2]],ESTANDAR!$B$3:$C$9,2,FALSE)</f>
        <v>#N/A</v>
      </c>
      <c r="AB2159" s="128" t="str">
        <f>+MID(Tabla3[[#This Row],['# Viaje]],10,1)</f>
        <v/>
      </c>
    </row>
    <row r="2160" spans="1:28" ht="15" hidden="1" customHeight="1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6"/>
      <c r="M2160" s="25"/>
      <c r="N2160" s="25"/>
      <c r="O2160" s="27"/>
      <c r="P2160" s="7"/>
      <c r="Q2160" s="16">
        <f>+IF(IFERROR(VLOOKUP(Tabla3[[#This Row],[Cliente factura]],Tabla4[[NIT]:[TOTAL CREDITO]],3,FALSE),0)="",0,IFERROR(VLOOKUP(Tabla3[[#This Row],[Cliente factura]],Tabla4[[NIT]:[TOTAL CREDITO]],3,FALSE),0))</f>
        <v>0</v>
      </c>
      <c r="R2160" s="9">
        <f>+IFERROR(VLOOKUP(Tabla3[[#This Row],[Cliente factura]],Tabla4[[NIT]:[TOTAL CREDITO]],6,FALSE),0)</f>
        <v>0</v>
      </c>
      <c r="S2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0" s="10" t="e">
        <f>VLOOKUP(Tabla3[[#This Row],[Razón social cliente factura]]&amp;Tabla3[[#This Row],[Desc. ciudad]],'Estandar de Rutas'!$C$1:$E$553,2,FALSE)</f>
        <v>#N/A</v>
      </c>
      <c r="U2160" s="130">
        <f>IFERROR(VLOOKUP(Tabla3[[#This Row],[Referencia]]&amp;Tabla3[[#This Row],[Desc detalle ext 1]],Tabla1[[Referencia-Color]:[Disponibilidad]],3,FALSE),0)</f>
        <v>0</v>
      </c>
      <c r="V2160" s="13"/>
      <c r="W2160" s="24">
        <f>+Tabla3[[#This Row],[Cant. Programada]]*Tabla3[[#This Row],[Precio unit]]</f>
        <v>0</v>
      </c>
      <c r="X2160" s="8"/>
      <c r="Y2160" s="8"/>
      <c r="Z2160" s="8" t="str">
        <f>+Tabla3[[#This Row],[Referencia]]&amp;Tabla3[[#This Row],[Desc detalle ext 1]]</f>
        <v/>
      </c>
      <c r="AA2160" s="128" t="e">
        <f>+VLOOKUP(Tabla3[[#This Row],[CODIGO2]],ESTANDAR!$B$3:$C$9,2,FALSE)</f>
        <v>#N/A</v>
      </c>
      <c r="AB2160" s="128" t="str">
        <f>+MID(Tabla3[[#This Row],['# Viaje]],10,1)</f>
        <v/>
      </c>
    </row>
    <row r="2161" spans="1:28" ht="15" hidden="1" customHeight="1">
      <c r="A2161" s="25"/>
      <c r="B2161" s="26"/>
      <c r="C2161" s="25"/>
      <c r="D2161" s="25"/>
      <c r="E2161" s="25"/>
      <c r="F2161" s="25"/>
      <c r="G2161" s="25"/>
      <c r="H2161" s="25"/>
      <c r="I2161" s="25"/>
      <c r="J2161" s="25"/>
      <c r="K2161" s="25"/>
      <c r="L2161" s="26"/>
      <c r="M2161" s="25"/>
      <c r="N2161" s="25"/>
      <c r="O2161" s="27"/>
      <c r="P2161" s="7"/>
      <c r="Q2161" s="16">
        <f>+IF(IFERROR(VLOOKUP(Tabla3[[#This Row],[Cliente factura]],Tabla4[[NIT]:[TOTAL CREDITO]],3,FALSE),0)="",0,IFERROR(VLOOKUP(Tabla3[[#This Row],[Cliente factura]],Tabla4[[NIT]:[TOTAL CREDITO]],3,FALSE),0))</f>
        <v>0</v>
      </c>
      <c r="R2161" s="9">
        <f>+IFERROR(VLOOKUP(Tabla3[[#This Row],[Cliente factura]],Tabla4[[NIT]:[TOTAL CREDITO]],6,FALSE),0)</f>
        <v>0</v>
      </c>
      <c r="S2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1" s="10" t="e">
        <f>VLOOKUP(Tabla3[[#This Row],[Razón social cliente factura]]&amp;Tabla3[[#This Row],[Desc. ciudad]],'Estandar de Rutas'!$C$1:$E$553,2,FALSE)</f>
        <v>#N/A</v>
      </c>
      <c r="U2161" s="130">
        <f>IFERROR(VLOOKUP(Tabla3[[#This Row],[Referencia]]&amp;Tabla3[[#This Row],[Desc detalle ext 1]],Tabla1[[Referencia-Color]:[Disponibilidad]],3,FALSE),0)</f>
        <v>0</v>
      </c>
      <c r="V2161" s="13"/>
      <c r="W2161" s="24">
        <f>+Tabla3[[#This Row],[Cant. Programada]]*Tabla3[[#This Row],[Precio unit]]</f>
        <v>0</v>
      </c>
      <c r="X2161" s="8"/>
      <c r="Y2161" s="8"/>
      <c r="Z2161" s="8" t="str">
        <f>+Tabla3[[#This Row],[Referencia]]&amp;Tabla3[[#This Row],[Desc detalle ext 1]]</f>
        <v/>
      </c>
      <c r="AA2161" s="128" t="e">
        <f>+VLOOKUP(Tabla3[[#This Row],[CODIGO2]],ESTANDAR!$B$3:$C$9,2,FALSE)</f>
        <v>#N/A</v>
      </c>
      <c r="AB2161" s="128" t="str">
        <f>+MID(Tabla3[[#This Row],['# Viaje]],10,1)</f>
        <v/>
      </c>
    </row>
    <row r="2162" spans="1:28" ht="15" hidden="1" customHeight="1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6"/>
      <c r="M2162" s="25"/>
      <c r="N2162" s="25"/>
      <c r="O2162" s="27"/>
      <c r="P2162" s="7"/>
      <c r="Q2162" s="16">
        <f>+IF(IFERROR(VLOOKUP(Tabla3[[#This Row],[Cliente factura]],Tabla4[[NIT]:[TOTAL CREDITO]],3,FALSE),0)="",0,IFERROR(VLOOKUP(Tabla3[[#This Row],[Cliente factura]],Tabla4[[NIT]:[TOTAL CREDITO]],3,FALSE),0))</f>
        <v>0</v>
      </c>
      <c r="R2162" s="9">
        <f>+IFERROR(VLOOKUP(Tabla3[[#This Row],[Cliente factura]],Tabla4[[NIT]:[TOTAL CREDITO]],6,FALSE),0)</f>
        <v>0</v>
      </c>
      <c r="S2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2" s="10" t="e">
        <f>VLOOKUP(Tabla3[[#This Row],[Razón social cliente factura]]&amp;Tabla3[[#This Row],[Desc. ciudad]],'Estandar de Rutas'!$C$1:$E$553,2,FALSE)</f>
        <v>#N/A</v>
      </c>
      <c r="U2162" s="130">
        <f>IFERROR(VLOOKUP(Tabla3[[#This Row],[Referencia]]&amp;Tabla3[[#This Row],[Desc detalle ext 1]],Tabla1[[Referencia-Color]:[Disponibilidad]],3,FALSE),0)</f>
        <v>0</v>
      </c>
      <c r="V2162" s="13"/>
      <c r="W2162" s="24">
        <f>+Tabla3[[#This Row],[Cant. Programada]]*Tabla3[[#This Row],[Precio unit]]</f>
        <v>0</v>
      </c>
      <c r="X2162" s="8"/>
      <c r="Y2162" s="8"/>
      <c r="Z2162" s="8" t="str">
        <f>+Tabla3[[#This Row],[Referencia]]&amp;Tabla3[[#This Row],[Desc detalle ext 1]]</f>
        <v/>
      </c>
      <c r="AA2162" s="128" t="e">
        <f>+VLOOKUP(Tabla3[[#This Row],[CODIGO2]],ESTANDAR!$B$3:$C$9,2,FALSE)</f>
        <v>#N/A</v>
      </c>
      <c r="AB2162" s="128" t="str">
        <f>+MID(Tabla3[[#This Row],['# Viaje]],10,1)</f>
        <v/>
      </c>
    </row>
    <row r="2163" spans="1:28" ht="15" hidden="1" customHeight="1">
      <c r="A2163" s="25"/>
      <c r="B2163" s="26"/>
      <c r="C2163" s="25"/>
      <c r="D2163" s="25"/>
      <c r="E2163" s="25"/>
      <c r="F2163" s="25"/>
      <c r="G2163" s="25"/>
      <c r="H2163" s="25"/>
      <c r="I2163" s="25"/>
      <c r="J2163" s="25"/>
      <c r="K2163" s="25"/>
      <c r="L2163" s="26"/>
      <c r="M2163" s="25"/>
      <c r="N2163" s="25"/>
      <c r="O2163" s="27"/>
      <c r="P2163" s="7"/>
      <c r="Q2163" s="16">
        <f>+IF(IFERROR(VLOOKUP(Tabla3[[#This Row],[Cliente factura]],Tabla4[[NIT]:[TOTAL CREDITO]],3,FALSE),0)="",0,IFERROR(VLOOKUP(Tabla3[[#This Row],[Cliente factura]],Tabla4[[NIT]:[TOTAL CREDITO]],3,FALSE),0))</f>
        <v>0</v>
      </c>
      <c r="R2163" s="9">
        <f>+IFERROR(VLOOKUP(Tabla3[[#This Row],[Cliente factura]],Tabla4[[NIT]:[TOTAL CREDITO]],6,FALSE),0)</f>
        <v>0</v>
      </c>
      <c r="S2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3" s="10" t="e">
        <f>VLOOKUP(Tabla3[[#This Row],[Razón social cliente factura]]&amp;Tabla3[[#This Row],[Desc. ciudad]],'Estandar de Rutas'!$C$1:$E$553,2,FALSE)</f>
        <v>#N/A</v>
      </c>
      <c r="U2163" s="130">
        <f>IFERROR(VLOOKUP(Tabla3[[#This Row],[Referencia]]&amp;Tabla3[[#This Row],[Desc detalle ext 1]],Tabla1[[Referencia-Color]:[Disponibilidad]],3,FALSE),0)</f>
        <v>0</v>
      </c>
      <c r="V2163" s="13"/>
      <c r="W2163" s="24">
        <f>+Tabla3[[#This Row],[Cant. Programada]]*Tabla3[[#This Row],[Precio unit]]</f>
        <v>0</v>
      </c>
      <c r="X2163" s="8"/>
      <c r="Y2163" s="8"/>
      <c r="Z2163" s="8" t="str">
        <f>+Tabla3[[#This Row],[Referencia]]&amp;Tabla3[[#This Row],[Desc detalle ext 1]]</f>
        <v/>
      </c>
      <c r="AA2163" s="128" t="e">
        <f>+VLOOKUP(Tabla3[[#This Row],[CODIGO2]],ESTANDAR!$B$3:$C$9,2,FALSE)</f>
        <v>#N/A</v>
      </c>
      <c r="AB2163" s="128" t="str">
        <f>+MID(Tabla3[[#This Row],['# Viaje]],10,1)</f>
        <v/>
      </c>
    </row>
    <row r="2164" spans="1:28" ht="15" hidden="1" customHeight="1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6"/>
      <c r="M2164" s="25"/>
      <c r="N2164" s="25"/>
      <c r="O2164" s="27"/>
      <c r="P2164" s="7"/>
      <c r="Q2164" s="16">
        <f>+IF(IFERROR(VLOOKUP(Tabla3[[#This Row],[Cliente factura]],Tabla4[[NIT]:[TOTAL CREDITO]],3,FALSE),0)="",0,IFERROR(VLOOKUP(Tabla3[[#This Row],[Cliente factura]],Tabla4[[NIT]:[TOTAL CREDITO]],3,FALSE),0))</f>
        <v>0</v>
      </c>
      <c r="R2164" s="9">
        <f>+IFERROR(VLOOKUP(Tabla3[[#This Row],[Cliente factura]],Tabla4[[NIT]:[TOTAL CREDITO]],6,FALSE),0)</f>
        <v>0</v>
      </c>
      <c r="S2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4" s="10" t="e">
        <f>VLOOKUP(Tabla3[[#This Row],[Razón social cliente factura]]&amp;Tabla3[[#This Row],[Desc. ciudad]],'Estandar de Rutas'!$C$1:$E$553,2,FALSE)</f>
        <v>#N/A</v>
      </c>
      <c r="U2164" s="130">
        <f>IFERROR(VLOOKUP(Tabla3[[#This Row],[Referencia]]&amp;Tabla3[[#This Row],[Desc detalle ext 1]],Tabla1[[Referencia-Color]:[Disponibilidad]],3,FALSE),0)</f>
        <v>0</v>
      </c>
      <c r="V2164" s="13"/>
      <c r="W2164" s="24">
        <f>+Tabla3[[#This Row],[Cant. Programada]]*Tabla3[[#This Row],[Precio unit]]</f>
        <v>0</v>
      </c>
      <c r="X2164" s="8"/>
      <c r="Y2164" s="8"/>
      <c r="Z2164" s="8" t="str">
        <f>+Tabla3[[#This Row],[Referencia]]&amp;Tabla3[[#This Row],[Desc detalle ext 1]]</f>
        <v/>
      </c>
      <c r="AA2164" s="128" t="e">
        <f>+VLOOKUP(Tabla3[[#This Row],[CODIGO2]],ESTANDAR!$B$3:$C$9,2,FALSE)</f>
        <v>#N/A</v>
      </c>
      <c r="AB2164" s="128" t="str">
        <f>+MID(Tabla3[[#This Row],['# Viaje]],10,1)</f>
        <v/>
      </c>
    </row>
    <row r="2165" spans="1:28" ht="15" hidden="1" customHeight="1">
      <c r="A2165" s="25"/>
      <c r="B2165" s="26"/>
      <c r="C2165" s="25"/>
      <c r="D2165" s="25"/>
      <c r="E2165" s="25"/>
      <c r="F2165" s="25"/>
      <c r="G2165" s="25"/>
      <c r="H2165" s="25"/>
      <c r="I2165" s="25"/>
      <c r="J2165" s="25"/>
      <c r="K2165" s="25"/>
      <c r="L2165" s="26"/>
      <c r="M2165" s="25"/>
      <c r="N2165" s="25"/>
      <c r="O2165" s="27"/>
      <c r="P2165" s="7"/>
      <c r="Q2165" s="16">
        <f>+IF(IFERROR(VLOOKUP(Tabla3[[#This Row],[Cliente factura]],Tabla4[[NIT]:[TOTAL CREDITO]],3,FALSE),0)="",0,IFERROR(VLOOKUP(Tabla3[[#This Row],[Cliente factura]],Tabla4[[NIT]:[TOTAL CREDITO]],3,FALSE),0))</f>
        <v>0</v>
      </c>
      <c r="R2165" s="9">
        <f>+IFERROR(VLOOKUP(Tabla3[[#This Row],[Cliente factura]],Tabla4[[NIT]:[TOTAL CREDITO]],6,FALSE),0)</f>
        <v>0</v>
      </c>
      <c r="S2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5" s="10" t="e">
        <f>VLOOKUP(Tabla3[[#This Row],[Razón social cliente factura]]&amp;Tabla3[[#This Row],[Desc. ciudad]],'Estandar de Rutas'!$C$1:$E$553,2,FALSE)</f>
        <v>#N/A</v>
      </c>
      <c r="U2165" s="130">
        <f>IFERROR(VLOOKUP(Tabla3[[#This Row],[Referencia]]&amp;Tabla3[[#This Row],[Desc detalle ext 1]],Tabla1[[Referencia-Color]:[Disponibilidad]],3,FALSE),0)</f>
        <v>0</v>
      </c>
      <c r="V2165" s="13"/>
      <c r="W2165" s="24">
        <f>+Tabla3[[#This Row],[Cant. Programada]]*Tabla3[[#This Row],[Precio unit]]</f>
        <v>0</v>
      </c>
      <c r="X2165" s="8"/>
      <c r="Y2165" s="8"/>
      <c r="Z2165" s="8" t="str">
        <f>+Tabla3[[#This Row],[Referencia]]&amp;Tabla3[[#This Row],[Desc detalle ext 1]]</f>
        <v/>
      </c>
      <c r="AA2165" s="128" t="e">
        <f>+VLOOKUP(Tabla3[[#This Row],[CODIGO2]],ESTANDAR!$B$3:$C$9,2,FALSE)</f>
        <v>#N/A</v>
      </c>
      <c r="AB2165" s="128" t="str">
        <f>+MID(Tabla3[[#This Row],['# Viaje]],10,1)</f>
        <v/>
      </c>
    </row>
    <row r="2166" spans="1:28" ht="15" hidden="1" customHeight="1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6"/>
      <c r="M2166" s="25"/>
      <c r="N2166" s="25"/>
      <c r="O2166" s="27"/>
      <c r="P2166" s="7"/>
      <c r="Q2166" s="16">
        <f>+IF(IFERROR(VLOOKUP(Tabla3[[#This Row],[Cliente factura]],Tabla4[[NIT]:[TOTAL CREDITO]],3,FALSE),0)="",0,IFERROR(VLOOKUP(Tabla3[[#This Row],[Cliente factura]],Tabla4[[NIT]:[TOTAL CREDITO]],3,FALSE),0))</f>
        <v>0</v>
      </c>
      <c r="R2166" s="9">
        <f>+IFERROR(VLOOKUP(Tabla3[[#This Row],[Cliente factura]],Tabla4[[NIT]:[TOTAL CREDITO]],6,FALSE),0)</f>
        <v>0</v>
      </c>
      <c r="S2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6" s="10" t="e">
        <f>VLOOKUP(Tabla3[[#This Row],[Razón social cliente factura]]&amp;Tabla3[[#This Row],[Desc. ciudad]],'Estandar de Rutas'!$C$1:$E$553,2,FALSE)</f>
        <v>#N/A</v>
      </c>
      <c r="U2166" s="130">
        <f>IFERROR(VLOOKUP(Tabla3[[#This Row],[Referencia]]&amp;Tabla3[[#This Row],[Desc detalle ext 1]],Tabla1[[Referencia-Color]:[Disponibilidad]],3,FALSE),0)</f>
        <v>0</v>
      </c>
      <c r="V2166" s="13"/>
      <c r="W2166" s="24">
        <f>+Tabla3[[#This Row],[Cant. Programada]]*Tabla3[[#This Row],[Precio unit]]</f>
        <v>0</v>
      </c>
      <c r="X2166" s="8"/>
      <c r="Y2166" s="8"/>
      <c r="Z2166" s="8" t="str">
        <f>+Tabla3[[#This Row],[Referencia]]&amp;Tabla3[[#This Row],[Desc detalle ext 1]]</f>
        <v/>
      </c>
      <c r="AA2166" s="128" t="e">
        <f>+VLOOKUP(Tabla3[[#This Row],[CODIGO2]],ESTANDAR!$B$3:$C$9,2,FALSE)</f>
        <v>#N/A</v>
      </c>
      <c r="AB2166" s="128" t="str">
        <f>+MID(Tabla3[[#This Row],['# Viaje]],10,1)</f>
        <v/>
      </c>
    </row>
    <row r="2167" spans="1:28" ht="15" hidden="1" customHeight="1">
      <c r="A2167" s="25"/>
      <c r="B2167" s="26"/>
      <c r="C2167" s="25"/>
      <c r="D2167" s="25"/>
      <c r="E2167" s="25"/>
      <c r="F2167" s="25"/>
      <c r="G2167" s="25"/>
      <c r="H2167" s="25"/>
      <c r="I2167" s="25"/>
      <c r="J2167" s="25"/>
      <c r="K2167" s="25"/>
      <c r="L2167" s="26"/>
      <c r="M2167" s="25"/>
      <c r="N2167" s="25"/>
      <c r="O2167" s="27"/>
      <c r="P2167" s="7"/>
      <c r="Q2167" s="16">
        <f>+IF(IFERROR(VLOOKUP(Tabla3[[#This Row],[Cliente factura]],Tabla4[[NIT]:[TOTAL CREDITO]],3,FALSE),0)="",0,IFERROR(VLOOKUP(Tabla3[[#This Row],[Cliente factura]],Tabla4[[NIT]:[TOTAL CREDITO]],3,FALSE),0))</f>
        <v>0</v>
      </c>
      <c r="R2167" s="9">
        <f>+IFERROR(VLOOKUP(Tabla3[[#This Row],[Cliente factura]],Tabla4[[NIT]:[TOTAL CREDITO]],6,FALSE),0)</f>
        <v>0</v>
      </c>
      <c r="S2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7" s="10" t="e">
        <f>VLOOKUP(Tabla3[[#This Row],[Razón social cliente factura]]&amp;Tabla3[[#This Row],[Desc. ciudad]],'Estandar de Rutas'!$C$1:$E$553,2,FALSE)</f>
        <v>#N/A</v>
      </c>
      <c r="U2167" s="130">
        <f>IFERROR(VLOOKUP(Tabla3[[#This Row],[Referencia]]&amp;Tabla3[[#This Row],[Desc detalle ext 1]],Tabla1[[Referencia-Color]:[Disponibilidad]],3,FALSE),0)</f>
        <v>0</v>
      </c>
      <c r="V2167" s="13"/>
      <c r="W2167" s="24">
        <f>+Tabla3[[#This Row],[Cant. Programada]]*Tabla3[[#This Row],[Precio unit]]</f>
        <v>0</v>
      </c>
      <c r="X2167" s="8"/>
      <c r="Y2167" s="8"/>
      <c r="Z2167" s="8" t="str">
        <f>+Tabla3[[#This Row],[Referencia]]&amp;Tabla3[[#This Row],[Desc detalle ext 1]]</f>
        <v/>
      </c>
      <c r="AA2167" s="128" t="e">
        <f>+VLOOKUP(Tabla3[[#This Row],[CODIGO2]],ESTANDAR!$B$3:$C$9,2,FALSE)</f>
        <v>#N/A</v>
      </c>
      <c r="AB2167" s="128" t="str">
        <f>+MID(Tabla3[[#This Row],['# Viaje]],10,1)</f>
        <v/>
      </c>
    </row>
    <row r="2168" spans="1:28" ht="15" hidden="1" customHeight="1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6"/>
      <c r="M2168" s="25"/>
      <c r="N2168" s="25"/>
      <c r="O2168" s="27"/>
      <c r="P2168" s="7"/>
      <c r="Q2168" s="16">
        <f>+IF(IFERROR(VLOOKUP(Tabla3[[#This Row],[Cliente factura]],Tabla4[[NIT]:[TOTAL CREDITO]],3,FALSE),0)="",0,IFERROR(VLOOKUP(Tabla3[[#This Row],[Cliente factura]],Tabla4[[NIT]:[TOTAL CREDITO]],3,FALSE),0))</f>
        <v>0</v>
      </c>
      <c r="R2168" s="9">
        <f>+IFERROR(VLOOKUP(Tabla3[[#This Row],[Cliente factura]],Tabla4[[NIT]:[TOTAL CREDITO]],6,FALSE),0)</f>
        <v>0</v>
      </c>
      <c r="S2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8" s="10" t="e">
        <f>VLOOKUP(Tabla3[[#This Row],[Razón social cliente factura]]&amp;Tabla3[[#This Row],[Desc. ciudad]],'Estandar de Rutas'!$C$1:$E$553,2,FALSE)</f>
        <v>#N/A</v>
      </c>
      <c r="U2168" s="130">
        <f>IFERROR(VLOOKUP(Tabla3[[#This Row],[Referencia]]&amp;Tabla3[[#This Row],[Desc detalle ext 1]],Tabla1[[Referencia-Color]:[Disponibilidad]],3,FALSE),0)</f>
        <v>0</v>
      </c>
      <c r="V2168" s="13"/>
      <c r="W2168" s="24">
        <f>+Tabla3[[#This Row],[Cant. Programada]]*Tabla3[[#This Row],[Precio unit]]</f>
        <v>0</v>
      </c>
      <c r="X2168" s="8"/>
      <c r="Y2168" s="8"/>
      <c r="Z2168" s="8" t="str">
        <f>+Tabla3[[#This Row],[Referencia]]&amp;Tabla3[[#This Row],[Desc detalle ext 1]]</f>
        <v/>
      </c>
      <c r="AA2168" s="128" t="e">
        <f>+VLOOKUP(Tabla3[[#This Row],[CODIGO2]],ESTANDAR!$B$3:$C$9,2,FALSE)</f>
        <v>#N/A</v>
      </c>
      <c r="AB2168" s="128" t="str">
        <f>+MID(Tabla3[[#This Row],['# Viaje]],10,1)</f>
        <v/>
      </c>
    </row>
    <row r="2169" spans="1:28" ht="15" hidden="1" customHeight="1">
      <c r="A2169" s="25"/>
      <c r="B2169" s="26"/>
      <c r="C2169" s="25"/>
      <c r="D2169" s="25"/>
      <c r="E2169" s="25"/>
      <c r="F2169" s="25"/>
      <c r="G2169" s="25"/>
      <c r="H2169" s="25"/>
      <c r="I2169" s="25"/>
      <c r="J2169" s="25"/>
      <c r="K2169" s="25"/>
      <c r="L2169" s="26"/>
      <c r="M2169" s="25"/>
      <c r="N2169" s="25"/>
      <c r="O2169" s="27"/>
      <c r="P2169" s="7"/>
      <c r="Q2169" s="16">
        <f>+IF(IFERROR(VLOOKUP(Tabla3[[#This Row],[Cliente factura]],Tabla4[[NIT]:[TOTAL CREDITO]],3,FALSE),0)="",0,IFERROR(VLOOKUP(Tabla3[[#This Row],[Cliente factura]],Tabla4[[NIT]:[TOTAL CREDITO]],3,FALSE),0))</f>
        <v>0</v>
      </c>
      <c r="R2169" s="9">
        <f>+IFERROR(VLOOKUP(Tabla3[[#This Row],[Cliente factura]],Tabla4[[NIT]:[TOTAL CREDITO]],6,FALSE),0)</f>
        <v>0</v>
      </c>
      <c r="S2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9" s="10" t="e">
        <f>VLOOKUP(Tabla3[[#This Row],[Razón social cliente factura]]&amp;Tabla3[[#This Row],[Desc. ciudad]],'Estandar de Rutas'!$C$1:$E$553,2,FALSE)</f>
        <v>#N/A</v>
      </c>
      <c r="U2169" s="130">
        <f>IFERROR(VLOOKUP(Tabla3[[#This Row],[Referencia]]&amp;Tabla3[[#This Row],[Desc detalle ext 1]],Tabla1[[Referencia-Color]:[Disponibilidad]],3,FALSE),0)</f>
        <v>0</v>
      </c>
      <c r="V2169" s="13"/>
      <c r="W2169" s="24">
        <f>+Tabla3[[#This Row],[Cant. Programada]]*Tabla3[[#This Row],[Precio unit]]</f>
        <v>0</v>
      </c>
      <c r="X2169" s="8"/>
      <c r="Y2169" s="8"/>
      <c r="Z2169" s="8" t="str">
        <f>+Tabla3[[#This Row],[Referencia]]&amp;Tabla3[[#This Row],[Desc detalle ext 1]]</f>
        <v/>
      </c>
      <c r="AA2169" s="128" t="e">
        <f>+VLOOKUP(Tabla3[[#This Row],[CODIGO2]],ESTANDAR!$B$3:$C$9,2,FALSE)</f>
        <v>#N/A</v>
      </c>
      <c r="AB2169" s="128" t="str">
        <f>+MID(Tabla3[[#This Row],['# Viaje]],10,1)</f>
        <v/>
      </c>
    </row>
    <row r="2170" spans="1:28" ht="15" hidden="1" customHeight="1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6"/>
      <c r="M2170" s="25"/>
      <c r="N2170" s="25"/>
      <c r="O2170" s="27"/>
      <c r="P2170" s="7"/>
      <c r="Q2170" s="16">
        <f>+IF(IFERROR(VLOOKUP(Tabla3[[#This Row],[Cliente factura]],Tabla4[[NIT]:[TOTAL CREDITO]],3,FALSE),0)="",0,IFERROR(VLOOKUP(Tabla3[[#This Row],[Cliente factura]],Tabla4[[NIT]:[TOTAL CREDITO]],3,FALSE),0))</f>
        <v>0</v>
      </c>
      <c r="R2170" s="9">
        <f>+IFERROR(VLOOKUP(Tabla3[[#This Row],[Cliente factura]],Tabla4[[NIT]:[TOTAL CREDITO]],6,FALSE),0)</f>
        <v>0</v>
      </c>
      <c r="S2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0" s="10" t="e">
        <f>VLOOKUP(Tabla3[[#This Row],[Razón social cliente factura]]&amp;Tabla3[[#This Row],[Desc. ciudad]],'Estandar de Rutas'!$C$1:$E$553,2,FALSE)</f>
        <v>#N/A</v>
      </c>
      <c r="U2170" s="130">
        <f>IFERROR(VLOOKUP(Tabla3[[#This Row],[Referencia]]&amp;Tabla3[[#This Row],[Desc detalle ext 1]],Tabla1[[Referencia-Color]:[Disponibilidad]],3,FALSE),0)</f>
        <v>0</v>
      </c>
      <c r="V2170" s="13"/>
      <c r="W2170" s="24">
        <f>+Tabla3[[#This Row],[Cant. Programada]]*Tabla3[[#This Row],[Precio unit]]</f>
        <v>0</v>
      </c>
      <c r="X2170" s="8"/>
      <c r="Y2170" s="8"/>
      <c r="Z2170" s="8" t="str">
        <f>+Tabla3[[#This Row],[Referencia]]&amp;Tabla3[[#This Row],[Desc detalle ext 1]]</f>
        <v/>
      </c>
      <c r="AA2170" s="128" t="e">
        <f>+VLOOKUP(Tabla3[[#This Row],[CODIGO2]],ESTANDAR!$B$3:$C$9,2,FALSE)</f>
        <v>#N/A</v>
      </c>
      <c r="AB2170" s="128" t="str">
        <f>+MID(Tabla3[[#This Row],['# Viaje]],10,1)</f>
        <v/>
      </c>
    </row>
    <row r="2171" spans="1:28" ht="15" hidden="1" customHeight="1">
      <c r="A2171" s="25"/>
      <c r="B2171" s="26"/>
      <c r="C2171" s="25"/>
      <c r="D2171" s="25"/>
      <c r="E2171" s="25"/>
      <c r="F2171" s="25"/>
      <c r="G2171" s="25"/>
      <c r="H2171" s="25"/>
      <c r="I2171" s="25"/>
      <c r="J2171" s="25"/>
      <c r="K2171" s="25"/>
      <c r="L2171" s="26"/>
      <c r="M2171" s="25"/>
      <c r="N2171" s="25"/>
      <c r="O2171" s="27"/>
      <c r="P2171" s="7"/>
      <c r="Q2171" s="16">
        <f>+IF(IFERROR(VLOOKUP(Tabla3[[#This Row],[Cliente factura]],Tabla4[[NIT]:[TOTAL CREDITO]],3,FALSE),0)="",0,IFERROR(VLOOKUP(Tabla3[[#This Row],[Cliente factura]],Tabla4[[NIT]:[TOTAL CREDITO]],3,FALSE),0))</f>
        <v>0</v>
      </c>
      <c r="R2171" s="9">
        <f>+IFERROR(VLOOKUP(Tabla3[[#This Row],[Cliente factura]],Tabla4[[NIT]:[TOTAL CREDITO]],6,FALSE),0)</f>
        <v>0</v>
      </c>
      <c r="S2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1" s="10" t="e">
        <f>VLOOKUP(Tabla3[[#This Row],[Razón social cliente factura]]&amp;Tabla3[[#This Row],[Desc. ciudad]],'Estandar de Rutas'!$C$1:$E$553,2,FALSE)</f>
        <v>#N/A</v>
      </c>
      <c r="U2171" s="130">
        <f>IFERROR(VLOOKUP(Tabla3[[#This Row],[Referencia]]&amp;Tabla3[[#This Row],[Desc detalle ext 1]],Tabla1[[Referencia-Color]:[Disponibilidad]],3,FALSE),0)</f>
        <v>0</v>
      </c>
      <c r="V2171" s="13"/>
      <c r="W2171" s="24">
        <f>+Tabla3[[#This Row],[Cant. Programada]]*Tabla3[[#This Row],[Precio unit]]</f>
        <v>0</v>
      </c>
      <c r="X2171" s="8"/>
      <c r="Y2171" s="8"/>
      <c r="Z2171" s="8" t="str">
        <f>+Tabla3[[#This Row],[Referencia]]&amp;Tabla3[[#This Row],[Desc detalle ext 1]]</f>
        <v/>
      </c>
      <c r="AA2171" s="128" t="e">
        <f>+VLOOKUP(Tabla3[[#This Row],[CODIGO2]],ESTANDAR!$B$3:$C$9,2,FALSE)</f>
        <v>#N/A</v>
      </c>
      <c r="AB2171" s="128" t="str">
        <f>+MID(Tabla3[[#This Row],['# Viaje]],10,1)</f>
        <v/>
      </c>
    </row>
    <row r="2172" spans="1:28" ht="15" hidden="1" customHeight="1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6"/>
      <c r="M2172" s="25"/>
      <c r="N2172" s="25"/>
      <c r="O2172" s="27"/>
      <c r="P2172" s="7"/>
      <c r="Q2172" s="16">
        <f>+IF(IFERROR(VLOOKUP(Tabla3[[#This Row],[Cliente factura]],Tabla4[[NIT]:[TOTAL CREDITO]],3,FALSE),0)="",0,IFERROR(VLOOKUP(Tabla3[[#This Row],[Cliente factura]],Tabla4[[NIT]:[TOTAL CREDITO]],3,FALSE),0))</f>
        <v>0</v>
      </c>
      <c r="R2172" s="9">
        <f>+IFERROR(VLOOKUP(Tabla3[[#This Row],[Cliente factura]],Tabla4[[NIT]:[TOTAL CREDITO]],6,FALSE),0)</f>
        <v>0</v>
      </c>
      <c r="S2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2" s="10" t="e">
        <f>VLOOKUP(Tabla3[[#This Row],[Razón social cliente factura]]&amp;Tabla3[[#This Row],[Desc. ciudad]],'Estandar de Rutas'!$C$1:$E$553,2,FALSE)</f>
        <v>#N/A</v>
      </c>
      <c r="U2172" s="130">
        <f>IFERROR(VLOOKUP(Tabla3[[#This Row],[Referencia]]&amp;Tabla3[[#This Row],[Desc detalle ext 1]],Tabla1[[Referencia-Color]:[Disponibilidad]],3,FALSE),0)</f>
        <v>0</v>
      </c>
      <c r="V2172" s="13"/>
      <c r="W2172" s="24">
        <f>+Tabla3[[#This Row],[Cant. Programada]]*Tabla3[[#This Row],[Precio unit]]</f>
        <v>0</v>
      </c>
      <c r="X2172" s="8"/>
      <c r="Y2172" s="8"/>
      <c r="Z2172" s="8" t="str">
        <f>+Tabla3[[#This Row],[Referencia]]&amp;Tabla3[[#This Row],[Desc detalle ext 1]]</f>
        <v/>
      </c>
      <c r="AA2172" s="128" t="e">
        <f>+VLOOKUP(Tabla3[[#This Row],[CODIGO2]],ESTANDAR!$B$3:$C$9,2,FALSE)</f>
        <v>#N/A</v>
      </c>
      <c r="AB2172" s="128" t="str">
        <f>+MID(Tabla3[[#This Row],['# Viaje]],10,1)</f>
        <v/>
      </c>
    </row>
    <row r="2173" spans="1:28" ht="15" hidden="1" customHeight="1">
      <c r="A2173" s="25"/>
      <c r="B2173" s="26"/>
      <c r="C2173" s="25"/>
      <c r="D2173" s="25"/>
      <c r="E2173" s="25"/>
      <c r="F2173" s="25"/>
      <c r="G2173" s="25"/>
      <c r="H2173" s="25"/>
      <c r="I2173" s="25"/>
      <c r="J2173" s="25"/>
      <c r="K2173" s="25"/>
      <c r="L2173" s="26"/>
      <c r="M2173" s="25"/>
      <c r="N2173" s="25"/>
      <c r="O2173" s="27"/>
      <c r="P2173" s="7"/>
      <c r="Q2173" s="16">
        <f>+IF(IFERROR(VLOOKUP(Tabla3[[#This Row],[Cliente factura]],Tabla4[[NIT]:[TOTAL CREDITO]],3,FALSE),0)="",0,IFERROR(VLOOKUP(Tabla3[[#This Row],[Cliente factura]],Tabla4[[NIT]:[TOTAL CREDITO]],3,FALSE),0))</f>
        <v>0</v>
      </c>
      <c r="R2173" s="9">
        <f>+IFERROR(VLOOKUP(Tabla3[[#This Row],[Cliente factura]],Tabla4[[NIT]:[TOTAL CREDITO]],6,FALSE),0)</f>
        <v>0</v>
      </c>
      <c r="S2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3" s="10" t="e">
        <f>VLOOKUP(Tabla3[[#This Row],[Razón social cliente factura]]&amp;Tabla3[[#This Row],[Desc. ciudad]],'Estandar de Rutas'!$C$1:$E$553,2,FALSE)</f>
        <v>#N/A</v>
      </c>
      <c r="U2173" s="130">
        <f>IFERROR(VLOOKUP(Tabla3[[#This Row],[Referencia]]&amp;Tabla3[[#This Row],[Desc detalle ext 1]],Tabla1[[Referencia-Color]:[Disponibilidad]],3,FALSE),0)</f>
        <v>0</v>
      </c>
      <c r="V2173" s="13"/>
      <c r="W2173" s="24">
        <f>+Tabla3[[#This Row],[Cant. Programada]]*Tabla3[[#This Row],[Precio unit]]</f>
        <v>0</v>
      </c>
      <c r="X2173" s="8"/>
      <c r="Y2173" s="8"/>
      <c r="Z2173" s="8" t="str">
        <f>+Tabla3[[#This Row],[Referencia]]&amp;Tabla3[[#This Row],[Desc detalle ext 1]]</f>
        <v/>
      </c>
      <c r="AA2173" s="128" t="e">
        <f>+VLOOKUP(Tabla3[[#This Row],[CODIGO2]],ESTANDAR!$B$3:$C$9,2,FALSE)</f>
        <v>#N/A</v>
      </c>
      <c r="AB2173" s="128" t="str">
        <f>+MID(Tabla3[[#This Row],['# Viaje]],10,1)</f>
        <v/>
      </c>
    </row>
    <row r="2174" spans="1:28" ht="15" hidden="1" customHeight="1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6"/>
      <c r="M2174" s="25"/>
      <c r="N2174" s="25"/>
      <c r="O2174" s="27"/>
      <c r="P2174" s="7"/>
      <c r="Q2174" s="16">
        <f>+IF(IFERROR(VLOOKUP(Tabla3[[#This Row],[Cliente factura]],Tabla4[[NIT]:[TOTAL CREDITO]],3,FALSE),0)="",0,IFERROR(VLOOKUP(Tabla3[[#This Row],[Cliente factura]],Tabla4[[NIT]:[TOTAL CREDITO]],3,FALSE),0))</f>
        <v>0</v>
      </c>
      <c r="R2174" s="9">
        <f>+IFERROR(VLOOKUP(Tabla3[[#This Row],[Cliente factura]],Tabla4[[NIT]:[TOTAL CREDITO]],6,FALSE),0)</f>
        <v>0</v>
      </c>
      <c r="S2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4" s="10" t="e">
        <f>VLOOKUP(Tabla3[[#This Row],[Razón social cliente factura]]&amp;Tabla3[[#This Row],[Desc. ciudad]],'Estandar de Rutas'!$C$1:$E$553,2,FALSE)</f>
        <v>#N/A</v>
      </c>
      <c r="U2174" s="130">
        <f>IFERROR(VLOOKUP(Tabla3[[#This Row],[Referencia]]&amp;Tabla3[[#This Row],[Desc detalle ext 1]],Tabla1[[Referencia-Color]:[Disponibilidad]],3,FALSE),0)</f>
        <v>0</v>
      </c>
      <c r="V2174" s="13"/>
      <c r="W2174" s="24">
        <f>+Tabla3[[#This Row],[Cant. Programada]]*Tabla3[[#This Row],[Precio unit]]</f>
        <v>0</v>
      </c>
      <c r="X2174" s="8"/>
      <c r="Y2174" s="8"/>
      <c r="Z2174" s="8" t="str">
        <f>+Tabla3[[#This Row],[Referencia]]&amp;Tabla3[[#This Row],[Desc detalle ext 1]]</f>
        <v/>
      </c>
      <c r="AA2174" s="128" t="e">
        <f>+VLOOKUP(Tabla3[[#This Row],[CODIGO2]],ESTANDAR!$B$3:$C$9,2,FALSE)</f>
        <v>#N/A</v>
      </c>
      <c r="AB2174" s="128" t="str">
        <f>+MID(Tabla3[[#This Row],['# Viaje]],10,1)</f>
        <v/>
      </c>
    </row>
    <row r="2175" spans="1:28" ht="15" hidden="1" customHeight="1">
      <c r="A2175" s="25"/>
      <c r="B2175" s="26"/>
      <c r="C2175" s="25"/>
      <c r="D2175" s="25"/>
      <c r="E2175" s="25"/>
      <c r="F2175" s="25"/>
      <c r="G2175" s="25"/>
      <c r="H2175" s="25"/>
      <c r="I2175" s="25"/>
      <c r="J2175" s="25"/>
      <c r="K2175" s="25"/>
      <c r="L2175" s="26"/>
      <c r="M2175" s="25"/>
      <c r="N2175" s="25"/>
      <c r="O2175" s="27"/>
      <c r="P2175" s="7"/>
      <c r="Q2175" s="16">
        <f>+IF(IFERROR(VLOOKUP(Tabla3[[#This Row],[Cliente factura]],Tabla4[[NIT]:[TOTAL CREDITO]],3,FALSE),0)="",0,IFERROR(VLOOKUP(Tabla3[[#This Row],[Cliente factura]],Tabla4[[NIT]:[TOTAL CREDITO]],3,FALSE),0))</f>
        <v>0</v>
      </c>
      <c r="R2175" s="9">
        <f>+IFERROR(VLOOKUP(Tabla3[[#This Row],[Cliente factura]],Tabla4[[NIT]:[TOTAL CREDITO]],6,FALSE),0)</f>
        <v>0</v>
      </c>
      <c r="S2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5" s="10" t="e">
        <f>VLOOKUP(Tabla3[[#This Row],[Razón social cliente factura]]&amp;Tabla3[[#This Row],[Desc. ciudad]],'Estandar de Rutas'!$C$1:$E$553,2,FALSE)</f>
        <v>#N/A</v>
      </c>
      <c r="U2175" s="130">
        <f>IFERROR(VLOOKUP(Tabla3[[#This Row],[Referencia]]&amp;Tabla3[[#This Row],[Desc detalle ext 1]],Tabla1[[Referencia-Color]:[Disponibilidad]],3,FALSE),0)</f>
        <v>0</v>
      </c>
      <c r="V2175" s="13"/>
      <c r="W2175" s="24">
        <f>+Tabla3[[#This Row],[Cant. Programada]]*Tabla3[[#This Row],[Precio unit]]</f>
        <v>0</v>
      </c>
      <c r="X2175" s="8"/>
      <c r="Y2175" s="8"/>
      <c r="Z2175" s="8" t="str">
        <f>+Tabla3[[#This Row],[Referencia]]&amp;Tabla3[[#This Row],[Desc detalle ext 1]]</f>
        <v/>
      </c>
      <c r="AA2175" s="128" t="e">
        <f>+VLOOKUP(Tabla3[[#This Row],[CODIGO2]],ESTANDAR!$B$3:$C$9,2,FALSE)</f>
        <v>#N/A</v>
      </c>
      <c r="AB2175" s="128" t="str">
        <f>+MID(Tabla3[[#This Row],['# Viaje]],10,1)</f>
        <v/>
      </c>
    </row>
    <row r="2176" spans="1:28" ht="15" hidden="1" customHeight="1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6"/>
      <c r="M2176" s="25"/>
      <c r="N2176" s="25"/>
      <c r="O2176" s="27"/>
      <c r="P2176" s="7"/>
      <c r="Q2176" s="16">
        <f>+IF(IFERROR(VLOOKUP(Tabla3[[#This Row],[Cliente factura]],Tabla4[[NIT]:[TOTAL CREDITO]],3,FALSE),0)="",0,IFERROR(VLOOKUP(Tabla3[[#This Row],[Cliente factura]],Tabla4[[NIT]:[TOTAL CREDITO]],3,FALSE),0))</f>
        <v>0</v>
      </c>
      <c r="R2176" s="9">
        <f>+IFERROR(VLOOKUP(Tabla3[[#This Row],[Cliente factura]],Tabla4[[NIT]:[TOTAL CREDITO]],6,FALSE),0)</f>
        <v>0</v>
      </c>
      <c r="S2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6" s="10" t="e">
        <f>VLOOKUP(Tabla3[[#This Row],[Razón social cliente factura]]&amp;Tabla3[[#This Row],[Desc. ciudad]],'Estandar de Rutas'!$C$1:$E$553,2,FALSE)</f>
        <v>#N/A</v>
      </c>
      <c r="U2176" s="130">
        <f>IFERROR(VLOOKUP(Tabla3[[#This Row],[Referencia]]&amp;Tabla3[[#This Row],[Desc detalle ext 1]],Tabla1[[Referencia-Color]:[Disponibilidad]],3,FALSE),0)</f>
        <v>0</v>
      </c>
      <c r="V2176" s="13"/>
      <c r="W2176" s="24">
        <f>+Tabla3[[#This Row],[Cant. Programada]]*Tabla3[[#This Row],[Precio unit]]</f>
        <v>0</v>
      </c>
      <c r="X2176" s="8"/>
      <c r="Y2176" s="8"/>
      <c r="Z2176" s="8" t="str">
        <f>+Tabla3[[#This Row],[Referencia]]&amp;Tabla3[[#This Row],[Desc detalle ext 1]]</f>
        <v/>
      </c>
      <c r="AA2176" s="128" t="e">
        <f>+VLOOKUP(Tabla3[[#This Row],[CODIGO2]],ESTANDAR!$B$3:$C$9,2,FALSE)</f>
        <v>#N/A</v>
      </c>
      <c r="AB2176" s="128" t="str">
        <f>+MID(Tabla3[[#This Row],['# Viaje]],10,1)</f>
        <v/>
      </c>
    </row>
    <row r="2177" spans="1:28" ht="15" hidden="1" customHeight="1">
      <c r="A2177" s="25"/>
      <c r="B2177" s="26"/>
      <c r="C2177" s="25"/>
      <c r="D2177" s="25"/>
      <c r="E2177" s="25"/>
      <c r="F2177" s="25"/>
      <c r="G2177" s="25"/>
      <c r="H2177" s="25"/>
      <c r="I2177" s="25"/>
      <c r="J2177" s="25"/>
      <c r="K2177" s="25"/>
      <c r="L2177" s="26"/>
      <c r="M2177" s="25"/>
      <c r="N2177" s="25"/>
      <c r="O2177" s="27"/>
      <c r="P2177" s="7"/>
      <c r="Q2177" s="16">
        <f>+IF(IFERROR(VLOOKUP(Tabla3[[#This Row],[Cliente factura]],Tabla4[[NIT]:[TOTAL CREDITO]],3,FALSE),0)="",0,IFERROR(VLOOKUP(Tabla3[[#This Row],[Cliente factura]],Tabla4[[NIT]:[TOTAL CREDITO]],3,FALSE),0))</f>
        <v>0</v>
      </c>
      <c r="R2177" s="9">
        <f>+IFERROR(VLOOKUP(Tabla3[[#This Row],[Cliente factura]],Tabla4[[NIT]:[TOTAL CREDITO]],6,FALSE),0)</f>
        <v>0</v>
      </c>
      <c r="S2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7" s="10" t="e">
        <f>VLOOKUP(Tabla3[[#This Row],[Razón social cliente factura]]&amp;Tabla3[[#This Row],[Desc. ciudad]],'Estandar de Rutas'!$C$1:$E$553,2,FALSE)</f>
        <v>#N/A</v>
      </c>
      <c r="U2177" s="130">
        <f>IFERROR(VLOOKUP(Tabla3[[#This Row],[Referencia]]&amp;Tabla3[[#This Row],[Desc detalle ext 1]],Tabla1[[Referencia-Color]:[Disponibilidad]],3,FALSE),0)</f>
        <v>0</v>
      </c>
      <c r="V2177" s="13"/>
      <c r="W2177" s="24">
        <f>+Tabla3[[#This Row],[Cant. Programada]]*Tabla3[[#This Row],[Precio unit]]</f>
        <v>0</v>
      </c>
      <c r="X2177" s="8"/>
      <c r="Y2177" s="8"/>
      <c r="Z2177" s="8" t="str">
        <f>+Tabla3[[#This Row],[Referencia]]&amp;Tabla3[[#This Row],[Desc detalle ext 1]]</f>
        <v/>
      </c>
      <c r="AA2177" s="128" t="e">
        <f>+VLOOKUP(Tabla3[[#This Row],[CODIGO2]],ESTANDAR!$B$3:$C$9,2,FALSE)</f>
        <v>#N/A</v>
      </c>
      <c r="AB2177" s="128" t="str">
        <f>+MID(Tabla3[[#This Row],['# Viaje]],10,1)</f>
        <v/>
      </c>
    </row>
    <row r="2178" spans="1:28" ht="15" hidden="1" customHeight="1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6"/>
      <c r="M2178" s="25"/>
      <c r="N2178" s="25"/>
      <c r="O2178" s="27"/>
      <c r="P2178" s="7"/>
      <c r="Q2178" s="16">
        <f>+IF(IFERROR(VLOOKUP(Tabla3[[#This Row],[Cliente factura]],Tabla4[[NIT]:[TOTAL CREDITO]],3,FALSE),0)="",0,IFERROR(VLOOKUP(Tabla3[[#This Row],[Cliente factura]],Tabla4[[NIT]:[TOTAL CREDITO]],3,FALSE),0))</f>
        <v>0</v>
      </c>
      <c r="R2178" s="9">
        <f>+IFERROR(VLOOKUP(Tabla3[[#This Row],[Cliente factura]],Tabla4[[NIT]:[TOTAL CREDITO]],6,FALSE),0)</f>
        <v>0</v>
      </c>
      <c r="S217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8" s="10" t="e">
        <f>VLOOKUP(Tabla3[[#This Row],[Razón social cliente factura]]&amp;Tabla3[[#This Row],[Desc. ciudad]],'Estandar de Rutas'!$C$1:$E$553,2,FALSE)</f>
        <v>#N/A</v>
      </c>
      <c r="U2178" s="130">
        <f>IFERROR(VLOOKUP(Tabla3[[#This Row],[Referencia]]&amp;Tabla3[[#This Row],[Desc detalle ext 1]],Tabla1[[Referencia-Color]:[Disponibilidad]],3,FALSE),0)</f>
        <v>0</v>
      </c>
      <c r="V2178" s="13"/>
      <c r="W2178" s="24">
        <f>+Tabla3[[#This Row],[Cant. Programada]]*Tabla3[[#This Row],[Precio unit]]</f>
        <v>0</v>
      </c>
      <c r="X2178" s="8"/>
      <c r="Y2178" s="8"/>
      <c r="Z2178" s="8" t="str">
        <f>+Tabla3[[#This Row],[Referencia]]&amp;Tabla3[[#This Row],[Desc detalle ext 1]]</f>
        <v/>
      </c>
      <c r="AA2178" s="128" t="e">
        <f>+VLOOKUP(Tabla3[[#This Row],[CODIGO2]],ESTANDAR!$B$3:$C$9,2,FALSE)</f>
        <v>#N/A</v>
      </c>
      <c r="AB2178" s="128" t="str">
        <f>+MID(Tabla3[[#This Row],['# Viaje]],10,1)</f>
        <v/>
      </c>
    </row>
    <row r="2179" spans="1:28" ht="15" hidden="1" customHeight="1">
      <c r="A2179" s="25"/>
      <c r="B2179" s="26"/>
      <c r="C2179" s="25"/>
      <c r="D2179" s="25"/>
      <c r="E2179" s="25"/>
      <c r="F2179" s="25"/>
      <c r="G2179" s="25"/>
      <c r="H2179" s="25"/>
      <c r="I2179" s="25"/>
      <c r="J2179" s="25"/>
      <c r="K2179" s="25"/>
      <c r="L2179" s="26"/>
      <c r="M2179" s="25"/>
      <c r="N2179" s="25"/>
      <c r="O2179" s="27"/>
      <c r="P2179" s="7"/>
      <c r="Q2179" s="16">
        <f>+IF(IFERROR(VLOOKUP(Tabla3[[#This Row],[Cliente factura]],Tabla4[[NIT]:[TOTAL CREDITO]],3,FALSE),0)="",0,IFERROR(VLOOKUP(Tabla3[[#This Row],[Cliente factura]],Tabla4[[NIT]:[TOTAL CREDITO]],3,FALSE),0))</f>
        <v>0</v>
      </c>
      <c r="R2179" s="9">
        <f>+IFERROR(VLOOKUP(Tabla3[[#This Row],[Cliente factura]],Tabla4[[NIT]:[TOTAL CREDITO]],6,FALSE),0)</f>
        <v>0</v>
      </c>
      <c r="S217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9" s="10" t="e">
        <f>VLOOKUP(Tabla3[[#This Row],[Razón social cliente factura]]&amp;Tabla3[[#This Row],[Desc. ciudad]],'Estandar de Rutas'!$C$1:$E$553,2,FALSE)</f>
        <v>#N/A</v>
      </c>
      <c r="U2179" s="130">
        <f>IFERROR(VLOOKUP(Tabla3[[#This Row],[Referencia]]&amp;Tabla3[[#This Row],[Desc detalle ext 1]],Tabla1[[Referencia-Color]:[Disponibilidad]],3,FALSE),0)</f>
        <v>0</v>
      </c>
      <c r="V2179" s="13"/>
      <c r="W2179" s="24">
        <f>+Tabla3[[#This Row],[Cant. Programada]]*Tabla3[[#This Row],[Precio unit]]</f>
        <v>0</v>
      </c>
      <c r="X2179" s="8"/>
      <c r="Y2179" s="8"/>
      <c r="Z2179" s="8" t="str">
        <f>+Tabla3[[#This Row],[Referencia]]&amp;Tabla3[[#This Row],[Desc detalle ext 1]]</f>
        <v/>
      </c>
      <c r="AA2179" s="128" t="e">
        <f>+VLOOKUP(Tabla3[[#This Row],[CODIGO2]],ESTANDAR!$B$3:$C$9,2,FALSE)</f>
        <v>#N/A</v>
      </c>
      <c r="AB2179" s="128" t="str">
        <f>+MID(Tabla3[[#This Row],['# Viaje]],10,1)</f>
        <v/>
      </c>
    </row>
    <row r="2180" spans="1:28" ht="15" hidden="1" customHeight="1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6"/>
      <c r="M2180" s="25"/>
      <c r="N2180" s="25"/>
      <c r="O2180" s="27"/>
      <c r="P2180" s="7"/>
      <c r="Q2180" s="16">
        <f>+IF(IFERROR(VLOOKUP(Tabla3[[#This Row],[Cliente factura]],Tabla4[[NIT]:[TOTAL CREDITO]],3,FALSE),0)="",0,IFERROR(VLOOKUP(Tabla3[[#This Row],[Cliente factura]],Tabla4[[NIT]:[TOTAL CREDITO]],3,FALSE),0))</f>
        <v>0</v>
      </c>
      <c r="R2180" s="9">
        <f>+IFERROR(VLOOKUP(Tabla3[[#This Row],[Cliente factura]],Tabla4[[NIT]:[TOTAL CREDITO]],6,FALSE),0)</f>
        <v>0</v>
      </c>
      <c r="S218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0" s="10" t="e">
        <f>VLOOKUP(Tabla3[[#This Row],[Razón social cliente factura]]&amp;Tabla3[[#This Row],[Desc. ciudad]],'Estandar de Rutas'!$C$1:$E$553,2,FALSE)</f>
        <v>#N/A</v>
      </c>
      <c r="U2180" s="130">
        <f>IFERROR(VLOOKUP(Tabla3[[#This Row],[Referencia]]&amp;Tabla3[[#This Row],[Desc detalle ext 1]],Tabla1[[Referencia-Color]:[Disponibilidad]],3,FALSE),0)</f>
        <v>0</v>
      </c>
      <c r="V2180" s="13"/>
      <c r="W2180" s="24">
        <f>+Tabla3[[#This Row],[Cant. Programada]]*Tabla3[[#This Row],[Precio unit]]</f>
        <v>0</v>
      </c>
      <c r="X2180" s="8"/>
      <c r="Y2180" s="8"/>
      <c r="Z2180" s="8" t="str">
        <f>+Tabla3[[#This Row],[Referencia]]&amp;Tabla3[[#This Row],[Desc detalle ext 1]]</f>
        <v/>
      </c>
      <c r="AA2180" s="128" t="e">
        <f>+VLOOKUP(Tabla3[[#This Row],[CODIGO2]],ESTANDAR!$B$3:$C$9,2,FALSE)</f>
        <v>#N/A</v>
      </c>
      <c r="AB2180" s="128" t="str">
        <f>+MID(Tabla3[[#This Row],['# Viaje]],10,1)</f>
        <v/>
      </c>
    </row>
    <row r="2181" spans="1:28" ht="15" hidden="1" customHeight="1">
      <c r="A2181" s="25"/>
      <c r="B2181" s="26"/>
      <c r="C2181" s="25"/>
      <c r="D2181" s="25"/>
      <c r="E2181" s="25"/>
      <c r="F2181" s="25"/>
      <c r="G2181" s="25"/>
      <c r="H2181" s="25"/>
      <c r="I2181" s="25"/>
      <c r="J2181" s="25"/>
      <c r="K2181" s="25"/>
      <c r="L2181" s="26"/>
      <c r="M2181" s="25"/>
      <c r="N2181" s="25"/>
      <c r="O2181" s="27"/>
      <c r="P2181" s="7"/>
      <c r="Q2181" s="16">
        <f>+IF(IFERROR(VLOOKUP(Tabla3[[#This Row],[Cliente factura]],Tabla4[[NIT]:[TOTAL CREDITO]],3,FALSE),0)="",0,IFERROR(VLOOKUP(Tabla3[[#This Row],[Cliente factura]],Tabla4[[NIT]:[TOTAL CREDITO]],3,FALSE),0))</f>
        <v>0</v>
      </c>
      <c r="R2181" s="9">
        <f>+IFERROR(VLOOKUP(Tabla3[[#This Row],[Cliente factura]],Tabla4[[NIT]:[TOTAL CREDITO]],6,FALSE),0)</f>
        <v>0</v>
      </c>
      <c r="S218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1" s="10" t="e">
        <f>VLOOKUP(Tabla3[[#This Row],[Razón social cliente factura]]&amp;Tabla3[[#This Row],[Desc. ciudad]],'Estandar de Rutas'!$C$1:$E$553,2,FALSE)</f>
        <v>#N/A</v>
      </c>
      <c r="U2181" s="130">
        <f>IFERROR(VLOOKUP(Tabla3[[#This Row],[Referencia]]&amp;Tabla3[[#This Row],[Desc detalle ext 1]],Tabla1[[Referencia-Color]:[Disponibilidad]],3,FALSE),0)</f>
        <v>0</v>
      </c>
      <c r="V2181" s="13"/>
      <c r="W2181" s="24">
        <f>+Tabla3[[#This Row],[Cant. Programada]]*Tabla3[[#This Row],[Precio unit]]</f>
        <v>0</v>
      </c>
      <c r="X2181" s="8"/>
      <c r="Y2181" s="8"/>
      <c r="Z2181" s="8" t="str">
        <f>+Tabla3[[#This Row],[Referencia]]&amp;Tabla3[[#This Row],[Desc detalle ext 1]]</f>
        <v/>
      </c>
      <c r="AA2181" s="128" t="e">
        <f>+VLOOKUP(Tabla3[[#This Row],[CODIGO2]],ESTANDAR!$B$3:$C$9,2,FALSE)</f>
        <v>#N/A</v>
      </c>
      <c r="AB2181" s="128" t="str">
        <f>+MID(Tabla3[[#This Row],['# Viaje]],10,1)</f>
        <v/>
      </c>
    </row>
    <row r="2182" spans="1:28" ht="15" hidden="1" customHeight="1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6"/>
      <c r="M2182" s="25"/>
      <c r="N2182" s="25"/>
      <c r="O2182" s="27"/>
      <c r="P2182" s="7"/>
      <c r="Q2182" s="16">
        <f>+IF(IFERROR(VLOOKUP(Tabla3[[#This Row],[Cliente factura]],Tabla4[[NIT]:[TOTAL CREDITO]],3,FALSE),0)="",0,IFERROR(VLOOKUP(Tabla3[[#This Row],[Cliente factura]],Tabla4[[NIT]:[TOTAL CREDITO]],3,FALSE),0))</f>
        <v>0</v>
      </c>
      <c r="R2182" s="9">
        <f>+IFERROR(VLOOKUP(Tabla3[[#This Row],[Cliente factura]],Tabla4[[NIT]:[TOTAL CREDITO]],6,FALSE),0)</f>
        <v>0</v>
      </c>
      <c r="S218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2" s="10" t="e">
        <f>VLOOKUP(Tabla3[[#This Row],[Razón social cliente factura]]&amp;Tabla3[[#This Row],[Desc. ciudad]],'Estandar de Rutas'!$C$1:$E$553,2,FALSE)</f>
        <v>#N/A</v>
      </c>
      <c r="U2182" s="130">
        <f>IFERROR(VLOOKUP(Tabla3[[#This Row],[Referencia]]&amp;Tabla3[[#This Row],[Desc detalle ext 1]],Tabla1[[Referencia-Color]:[Disponibilidad]],3,FALSE),0)</f>
        <v>0</v>
      </c>
      <c r="V2182" s="13"/>
      <c r="W2182" s="24">
        <f>+Tabla3[[#This Row],[Cant. Programada]]*Tabla3[[#This Row],[Precio unit]]</f>
        <v>0</v>
      </c>
      <c r="X2182" s="8"/>
      <c r="Y2182" s="8"/>
      <c r="Z2182" s="8" t="str">
        <f>+Tabla3[[#This Row],[Referencia]]&amp;Tabla3[[#This Row],[Desc detalle ext 1]]</f>
        <v/>
      </c>
      <c r="AA2182" s="128" t="e">
        <f>+VLOOKUP(Tabla3[[#This Row],[CODIGO2]],ESTANDAR!$B$3:$C$9,2,FALSE)</f>
        <v>#N/A</v>
      </c>
      <c r="AB2182" s="128" t="str">
        <f>+MID(Tabla3[[#This Row],['# Viaje]],10,1)</f>
        <v/>
      </c>
    </row>
    <row r="2183" spans="1:28" ht="15" hidden="1" customHeight="1">
      <c r="A2183" s="25"/>
      <c r="B2183" s="26"/>
      <c r="C2183" s="25"/>
      <c r="D2183" s="25"/>
      <c r="E2183" s="25"/>
      <c r="F2183" s="25"/>
      <c r="G2183" s="25"/>
      <c r="H2183" s="25"/>
      <c r="I2183" s="25"/>
      <c r="J2183" s="25"/>
      <c r="K2183" s="25"/>
      <c r="L2183" s="26"/>
      <c r="M2183" s="25"/>
      <c r="N2183" s="25"/>
      <c r="O2183" s="27"/>
      <c r="P2183" s="7"/>
      <c r="Q2183" s="16">
        <f>+IF(IFERROR(VLOOKUP(Tabla3[[#This Row],[Cliente factura]],Tabla4[[NIT]:[TOTAL CREDITO]],3,FALSE),0)="",0,IFERROR(VLOOKUP(Tabla3[[#This Row],[Cliente factura]],Tabla4[[NIT]:[TOTAL CREDITO]],3,FALSE),0))</f>
        <v>0</v>
      </c>
      <c r="R2183" s="9">
        <f>+IFERROR(VLOOKUP(Tabla3[[#This Row],[Cliente factura]],Tabla4[[NIT]:[TOTAL CREDITO]],6,FALSE),0)</f>
        <v>0</v>
      </c>
      <c r="S218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3" s="10" t="e">
        <f>VLOOKUP(Tabla3[[#This Row],[Razón social cliente factura]]&amp;Tabla3[[#This Row],[Desc. ciudad]],'Estandar de Rutas'!$C$1:$E$553,2,FALSE)</f>
        <v>#N/A</v>
      </c>
      <c r="U2183" s="130">
        <f>IFERROR(VLOOKUP(Tabla3[[#This Row],[Referencia]]&amp;Tabla3[[#This Row],[Desc detalle ext 1]],Tabla1[[Referencia-Color]:[Disponibilidad]],3,FALSE),0)</f>
        <v>0</v>
      </c>
      <c r="V2183" s="13"/>
      <c r="W2183" s="24">
        <f>+Tabla3[[#This Row],[Cant. Programada]]*Tabla3[[#This Row],[Precio unit]]</f>
        <v>0</v>
      </c>
      <c r="X2183" s="8"/>
      <c r="Y2183" s="8"/>
      <c r="Z2183" s="8" t="str">
        <f>+Tabla3[[#This Row],[Referencia]]&amp;Tabla3[[#This Row],[Desc detalle ext 1]]</f>
        <v/>
      </c>
      <c r="AA2183" s="128" t="e">
        <f>+VLOOKUP(Tabla3[[#This Row],[CODIGO2]],ESTANDAR!$B$3:$C$9,2,FALSE)</f>
        <v>#N/A</v>
      </c>
      <c r="AB2183" s="128" t="str">
        <f>+MID(Tabla3[[#This Row],['# Viaje]],10,1)</f>
        <v/>
      </c>
    </row>
    <row r="2184" spans="1:28" ht="15" hidden="1" customHeight="1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6"/>
      <c r="M2184" s="25"/>
      <c r="N2184" s="25"/>
      <c r="O2184" s="27"/>
      <c r="P2184" s="7"/>
      <c r="Q2184" s="16">
        <f>+IF(IFERROR(VLOOKUP(Tabla3[[#This Row],[Cliente factura]],Tabla4[[NIT]:[TOTAL CREDITO]],3,FALSE),0)="",0,IFERROR(VLOOKUP(Tabla3[[#This Row],[Cliente factura]],Tabla4[[NIT]:[TOTAL CREDITO]],3,FALSE),0))</f>
        <v>0</v>
      </c>
      <c r="R2184" s="9">
        <f>+IFERROR(VLOOKUP(Tabla3[[#This Row],[Cliente factura]],Tabla4[[NIT]:[TOTAL CREDITO]],6,FALSE),0)</f>
        <v>0</v>
      </c>
      <c r="S2184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4" s="10" t="e">
        <f>VLOOKUP(Tabla3[[#This Row],[Razón social cliente factura]]&amp;Tabla3[[#This Row],[Desc. ciudad]],'Estandar de Rutas'!$C$1:$E$553,2,FALSE)</f>
        <v>#N/A</v>
      </c>
      <c r="U2184" s="130">
        <f>IFERROR(VLOOKUP(Tabla3[[#This Row],[Referencia]]&amp;Tabla3[[#This Row],[Desc detalle ext 1]],Tabla1[[Referencia-Color]:[Disponibilidad]],3,FALSE),0)</f>
        <v>0</v>
      </c>
      <c r="V2184" s="13"/>
      <c r="W2184" s="24">
        <f>+Tabla3[[#This Row],[Cant. Programada]]*Tabla3[[#This Row],[Precio unit]]</f>
        <v>0</v>
      </c>
      <c r="X2184" s="8"/>
      <c r="Y2184" s="8"/>
      <c r="Z2184" s="8" t="str">
        <f>+Tabla3[[#This Row],[Referencia]]&amp;Tabla3[[#This Row],[Desc detalle ext 1]]</f>
        <v/>
      </c>
      <c r="AA2184" s="128" t="e">
        <f>+VLOOKUP(Tabla3[[#This Row],[CODIGO2]],ESTANDAR!$B$3:$C$9,2,FALSE)</f>
        <v>#N/A</v>
      </c>
      <c r="AB2184" s="128" t="str">
        <f>+MID(Tabla3[[#This Row],['# Viaje]],10,1)</f>
        <v/>
      </c>
    </row>
    <row r="2185" spans="1:28" ht="15" hidden="1" customHeight="1">
      <c r="A2185" s="25"/>
      <c r="B2185" s="26"/>
      <c r="C2185" s="25"/>
      <c r="D2185" s="25"/>
      <c r="E2185" s="25"/>
      <c r="F2185" s="25"/>
      <c r="G2185" s="25"/>
      <c r="H2185" s="25"/>
      <c r="I2185" s="25"/>
      <c r="J2185" s="25"/>
      <c r="K2185" s="25"/>
      <c r="L2185" s="26"/>
      <c r="M2185" s="25"/>
      <c r="N2185" s="25"/>
      <c r="O2185" s="27"/>
      <c r="P2185" s="7"/>
      <c r="Q2185" s="16">
        <f>+IF(IFERROR(VLOOKUP(Tabla3[[#This Row],[Cliente factura]],Tabla4[[NIT]:[TOTAL CREDITO]],3,FALSE),0)="",0,IFERROR(VLOOKUP(Tabla3[[#This Row],[Cliente factura]],Tabla4[[NIT]:[TOTAL CREDITO]],3,FALSE),0))</f>
        <v>0</v>
      </c>
      <c r="R2185" s="9">
        <f>+IFERROR(VLOOKUP(Tabla3[[#This Row],[Cliente factura]],Tabla4[[NIT]:[TOTAL CREDITO]],6,FALSE),0)</f>
        <v>0</v>
      </c>
      <c r="S2185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5" s="10" t="e">
        <f>VLOOKUP(Tabla3[[#This Row],[Razón social cliente factura]]&amp;Tabla3[[#This Row],[Desc. ciudad]],'Estandar de Rutas'!$C$1:$E$553,2,FALSE)</f>
        <v>#N/A</v>
      </c>
      <c r="U2185" s="130">
        <f>IFERROR(VLOOKUP(Tabla3[[#This Row],[Referencia]]&amp;Tabla3[[#This Row],[Desc detalle ext 1]],Tabla1[[Referencia-Color]:[Disponibilidad]],3,FALSE),0)</f>
        <v>0</v>
      </c>
      <c r="V2185" s="13"/>
      <c r="W2185" s="24">
        <f>+Tabla3[[#This Row],[Cant. Programada]]*Tabla3[[#This Row],[Precio unit]]</f>
        <v>0</v>
      </c>
      <c r="X2185" s="8"/>
      <c r="Y2185" s="8"/>
      <c r="Z2185" s="8" t="str">
        <f>+Tabla3[[#This Row],[Referencia]]&amp;Tabla3[[#This Row],[Desc detalle ext 1]]</f>
        <v/>
      </c>
      <c r="AA2185" s="128" t="e">
        <f>+VLOOKUP(Tabla3[[#This Row],[CODIGO2]],ESTANDAR!$B$3:$C$9,2,FALSE)</f>
        <v>#N/A</v>
      </c>
      <c r="AB2185" s="128" t="str">
        <f>+MID(Tabla3[[#This Row],['# Viaje]],10,1)</f>
        <v/>
      </c>
    </row>
    <row r="2186" spans="1:28" ht="15" hidden="1" customHeight="1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6"/>
      <c r="M2186" s="25"/>
      <c r="N2186" s="25"/>
      <c r="O2186" s="27"/>
      <c r="P2186" s="7"/>
      <c r="Q2186" s="16">
        <f>+IF(IFERROR(VLOOKUP(Tabla3[[#This Row],[Cliente factura]],Tabla4[[NIT]:[TOTAL CREDITO]],3,FALSE),0)="",0,IFERROR(VLOOKUP(Tabla3[[#This Row],[Cliente factura]],Tabla4[[NIT]:[TOTAL CREDITO]],3,FALSE),0))</f>
        <v>0</v>
      </c>
      <c r="R2186" s="9">
        <f>+IFERROR(VLOOKUP(Tabla3[[#This Row],[Cliente factura]],Tabla4[[NIT]:[TOTAL CREDITO]],6,FALSE),0)</f>
        <v>0</v>
      </c>
      <c r="S2186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6" s="10" t="e">
        <f>VLOOKUP(Tabla3[[#This Row],[Razón social cliente factura]]&amp;Tabla3[[#This Row],[Desc. ciudad]],'Estandar de Rutas'!$C$1:$E$553,2,FALSE)</f>
        <v>#N/A</v>
      </c>
      <c r="U2186" s="130">
        <f>IFERROR(VLOOKUP(Tabla3[[#This Row],[Referencia]]&amp;Tabla3[[#This Row],[Desc detalle ext 1]],Tabla1[[Referencia-Color]:[Disponibilidad]],3,FALSE),0)</f>
        <v>0</v>
      </c>
      <c r="V2186" s="13"/>
      <c r="W2186" s="24">
        <f>+Tabla3[[#This Row],[Cant. Programada]]*Tabla3[[#This Row],[Precio unit]]</f>
        <v>0</v>
      </c>
      <c r="X2186" s="8"/>
      <c r="Y2186" s="8"/>
      <c r="Z2186" s="8" t="str">
        <f>+Tabla3[[#This Row],[Referencia]]&amp;Tabla3[[#This Row],[Desc detalle ext 1]]</f>
        <v/>
      </c>
      <c r="AA2186" s="128" t="e">
        <f>+VLOOKUP(Tabla3[[#This Row],[CODIGO2]],ESTANDAR!$B$3:$C$9,2,FALSE)</f>
        <v>#N/A</v>
      </c>
      <c r="AB2186" s="128" t="str">
        <f>+MID(Tabla3[[#This Row],['# Viaje]],10,1)</f>
        <v/>
      </c>
    </row>
    <row r="2187" spans="1:28" ht="15" hidden="1" customHeight="1">
      <c r="A2187" s="25"/>
      <c r="B2187" s="26"/>
      <c r="C2187" s="25"/>
      <c r="D2187" s="25"/>
      <c r="E2187" s="25"/>
      <c r="F2187" s="25"/>
      <c r="G2187" s="25"/>
      <c r="H2187" s="25"/>
      <c r="I2187" s="25"/>
      <c r="J2187" s="25"/>
      <c r="K2187" s="25"/>
      <c r="L2187" s="26"/>
      <c r="M2187" s="25"/>
      <c r="N2187" s="25"/>
      <c r="O2187" s="27"/>
      <c r="P2187" s="7"/>
      <c r="Q2187" s="16">
        <f>+IF(IFERROR(VLOOKUP(Tabla3[[#This Row],[Cliente factura]],Tabla4[[NIT]:[TOTAL CREDITO]],3,FALSE),0)="",0,IFERROR(VLOOKUP(Tabla3[[#This Row],[Cliente factura]],Tabla4[[NIT]:[TOTAL CREDITO]],3,FALSE),0))</f>
        <v>0</v>
      </c>
      <c r="R2187" s="9">
        <f>+IFERROR(VLOOKUP(Tabla3[[#This Row],[Cliente factura]],Tabla4[[NIT]:[TOTAL CREDITO]],6,FALSE),0)</f>
        <v>0</v>
      </c>
      <c r="S2187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7" s="10" t="e">
        <f>VLOOKUP(Tabla3[[#This Row],[Razón social cliente factura]]&amp;Tabla3[[#This Row],[Desc. ciudad]],'Estandar de Rutas'!$C$1:$E$553,2,FALSE)</f>
        <v>#N/A</v>
      </c>
      <c r="U2187" s="130">
        <f>IFERROR(VLOOKUP(Tabla3[[#This Row],[Referencia]]&amp;Tabla3[[#This Row],[Desc detalle ext 1]],Tabla1[[Referencia-Color]:[Disponibilidad]],3,FALSE),0)</f>
        <v>0</v>
      </c>
      <c r="V2187" s="13"/>
      <c r="W2187" s="24">
        <f>+Tabla3[[#This Row],[Cant. Programada]]*Tabla3[[#This Row],[Precio unit]]</f>
        <v>0</v>
      </c>
      <c r="X2187" s="8"/>
      <c r="Y2187" s="8"/>
      <c r="Z2187" s="8" t="str">
        <f>+Tabla3[[#This Row],[Referencia]]&amp;Tabla3[[#This Row],[Desc detalle ext 1]]</f>
        <v/>
      </c>
      <c r="AA2187" s="128" t="e">
        <f>+VLOOKUP(Tabla3[[#This Row],[CODIGO2]],ESTANDAR!$B$3:$C$9,2,FALSE)</f>
        <v>#N/A</v>
      </c>
      <c r="AB2187" s="128" t="str">
        <f>+MID(Tabla3[[#This Row],['# Viaje]],10,1)</f>
        <v/>
      </c>
    </row>
    <row r="2188" spans="1:28" ht="15" hidden="1" customHeight="1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6"/>
      <c r="M2188" s="25"/>
      <c r="N2188" s="25"/>
      <c r="O2188" s="27"/>
      <c r="P2188" s="7"/>
      <c r="Q2188" s="16">
        <f>+IF(IFERROR(VLOOKUP(Tabla3[[#This Row],[Cliente factura]],Tabla4[[NIT]:[TOTAL CREDITO]],3,FALSE),0)="",0,IFERROR(VLOOKUP(Tabla3[[#This Row],[Cliente factura]],Tabla4[[NIT]:[TOTAL CREDITO]],3,FALSE),0))</f>
        <v>0</v>
      </c>
      <c r="R2188" s="9">
        <f>+IFERROR(VLOOKUP(Tabla3[[#This Row],[Cliente factura]],Tabla4[[NIT]:[TOTAL CREDITO]],6,FALSE),0)</f>
        <v>0</v>
      </c>
      <c r="S218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8" s="10" t="e">
        <f>VLOOKUP(Tabla3[[#This Row],[Razón social cliente factura]]&amp;Tabla3[[#This Row],[Desc. ciudad]],'Estandar de Rutas'!$C$1:$E$553,2,FALSE)</f>
        <v>#N/A</v>
      </c>
      <c r="U2188" s="130">
        <f>IFERROR(VLOOKUP(Tabla3[[#This Row],[Referencia]]&amp;Tabla3[[#This Row],[Desc detalle ext 1]],Tabla1[[Referencia-Color]:[Disponibilidad]],3,FALSE),0)</f>
        <v>0</v>
      </c>
      <c r="V2188" s="13"/>
      <c r="W2188" s="24">
        <f>+Tabla3[[#This Row],[Cant. Programada]]*Tabla3[[#This Row],[Precio unit]]</f>
        <v>0</v>
      </c>
      <c r="X2188" s="8"/>
      <c r="Y2188" s="8"/>
      <c r="Z2188" s="8" t="str">
        <f>+Tabla3[[#This Row],[Referencia]]&amp;Tabla3[[#This Row],[Desc detalle ext 1]]</f>
        <v/>
      </c>
      <c r="AA2188" s="128" t="e">
        <f>+VLOOKUP(Tabla3[[#This Row],[CODIGO2]],ESTANDAR!$B$3:$C$9,2,FALSE)</f>
        <v>#N/A</v>
      </c>
      <c r="AB2188" s="128" t="str">
        <f>+MID(Tabla3[[#This Row],['# Viaje]],10,1)</f>
        <v/>
      </c>
    </row>
    <row r="2189" spans="1:28" ht="15" hidden="1" customHeight="1">
      <c r="A2189" s="25"/>
      <c r="B2189" s="26"/>
      <c r="C2189" s="25"/>
      <c r="D2189" s="25"/>
      <c r="E2189" s="25"/>
      <c r="F2189" s="25"/>
      <c r="G2189" s="25"/>
      <c r="H2189" s="25"/>
      <c r="I2189" s="25"/>
      <c r="J2189" s="25"/>
      <c r="K2189" s="25"/>
      <c r="L2189" s="26"/>
      <c r="M2189" s="25"/>
      <c r="N2189" s="25"/>
      <c r="O2189" s="27"/>
      <c r="P2189" s="7"/>
      <c r="Q2189" s="16">
        <f>+IF(IFERROR(VLOOKUP(Tabla3[[#This Row],[Cliente factura]],Tabla4[[NIT]:[TOTAL CREDITO]],3,FALSE),0)="",0,IFERROR(VLOOKUP(Tabla3[[#This Row],[Cliente factura]],Tabla4[[NIT]:[TOTAL CREDITO]],3,FALSE),0))</f>
        <v>0</v>
      </c>
      <c r="R2189" s="9">
        <f>+IFERROR(VLOOKUP(Tabla3[[#This Row],[Cliente factura]],Tabla4[[NIT]:[TOTAL CREDITO]],6,FALSE),0)</f>
        <v>0</v>
      </c>
      <c r="S218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9" s="10" t="e">
        <f>VLOOKUP(Tabla3[[#This Row],[Razón social cliente factura]]&amp;Tabla3[[#This Row],[Desc. ciudad]],'Estandar de Rutas'!$C$1:$E$553,2,FALSE)</f>
        <v>#N/A</v>
      </c>
      <c r="U2189" s="130">
        <f>IFERROR(VLOOKUP(Tabla3[[#This Row],[Referencia]]&amp;Tabla3[[#This Row],[Desc detalle ext 1]],Tabla1[[Referencia-Color]:[Disponibilidad]],3,FALSE),0)</f>
        <v>0</v>
      </c>
      <c r="V2189" s="13"/>
      <c r="W2189" s="24">
        <f>+Tabla3[[#This Row],[Cant. Programada]]*Tabla3[[#This Row],[Precio unit]]</f>
        <v>0</v>
      </c>
      <c r="X2189" s="8"/>
      <c r="Y2189" s="8"/>
      <c r="Z2189" s="8" t="str">
        <f>+Tabla3[[#This Row],[Referencia]]&amp;Tabla3[[#This Row],[Desc detalle ext 1]]</f>
        <v/>
      </c>
      <c r="AA2189" s="128" t="e">
        <f>+VLOOKUP(Tabla3[[#This Row],[CODIGO2]],ESTANDAR!$B$3:$C$9,2,FALSE)</f>
        <v>#N/A</v>
      </c>
      <c r="AB2189" s="128" t="str">
        <f>+MID(Tabla3[[#This Row],['# Viaje]],10,1)</f>
        <v/>
      </c>
    </row>
    <row r="2190" spans="1:28" ht="15" hidden="1" customHeight="1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6"/>
      <c r="M2190" s="25"/>
      <c r="N2190" s="25"/>
      <c r="O2190" s="27"/>
      <c r="P2190" s="7"/>
      <c r="Q2190" s="16">
        <f>+IF(IFERROR(VLOOKUP(Tabla3[[#This Row],[Cliente factura]],Tabla4[[NIT]:[TOTAL CREDITO]],3,FALSE),0)="",0,IFERROR(VLOOKUP(Tabla3[[#This Row],[Cliente factura]],Tabla4[[NIT]:[TOTAL CREDITO]],3,FALSE),0))</f>
        <v>0</v>
      </c>
      <c r="R2190" s="9">
        <f>+IFERROR(VLOOKUP(Tabla3[[#This Row],[Cliente factura]],Tabla4[[NIT]:[TOTAL CREDITO]],6,FALSE),0)</f>
        <v>0</v>
      </c>
      <c r="S219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0" s="10" t="e">
        <f>VLOOKUP(Tabla3[[#This Row],[Razón social cliente factura]]&amp;Tabla3[[#This Row],[Desc. ciudad]],'Estandar de Rutas'!$C$1:$E$553,2,FALSE)</f>
        <v>#N/A</v>
      </c>
      <c r="U2190" s="130">
        <f>IFERROR(VLOOKUP(Tabla3[[#This Row],[Referencia]]&amp;Tabla3[[#This Row],[Desc detalle ext 1]],Tabla1[[Referencia-Color]:[Disponibilidad]],3,FALSE),0)</f>
        <v>0</v>
      </c>
      <c r="V2190" s="13"/>
      <c r="W2190" s="24">
        <f>+Tabla3[[#This Row],[Cant. Programada]]*Tabla3[[#This Row],[Precio unit]]</f>
        <v>0</v>
      </c>
      <c r="X2190" s="8"/>
      <c r="Y2190" s="8"/>
      <c r="Z2190" s="8" t="str">
        <f>+Tabla3[[#This Row],[Referencia]]&amp;Tabla3[[#This Row],[Desc detalle ext 1]]</f>
        <v/>
      </c>
      <c r="AA2190" s="128" t="e">
        <f>+VLOOKUP(Tabla3[[#This Row],[CODIGO2]],ESTANDAR!$B$3:$C$9,2,FALSE)</f>
        <v>#N/A</v>
      </c>
      <c r="AB2190" s="128" t="str">
        <f>+MID(Tabla3[[#This Row],['# Viaje]],10,1)</f>
        <v/>
      </c>
    </row>
    <row r="2191" spans="1:28" ht="15" hidden="1" customHeight="1">
      <c r="A2191" s="25"/>
      <c r="B2191" s="26"/>
      <c r="C2191" s="25"/>
      <c r="D2191" s="25"/>
      <c r="E2191" s="25"/>
      <c r="F2191" s="25"/>
      <c r="G2191" s="25"/>
      <c r="H2191" s="25"/>
      <c r="I2191" s="25"/>
      <c r="J2191" s="25"/>
      <c r="K2191" s="25"/>
      <c r="L2191" s="26"/>
      <c r="M2191" s="25"/>
      <c r="N2191" s="25"/>
      <c r="O2191" s="27"/>
      <c r="P2191" s="7"/>
      <c r="Q2191" s="16">
        <f>+IF(IFERROR(VLOOKUP(Tabla3[[#This Row],[Cliente factura]],Tabla4[[NIT]:[TOTAL CREDITO]],3,FALSE),0)="",0,IFERROR(VLOOKUP(Tabla3[[#This Row],[Cliente factura]],Tabla4[[NIT]:[TOTAL CREDITO]],3,FALSE),0))</f>
        <v>0</v>
      </c>
      <c r="R2191" s="9">
        <f>+IFERROR(VLOOKUP(Tabla3[[#This Row],[Cliente factura]],Tabla4[[NIT]:[TOTAL CREDITO]],6,FALSE),0)</f>
        <v>0</v>
      </c>
      <c r="S219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1" s="10" t="e">
        <f>VLOOKUP(Tabla3[[#This Row],[Razón social cliente factura]]&amp;Tabla3[[#This Row],[Desc. ciudad]],'Estandar de Rutas'!$C$1:$E$553,2,FALSE)</f>
        <v>#N/A</v>
      </c>
      <c r="U2191" s="130">
        <f>IFERROR(VLOOKUP(Tabla3[[#This Row],[Referencia]]&amp;Tabla3[[#This Row],[Desc detalle ext 1]],Tabla1[[Referencia-Color]:[Disponibilidad]],3,FALSE),0)</f>
        <v>0</v>
      </c>
      <c r="V2191" s="13"/>
      <c r="W2191" s="24">
        <f>+Tabla3[[#This Row],[Cant. Programada]]*Tabla3[[#This Row],[Precio unit]]</f>
        <v>0</v>
      </c>
      <c r="X2191" s="8"/>
      <c r="Y2191" s="8"/>
      <c r="Z2191" s="8" t="str">
        <f>+Tabla3[[#This Row],[Referencia]]&amp;Tabla3[[#This Row],[Desc detalle ext 1]]</f>
        <v/>
      </c>
      <c r="AA2191" s="128" t="e">
        <f>+VLOOKUP(Tabla3[[#This Row],[CODIGO2]],ESTANDAR!$B$3:$C$9,2,FALSE)</f>
        <v>#N/A</v>
      </c>
      <c r="AB2191" s="128" t="str">
        <f>+MID(Tabla3[[#This Row],['# Viaje]],10,1)</f>
        <v/>
      </c>
    </row>
    <row r="2192" spans="1:28" ht="15" hidden="1" customHeight="1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6"/>
      <c r="M2192" s="25"/>
      <c r="N2192" s="25"/>
      <c r="O2192" s="27"/>
      <c r="P2192" s="7"/>
      <c r="Q2192" s="16">
        <f>+IF(IFERROR(VLOOKUP(Tabla3[[#This Row],[Cliente factura]],Tabla4[[NIT]:[TOTAL CREDITO]],3,FALSE),0)="",0,IFERROR(VLOOKUP(Tabla3[[#This Row],[Cliente factura]],Tabla4[[NIT]:[TOTAL CREDITO]],3,FALSE),0))</f>
        <v>0</v>
      </c>
      <c r="R2192" s="9">
        <f>+IFERROR(VLOOKUP(Tabla3[[#This Row],[Cliente factura]],Tabla4[[NIT]:[TOTAL CREDITO]],6,FALSE),0)</f>
        <v>0</v>
      </c>
      <c r="S219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2" s="10" t="e">
        <f>VLOOKUP(Tabla3[[#This Row],[Razón social cliente factura]]&amp;Tabla3[[#This Row],[Desc. ciudad]],'Estandar de Rutas'!$C$1:$E$553,2,FALSE)</f>
        <v>#N/A</v>
      </c>
      <c r="U2192" s="130">
        <f>IFERROR(VLOOKUP(Tabla3[[#This Row],[Referencia]]&amp;Tabla3[[#This Row],[Desc detalle ext 1]],Tabla1[[Referencia-Color]:[Disponibilidad]],3,FALSE),0)</f>
        <v>0</v>
      </c>
      <c r="V2192" s="13"/>
      <c r="W2192" s="24">
        <f>+Tabla3[[#This Row],[Cant. Programada]]*Tabla3[[#This Row],[Precio unit]]</f>
        <v>0</v>
      </c>
      <c r="X2192" s="8"/>
      <c r="Y2192" s="8"/>
      <c r="Z2192" s="8" t="str">
        <f>+Tabla3[[#This Row],[Referencia]]&amp;Tabla3[[#This Row],[Desc detalle ext 1]]</f>
        <v/>
      </c>
      <c r="AA2192" s="128" t="e">
        <f>+VLOOKUP(Tabla3[[#This Row],[CODIGO2]],ESTANDAR!$B$3:$C$9,2,FALSE)</f>
        <v>#N/A</v>
      </c>
      <c r="AB2192" s="128" t="str">
        <f>+MID(Tabla3[[#This Row],['# Viaje]],10,1)</f>
        <v/>
      </c>
    </row>
    <row r="2193" spans="1:28" ht="15" hidden="1" customHeight="1">
      <c r="A2193" s="25"/>
      <c r="B2193" s="26"/>
      <c r="C2193" s="25"/>
      <c r="D2193" s="25"/>
      <c r="E2193" s="25"/>
      <c r="F2193" s="25"/>
      <c r="G2193" s="25"/>
      <c r="H2193" s="25"/>
      <c r="I2193" s="25"/>
      <c r="J2193" s="25"/>
      <c r="K2193" s="25"/>
      <c r="L2193" s="26"/>
      <c r="M2193" s="25"/>
      <c r="N2193" s="25"/>
      <c r="O2193" s="27"/>
      <c r="P2193" s="7"/>
      <c r="Q2193" s="16">
        <f>+IF(IFERROR(VLOOKUP(Tabla3[[#This Row],[Cliente factura]],Tabla4[[NIT]:[TOTAL CREDITO]],3,FALSE),0)="",0,IFERROR(VLOOKUP(Tabla3[[#This Row],[Cliente factura]],Tabla4[[NIT]:[TOTAL CREDITO]],3,FALSE),0))</f>
        <v>0</v>
      </c>
      <c r="R2193" s="9">
        <f>+IFERROR(VLOOKUP(Tabla3[[#This Row],[Cliente factura]],Tabla4[[NIT]:[TOTAL CREDITO]],6,FALSE),0)</f>
        <v>0</v>
      </c>
      <c r="S219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3" s="10" t="e">
        <f>VLOOKUP(Tabla3[[#This Row],[Razón social cliente factura]]&amp;Tabla3[[#This Row],[Desc. ciudad]],'Estandar de Rutas'!$C$1:$E$553,2,FALSE)</f>
        <v>#N/A</v>
      </c>
      <c r="U2193" s="130">
        <f>IFERROR(VLOOKUP(Tabla3[[#This Row],[Referencia]]&amp;Tabla3[[#This Row],[Desc detalle ext 1]],Tabla1[[Referencia-Color]:[Disponibilidad]],3,FALSE),0)</f>
        <v>0</v>
      </c>
      <c r="V2193" s="13"/>
      <c r="W2193" s="24">
        <f>+Tabla3[[#This Row],[Cant. Programada]]*Tabla3[[#This Row],[Precio unit]]</f>
        <v>0</v>
      </c>
      <c r="X2193" s="8"/>
      <c r="Y2193" s="8"/>
      <c r="Z2193" s="8" t="str">
        <f>+Tabla3[[#This Row],[Referencia]]&amp;Tabla3[[#This Row],[Desc detalle ext 1]]</f>
        <v/>
      </c>
      <c r="AA2193" s="128" t="e">
        <f>+VLOOKUP(Tabla3[[#This Row],[CODIGO2]],ESTANDAR!$B$3:$C$9,2,FALSE)</f>
        <v>#N/A</v>
      </c>
      <c r="AB2193" s="128" t="str">
        <f>+MID(Tabla3[[#This Row],['# Viaje]],10,1)</f>
        <v/>
      </c>
    </row>
    <row r="2194" spans="1:28" s="5" customFormat="1">
      <c r="A2194" s="92"/>
      <c r="B2194" s="92"/>
      <c r="C2194" s="92"/>
      <c r="D2194" s="92"/>
      <c r="E2194" s="92"/>
      <c r="F2194" s="92"/>
      <c r="G2194" s="92"/>
      <c r="H2194" s="113"/>
      <c r="I2194" s="92"/>
      <c r="J2194" s="92"/>
      <c r="K2194" s="92"/>
      <c r="L2194" s="113"/>
      <c r="M2194" s="92"/>
      <c r="N2194" s="92"/>
      <c r="O2194" s="92"/>
      <c r="P2194" s="92"/>
      <c r="Q2194" s="113"/>
      <c r="R2194" s="92"/>
      <c r="S2194" s="92"/>
      <c r="T2194" s="92"/>
      <c r="U2194" s="92"/>
      <c r="V2194" s="113"/>
      <c r="W2194" s="114"/>
      <c r="X2194" s="92"/>
      <c r="Y2194" s="92"/>
      <c r="Z2194" s="92"/>
    </row>
    <row r="2195" spans="1:28" s="5" customFormat="1">
      <c r="A2195" s="92"/>
      <c r="B2195" s="92"/>
      <c r="C2195" s="92"/>
      <c r="D2195" s="92"/>
      <c r="E2195" s="92"/>
      <c r="F2195" s="92"/>
      <c r="G2195" s="92"/>
      <c r="H2195" s="113"/>
      <c r="I2195" s="92"/>
      <c r="J2195" s="92"/>
      <c r="K2195" s="92"/>
      <c r="L2195" s="113"/>
      <c r="M2195" s="92"/>
      <c r="N2195" s="92"/>
      <c r="O2195" s="92"/>
      <c r="P2195" s="92"/>
      <c r="Q2195" s="113"/>
      <c r="R2195" s="92"/>
      <c r="S2195" s="92"/>
      <c r="T2195" s="92"/>
      <c r="U2195" s="92"/>
      <c r="V2195" s="113"/>
      <c r="W2195" s="114"/>
      <c r="X2195" s="92"/>
      <c r="Y2195" s="92"/>
      <c r="Z2195" s="92"/>
    </row>
    <row r="2196" spans="1:28" s="5" customFormat="1">
      <c r="A2196" s="92"/>
      <c r="B2196" s="92"/>
      <c r="C2196" s="92"/>
      <c r="D2196" s="92"/>
      <c r="E2196" s="92"/>
      <c r="F2196" s="92"/>
      <c r="G2196" s="92"/>
      <c r="H2196" s="113"/>
      <c r="I2196" s="92"/>
      <c r="J2196" s="92"/>
      <c r="K2196" s="92"/>
      <c r="L2196" s="113"/>
      <c r="M2196" s="92"/>
      <c r="N2196" s="92"/>
      <c r="O2196" s="92"/>
      <c r="P2196" s="92"/>
      <c r="Q2196" s="113"/>
      <c r="R2196" s="92"/>
      <c r="S2196" s="92"/>
      <c r="T2196" s="92"/>
      <c r="U2196" s="92"/>
      <c r="V2196" s="113"/>
      <c r="W2196" s="114"/>
      <c r="X2196" s="92"/>
      <c r="Y2196" s="92"/>
      <c r="Z2196" s="92"/>
    </row>
    <row r="2197" spans="1:28" s="5" customFormat="1">
      <c r="A2197" s="92"/>
      <c r="B2197" s="92"/>
      <c r="C2197" s="92"/>
      <c r="D2197" s="92"/>
      <c r="E2197" s="92"/>
      <c r="F2197" s="92"/>
      <c r="G2197" s="92"/>
      <c r="H2197" s="113"/>
      <c r="I2197" s="92"/>
      <c r="J2197" s="92"/>
      <c r="K2197" s="92"/>
      <c r="L2197" s="113"/>
      <c r="M2197" s="92"/>
      <c r="N2197" s="92"/>
      <c r="O2197" s="92"/>
      <c r="P2197" s="92"/>
      <c r="Q2197" s="113"/>
      <c r="R2197" s="92"/>
      <c r="S2197" s="92"/>
      <c r="T2197" s="92"/>
      <c r="U2197" s="92"/>
      <c r="V2197" s="113"/>
      <c r="W2197" s="114"/>
      <c r="X2197" s="92"/>
      <c r="Y2197" s="92"/>
      <c r="Z2197" s="92"/>
    </row>
    <row r="2198" spans="1:28" s="5" customFormat="1">
      <c r="A2198" s="92"/>
      <c r="B2198" s="92"/>
      <c r="C2198" s="92"/>
      <c r="D2198" s="92"/>
      <c r="E2198" s="92"/>
      <c r="F2198" s="92"/>
      <c r="G2198" s="92"/>
      <c r="H2198" s="113"/>
      <c r="I2198" s="92"/>
      <c r="J2198" s="92"/>
      <c r="K2198" s="92"/>
      <c r="L2198" s="113"/>
      <c r="M2198" s="92"/>
      <c r="N2198" s="92"/>
      <c r="O2198" s="92"/>
      <c r="P2198" s="92"/>
      <c r="Q2198" s="113"/>
      <c r="R2198" s="92"/>
      <c r="S2198" s="92"/>
      <c r="T2198" s="92"/>
      <c r="U2198" s="92"/>
      <c r="V2198" s="113"/>
      <c r="W2198" s="114"/>
      <c r="X2198" s="92"/>
      <c r="Y2198" s="92"/>
      <c r="Z2198" s="92"/>
    </row>
    <row r="2199" spans="1:28" s="5" customFormat="1">
      <c r="A2199" s="92"/>
      <c r="B2199" s="92"/>
      <c r="C2199" s="92"/>
      <c r="D2199" s="92"/>
      <c r="E2199" s="92"/>
      <c r="F2199" s="92"/>
      <c r="G2199" s="92"/>
      <c r="H2199" s="113"/>
      <c r="I2199" s="92"/>
      <c r="J2199" s="92"/>
      <c r="K2199" s="92"/>
      <c r="L2199" s="113"/>
      <c r="M2199" s="92"/>
      <c r="N2199" s="92"/>
      <c r="O2199" s="92"/>
      <c r="P2199" s="92"/>
      <c r="Q2199" s="113"/>
      <c r="R2199" s="92"/>
      <c r="S2199" s="92"/>
      <c r="T2199" s="92"/>
      <c r="U2199" s="92"/>
      <c r="V2199" s="113"/>
      <c r="W2199" s="114"/>
      <c r="X2199" s="92"/>
      <c r="Y2199" s="92"/>
      <c r="Z2199" s="92"/>
    </row>
    <row r="2200" spans="1:28" s="5" customFormat="1">
      <c r="A2200" s="92"/>
      <c r="B2200" s="92"/>
      <c r="C2200" s="92"/>
      <c r="D2200" s="92"/>
      <c r="E2200" s="92"/>
      <c r="F2200" s="92"/>
      <c r="G2200" s="92"/>
      <c r="H2200" s="113"/>
      <c r="I2200" s="92"/>
      <c r="J2200" s="92"/>
      <c r="K2200" s="92"/>
      <c r="L2200" s="113"/>
      <c r="M2200" s="92"/>
      <c r="N2200" s="92"/>
      <c r="O2200" s="92"/>
      <c r="P2200" s="92"/>
      <c r="Q2200" s="113"/>
      <c r="R2200" s="92"/>
      <c r="S2200" s="92"/>
      <c r="T2200" s="92"/>
      <c r="U2200" s="92"/>
      <c r="V2200" s="113"/>
      <c r="W2200" s="114"/>
      <c r="X2200" s="92"/>
      <c r="Y2200" s="92"/>
      <c r="Z2200" s="92"/>
    </row>
    <row r="2201" spans="1:28" s="5" customFormat="1">
      <c r="A2201" s="92"/>
      <c r="B2201" s="92"/>
      <c r="C2201" s="92"/>
      <c r="D2201" s="92"/>
      <c r="E2201" s="92"/>
      <c r="F2201" s="92"/>
      <c r="G2201" s="92"/>
      <c r="H2201" s="113"/>
      <c r="I2201" s="92"/>
      <c r="J2201" s="92"/>
      <c r="K2201" s="92"/>
      <c r="L2201" s="113"/>
      <c r="M2201" s="92"/>
      <c r="N2201" s="92"/>
      <c r="O2201" s="92"/>
      <c r="P2201" s="92"/>
      <c r="Q2201" s="113"/>
      <c r="R2201" s="92"/>
      <c r="S2201" s="92"/>
      <c r="T2201" s="92"/>
      <c r="U2201" s="92"/>
      <c r="V2201" s="113"/>
      <c r="W2201" s="114"/>
      <c r="X2201" s="92"/>
      <c r="Y2201" s="92"/>
      <c r="Z2201" s="92"/>
    </row>
    <row r="2202" spans="1:28" s="5" customFormat="1">
      <c r="A2202" s="92"/>
      <c r="B2202" s="92"/>
      <c r="C2202" s="92"/>
      <c r="D2202" s="92"/>
      <c r="E2202" s="92"/>
      <c r="F2202" s="92"/>
      <c r="G2202" s="92"/>
      <c r="H2202" s="113"/>
      <c r="I2202" s="92"/>
      <c r="J2202" s="92"/>
      <c r="K2202" s="92"/>
      <c r="L2202" s="113"/>
      <c r="M2202" s="92"/>
      <c r="N2202" s="92"/>
      <c r="O2202" s="92"/>
      <c r="P2202" s="92"/>
      <c r="Q2202" s="113"/>
      <c r="R2202" s="92"/>
      <c r="S2202" s="92"/>
      <c r="T2202" s="92"/>
      <c r="U2202" s="92"/>
      <c r="V2202" s="113"/>
      <c r="W2202" s="114"/>
      <c r="X2202" s="92"/>
      <c r="Y2202" s="92"/>
      <c r="Z2202" s="92"/>
    </row>
    <row r="2203" spans="1:28" s="5" customFormat="1">
      <c r="A2203" s="92"/>
      <c r="B2203" s="92"/>
      <c r="C2203" s="92"/>
      <c r="D2203" s="92"/>
      <c r="E2203" s="92"/>
      <c r="F2203" s="92"/>
      <c r="G2203" s="92"/>
      <c r="H2203" s="113"/>
      <c r="I2203" s="92"/>
      <c r="J2203" s="92"/>
      <c r="K2203" s="92"/>
      <c r="L2203" s="113"/>
      <c r="M2203" s="92"/>
      <c r="N2203" s="92"/>
      <c r="O2203" s="92"/>
      <c r="P2203" s="92"/>
      <c r="Q2203" s="113"/>
      <c r="R2203" s="92"/>
      <c r="S2203" s="92"/>
      <c r="T2203" s="92"/>
      <c r="U2203" s="92"/>
      <c r="V2203" s="113"/>
      <c r="W2203" s="114"/>
      <c r="X2203" s="92"/>
      <c r="Y2203" s="92"/>
      <c r="Z2203" s="92"/>
    </row>
    <row r="2204" spans="1:28" s="5" customFormat="1">
      <c r="A2204" s="92"/>
      <c r="B2204" s="92"/>
      <c r="C2204" s="92"/>
      <c r="D2204" s="92"/>
      <c r="E2204" s="92"/>
      <c r="F2204" s="92"/>
      <c r="G2204" s="92"/>
      <c r="H2204" s="113"/>
      <c r="I2204" s="92"/>
      <c r="J2204" s="92"/>
      <c r="K2204" s="92"/>
      <c r="L2204" s="113"/>
      <c r="M2204" s="92"/>
      <c r="N2204" s="92"/>
      <c r="O2204" s="92"/>
      <c r="P2204" s="92"/>
      <c r="Q2204" s="113"/>
      <c r="R2204" s="92"/>
      <c r="S2204" s="92"/>
      <c r="T2204" s="92"/>
      <c r="U2204" s="92"/>
      <c r="V2204" s="113"/>
      <c r="W2204" s="114"/>
      <c r="X2204" s="92"/>
      <c r="Y2204" s="92"/>
      <c r="Z2204" s="92"/>
    </row>
    <row r="2205" spans="1:28" s="5" customFormat="1">
      <c r="A2205" s="92"/>
      <c r="B2205" s="92"/>
      <c r="C2205" s="92"/>
      <c r="D2205" s="92"/>
      <c r="E2205" s="92"/>
      <c r="F2205" s="92"/>
      <c r="G2205" s="92"/>
      <c r="H2205" s="113"/>
      <c r="I2205" s="92"/>
      <c r="J2205" s="92"/>
      <c r="K2205" s="92"/>
      <c r="L2205" s="113"/>
      <c r="M2205" s="92"/>
      <c r="N2205" s="92"/>
      <c r="O2205" s="92"/>
      <c r="P2205" s="92"/>
      <c r="Q2205" s="113"/>
      <c r="R2205" s="92"/>
      <c r="S2205" s="92"/>
      <c r="T2205" s="92"/>
      <c r="U2205" s="92"/>
      <c r="V2205" s="113"/>
      <c r="W2205" s="114"/>
      <c r="X2205" s="92"/>
      <c r="Y2205" s="92"/>
      <c r="Z2205" s="92"/>
    </row>
    <row r="2206" spans="1:28" s="5" customFormat="1">
      <c r="A2206" s="92"/>
      <c r="B2206" s="92"/>
      <c r="C2206" s="92"/>
      <c r="D2206" s="92"/>
      <c r="E2206" s="92"/>
      <c r="F2206" s="92"/>
      <c r="G2206" s="92"/>
      <c r="H2206" s="113"/>
      <c r="I2206" s="92"/>
      <c r="J2206" s="92"/>
      <c r="K2206" s="92"/>
      <c r="L2206" s="113"/>
      <c r="M2206" s="92"/>
      <c r="N2206" s="92"/>
      <c r="O2206" s="92"/>
      <c r="P2206" s="92"/>
      <c r="Q2206" s="113"/>
      <c r="R2206" s="92"/>
      <c r="S2206" s="92"/>
      <c r="T2206" s="92"/>
      <c r="U2206" s="92"/>
      <c r="V2206" s="113"/>
      <c r="W2206" s="114"/>
      <c r="X2206" s="92"/>
      <c r="Y2206" s="92"/>
      <c r="Z2206" s="92"/>
    </row>
    <row r="2207" spans="1:28" s="5" customFormat="1">
      <c r="A2207" s="92"/>
      <c r="B2207" s="92"/>
      <c r="C2207" s="92"/>
      <c r="D2207" s="92"/>
      <c r="E2207" s="92"/>
      <c r="F2207" s="92"/>
      <c r="G2207" s="92"/>
      <c r="H2207" s="113"/>
      <c r="I2207" s="92"/>
      <c r="J2207" s="92"/>
      <c r="K2207" s="92"/>
      <c r="L2207" s="113"/>
      <c r="M2207" s="92"/>
      <c r="N2207" s="92"/>
      <c r="O2207" s="92"/>
      <c r="P2207" s="92"/>
      <c r="Q2207" s="113"/>
      <c r="R2207" s="92"/>
      <c r="S2207" s="92"/>
      <c r="T2207" s="92"/>
      <c r="U2207" s="92"/>
      <c r="V2207" s="113"/>
      <c r="W2207" s="114"/>
      <c r="X2207" s="92"/>
      <c r="Y2207" s="92"/>
      <c r="Z2207" s="92"/>
    </row>
    <row r="2208" spans="1:28" s="5" customFormat="1">
      <c r="A2208" s="92"/>
      <c r="B2208" s="92"/>
      <c r="C2208" s="92"/>
      <c r="D2208" s="92"/>
      <c r="E2208" s="92"/>
      <c r="F2208" s="92"/>
      <c r="G2208" s="92"/>
      <c r="H2208" s="113"/>
      <c r="I2208" s="92"/>
      <c r="J2208" s="92"/>
      <c r="K2208" s="92"/>
      <c r="L2208" s="113"/>
      <c r="M2208" s="92"/>
      <c r="N2208" s="92"/>
      <c r="O2208" s="92"/>
      <c r="P2208" s="92"/>
      <c r="Q2208" s="113"/>
      <c r="R2208" s="92"/>
      <c r="S2208" s="92"/>
      <c r="T2208" s="92"/>
      <c r="U2208" s="92"/>
      <c r="V2208" s="113"/>
      <c r="W2208" s="114"/>
      <c r="X2208" s="92"/>
      <c r="Y2208" s="92"/>
      <c r="Z2208" s="92"/>
    </row>
    <row r="2209" spans="1:26" s="5" customFormat="1">
      <c r="A2209" s="92"/>
      <c r="B2209" s="92"/>
      <c r="C2209" s="92"/>
      <c r="D2209" s="92"/>
      <c r="E2209" s="92"/>
      <c r="F2209" s="92"/>
      <c r="G2209" s="92"/>
      <c r="H2209" s="113"/>
      <c r="I2209" s="92"/>
      <c r="J2209" s="92"/>
      <c r="K2209" s="92"/>
      <c r="L2209" s="113"/>
      <c r="M2209" s="92"/>
      <c r="N2209" s="92"/>
      <c r="O2209" s="92"/>
      <c r="P2209" s="92"/>
      <c r="Q2209" s="113"/>
      <c r="R2209" s="92"/>
      <c r="S2209" s="92"/>
      <c r="T2209" s="92"/>
      <c r="U2209" s="92"/>
      <c r="V2209" s="113"/>
      <c r="W2209" s="114"/>
      <c r="X2209" s="92"/>
      <c r="Y2209" s="92"/>
      <c r="Z2209" s="92"/>
    </row>
    <row r="2210" spans="1:26" s="5" customFormat="1">
      <c r="A2210" s="92"/>
      <c r="B2210" s="92"/>
      <c r="C2210" s="92"/>
      <c r="D2210" s="92"/>
      <c r="E2210" s="92"/>
      <c r="F2210" s="92"/>
      <c r="G2210" s="92"/>
      <c r="H2210" s="113"/>
      <c r="I2210" s="92"/>
      <c r="J2210" s="92"/>
      <c r="K2210" s="92"/>
      <c r="L2210" s="113"/>
      <c r="M2210" s="92"/>
      <c r="N2210" s="92"/>
      <c r="O2210" s="92"/>
      <c r="P2210" s="92"/>
      <c r="Q2210" s="113"/>
      <c r="R2210" s="92"/>
      <c r="S2210" s="92"/>
      <c r="T2210" s="92"/>
      <c r="U2210" s="92"/>
      <c r="V2210" s="113"/>
      <c r="W2210" s="114"/>
      <c r="X2210" s="92"/>
      <c r="Y2210" s="92"/>
      <c r="Z2210" s="92"/>
    </row>
    <row r="2211" spans="1:26" s="5" customFormat="1">
      <c r="A2211" s="92"/>
      <c r="B2211" s="92"/>
      <c r="C2211" s="92"/>
      <c r="D2211" s="92"/>
      <c r="E2211" s="92"/>
      <c r="F2211" s="92"/>
      <c r="G2211" s="92"/>
      <c r="H2211" s="113"/>
      <c r="I2211" s="92"/>
      <c r="J2211" s="92"/>
      <c r="K2211" s="92"/>
      <c r="L2211" s="113"/>
      <c r="M2211" s="92"/>
      <c r="N2211" s="92"/>
      <c r="O2211" s="92"/>
      <c r="P2211" s="92"/>
      <c r="Q2211" s="113"/>
      <c r="R2211" s="92"/>
      <c r="S2211" s="92"/>
      <c r="T2211" s="92"/>
      <c r="U2211" s="92"/>
      <c r="V2211" s="113"/>
      <c r="W2211" s="114"/>
      <c r="X2211" s="92"/>
      <c r="Y2211" s="92"/>
      <c r="Z2211" s="92"/>
    </row>
    <row r="2212" spans="1:26" s="5" customFormat="1">
      <c r="A2212" s="92"/>
      <c r="B2212" s="92"/>
      <c r="C2212" s="92"/>
      <c r="D2212" s="92"/>
      <c r="E2212" s="92"/>
      <c r="F2212" s="92"/>
      <c r="G2212" s="92"/>
      <c r="H2212" s="113"/>
      <c r="I2212" s="92"/>
      <c r="J2212" s="92"/>
      <c r="K2212" s="92"/>
      <c r="L2212" s="113"/>
      <c r="M2212" s="92"/>
      <c r="N2212" s="92"/>
      <c r="O2212" s="92"/>
      <c r="P2212" s="92"/>
      <c r="Q2212" s="113"/>
      <c r="R2212" s="92"/>
      <c r="S2212" s="92"/>
      <c r="T2212" s="92"/>
      <c r="U2212" s="92"/>
      <c r="V2212" s="113"/>
      <c r="W2212" s="114"/>
      <c r="X2212" s="92"/>
      <c r="Y2212" s="92"/>
      <c r="Z2212" s="92"/>
    </row>
    <row r="2213" spans="1:26" s="5" customFormat="1">
      <c r="A2213" s="92"/>
      <c r="B2213" s="92"/>
      <c r="C2213" s="92"/>
      <c r="D2213" s="92"/>
      <c r="E2213" s="92"/>
      <c r="F2213" s="92"/>
      <c r="G2213" s="92"/>
      <c r="H2213" s="113"/>
      <c r="I2213" s="92"/>
      <c r="J2213" s="92"/>
      <c r="K2213" s="92"/>
      <c r="L2213" s="113"/>
      <c r="M2213" s="92"/>
      <c r="N2213" s="92"/>
      <c r="O2213" s="92"/>
      <c r="P2213" s="92"/>
      <c r="Q2213" s="113"/>
      <c r="R2213" s="92"/>
      <c r="S2213" s="92"/>
      <c r="T2213" s="92"/>
      <c r="U2213" s="92"/>
      <c r="V2213" s="113"/>
      <c r="W2213" s="114"/>
      <c r="X2213" s="92"/>
      <c r="Y2213" s="92"/>
      <c r="Z2213" s="92"/>
    </row>
    <row r="2214" spans="1:26" s="5" customFormat="1">
      <c r="A2214" s="92"/>
      <c r="B2214" s="92"/>
      <c r="C2214" s="92"/>
      <c r="D2214" s="92"/>
      <c r="E2214" s="92"/>
      <c r="F2214" s="92"/>
      <c r="G2214" s="92"/>
      <c r="H2214" s="113"/>
      <c r="I2214" s="92"/>
      <c r="J2214" s="92"/>
      <c r="K2214" s="92"/>
      <c r="L2214" s="113"/>
      <c r="M2214" s="92"/>
      <c r="N2214" s="92"/>
      <c r="O2214" s="92"/>
      <c r="P2214" s="92"/>
      <c r="Q2214" s="113"/>
      <c r="R2214" s="92"/>
      <c r="S2214" s="92"/>
      <c r="T2214" s="92"/>
      <c r="U2214" s="92"/>
      <c r="V2214" s="113"/>
      <c r="W2214" s="114"/>
      <c r="X2214" s="92"/>
      <c r="Y2214" s="92"/>
      <c r="Z2214" s="92"/>
    </row>
    <row r="2215" spans="1:26" s="5" customFormat="1">
      <c r="A2215" s="92"/>
      <c r="B2215" s="92"/>
      <c r="C2215" s="92"/>
      <c r="D2215" s="92"/>
      <c r="E2215" s="92"/>
      <c r="F2215" s="92"/>
      <c r="G2215" s="92"/>
      <c r="H2215" s="113"/>
      <c r="I2215" s="92"/>
      <c r="J2215" s="92"/>
      <c r="K2215" s="92"/>
      <c r="L2215" s="113"/>
      <c r="M2215" s="92"/>
      <c r="N2215" s="92"/>
      <c r="O2215" s="92"/>
      <c r="P2215" s="92"/>
      <c r="Q2215" s="113"/>
      <c r="R2215" s="92"/>
      <c r="S2215" s="92"/>
      <c r="T2215" s="92"/>
      <c r="U2215" s="92"/>
      <c r="V2215" s="113"/>
      <c r="W2215" s="114"/>
      <c r="X2215" s="92"/>
      <c r="Y2215" s="92"/>
      <c r="Z2215" s="92"/>
    </row>
    <row r="2216" spans="1:26" s="5" customFormat="1">
      <c r="A2216" s="92"/>
      <c r="B2216" s="92"/>
      <c r="C2216" s="92"/>
      <c r="D2216" s="92"/>
      <c r="E2216" s="92"/>
      <c r="F2216" s="92"/>
      <c r="G2216" s="92"/>
      <c r="H2216" s="113"/>
      <c r="I2216" s="92"/>
      <c r="J2216" s="92"/>
      <c r="K2216" s="92"/>
      <c r="L2216" s="113"/>
      <c r="M2216" s="92"/>
      <c r="N2216" s="92"/>
      <c r="O2216" s="92"/>
      <c r="P2216" s="92"/>
      <c r="Q2216" s="113"/>
      <c r="R2216" s="92"/>
      <c r="S2216" s="92"/>
      <c r="T2216" s="92"/>
      <c r="U2216" s="92"/>
      <c r="V2216" s="113"/>
      <c r="W2216" s="114"/>
      <c r="X2216" s="92"/>
      <c r="Y2216" s="92"/>
      <c r="Z2216" s="92"/>
    </row>
    <row r="2217" spans="1:26" s="5" customFormat="1">
      <c r="A2217" s="92"/>
      <c r="B2217" s="92"/>
      <c r="C2217" s="92"/>
      <c r="D2217" s="92"/>
      <c r="E2217" s="92"/>
      <c r="F2217" s="92"/>
      <c r="G2217" s="92"/>
      <c r="H2217" s="113"/>
      <c r="I2217" s="92"/>
      <c r="J2217" s="92"/>
      <c r="K2217" s="92"/>
      <c r="L2217" s="113"/>
      <c r="M2217" s="92"/>
      <c r="N2217" s="92"/>
      <c r="O2217" s="92"/>
      <c r="P2217" s="92"/>
      <c r="Q2217" s="113"/>
      <c r="R2217" s="92"/>
      <c r="S2217" s="92"/>
      <c r="T2217" s="92"/>
      <c r="U2217" s="92"/>
      <c r="V2217" s="113"/>
      <c r="W2217" s="114"/>
      <c r="X2217" s="92"/>
      <c r="Y2217" s="92"/>
      <c r="Z2217" s="92"/>
    </row>
    <row r="2218" spans="1:26" s="5" customFormat="1">
      <c r="A2218" s="92"/>
      <c r="B2218" s="92"/>
      <c r="C2218" s="92"/>
      <c r="D2218" s="92"/>
      <c r="E2218" s="92"/>
      <c r="F2218" s="92"/>
      <c r="G2218" s="92"/>
      <c r="H2218" s="113"/>
      <c r="I2218" s="92"/>
      <c r="J2218" s="92"/>
      <c r="K2218" s="92"/>
      <c r="L2218" s="113"/>
      <c r="M2218" s="92"/>
      <c r="N2218" s="92"/>
      <c r="O2218" s="92"/>
      <c r="P2218" s="92"/>
      <c r="Q2218" s="113"/>
      <c r="R2218" s="92"/>
      <c r="S2218" s="92"/>
      <c r="T2218" s="92"/>
      <c r="U2218" s="92"/>
      <c r="V2218" s="113"/>
      <c r="W2218" s="114"/>
      <c r="X2218" s="92"/>
      <c r="Y2218" s="92"/>
      <c r="Z2218" s="92"/>
    </row>
    <row r="2219" spans="1:26" s="5" customFormat="1">
      <c r="A2219" s="92"/>
      <c r="B2219" s="92"/>
      <c r="C2219" s="92"/>
      <c r="D2219" s="92"/>
      <c r="E2219" s="92"/>
      <c r="F2219" s="92"/>
      <c r="G2219" s="92"/>
      <c r="H2219" s="113"/>
      <c r="I2219" s="92"/>
      <c r="J2219" s="92"/>
      <c r="K2219" s="92"/>
      <c r="L2219" s="113"/>
      <c r="M2219" s="92"/>
      <c r="N2219" s="92"/>
      <c r="O2219" s="92"/>
      <c r="P2219" s="92"/>
      <c r="Q2219" s="113"/>
      <c r="R2219" s="92"/>
      <c r="S2219" s="92"/>
      <c r="T2219" s="92"/>
      <c r="U2219" s="92"/>
      <c r="V2219" s="113"/>
      <c r="W2219" s="114"/>
      <c r="X2219" s="92"/>
      <c r="Y2219" s="92"/>
      <c r="Z2219" s="92"/>
    </row>
    <row r="2220" spans="1:26" s="5" customFormat="1">
      <c r="A2220" s="92"/>
      <c r="B2220" s="92"/>
      <c r="C2220" s="92"/>
      <c r="D2220" s="92"/>
      <c r="E2220" s="92"/>
      <c r="F2220" s="92"/>
      <c r="G2220" s="92"/>
      <c r="H2220" s="113"/>
      <c r="I2220" s="92"/>
      <c r="J2220" s="92"/>
      <c r="K2220" s="92"/>
      <c r="L2220" s="113"/>
      <c r="M2220" s="92"/>
      <c r="N2220" s="92"/>
      <c r="O2220" s="92"/>
      <c r="P2220" s="92"/>
      <c r="Q2220" s="113"/>
      <c r="R2220" s="92"/>
      <c r="S2220" s="92"/>
      <c r="T2220" s="92"/>
      <c r="U2220" s="92"/>
      <c r="V2220" s="113"/>
      <c r="W2220" s="114"/>
      <c r="X2220" s="92"/>
      <c r="Y2220" s="92"/>
      <c r="Z2220" s="92"/>
    </row>
    <row r="2221" spans="1:26" s="5" customFormat="1">
      <c r="A2221" s="92"/>
      <c r="B2221" s="92"/>
      <c r="C2221" s="92"/>
      <c r="D2221" s="92"/>
      <c r="E2221" s="92"/>
      <c r="F2221" s="92"/>
      <c r="G2221" s="92"/>
      <c r="H2221" s="113"/>
      <c r="I2221" s="92"/>
      <c r="J2221" s="92"/>
      <c r="K2221" s="92"/>
      <c r="L2221" s="113"/>
      <c r="M2221" s="92"/>
      <c r="N2221" s="92"/>
      <c r="O2221" s="92"/>
      <c r="P2221" s="92"/>
      <c r="Q2221" s="113"/>
      <c r="R2221" s="92"/>
      <c r="S2221" s="92"/>
      <c r="T2221" s="92"/>
      <c r="U2221" s="92"/>
      <c r="V2221" s="113"/>
      <c r="W2221" s="114"/>
      <c r="X2221" s="92"/>
      <c r="Y2221" s="92"/>
      <c r="Z2221" s="92"/>
    </row>
    <row r="2222" spans="1:26" s="5" customFormat="1">
      <c r="A2222" s="92"/>
      <c r="B2222" s="92"/>
      <c r="C2222" s="92"/>
      <c r="D2222" s="92"/>
      <c r="E2222" s="92"/>
      <c r="F2222" s="92"/>
      <c r="G2222" s="92"/>
      <c r="H2222" s="113"/>
      <c r="I2222" s="92"/>
      <c r="J2222" s="92"/>
      <c r="K2222" s="92"/>
      <c r="L2222" s="113"/>
      <c r="M2222" s="92"/>
      <c r="N2222" s="92"/>
      <c r="O2222" s="92"/>
      <c r="P2222" s="92"/>
      <c r="Q2222" s="113"/>
      <c r="R2222" s="92"/>
      <c r="S2222" s="92"/>
      <c r="T2222" s="92"/>
      <c r="U2222" s="92"/>
      <c r="V2222" s="113"/>
      <c r="W2222" s="114"/>
      <c r="X2222" s="92"/>
      <c r="Y2222" s="92"/>
      <c r="Z2222" s="92"/>
    </row>
    <row r="2223" spans="1:26" s="5" customFormat="1">
      <c r="A2223" s="92"/>
      <c r="B2223" s="92"/>
      <c r="C2223" s="92"/>
      <c r="D2223" s="92"/>
      <c r="E2223" s="92"/>
      <c r="F2223" s="92"/>
      <c r="G2223" s="92"/>
      <c r="H2223" s="113"/>
      <c r="I2223" s="92"/>
      <c r="J2223" s="92"/>
      <c r="K2223" s="92"/>
      <c r="L2223" s="113"/>
      <c r="M2223" s="92"/>
      <c r="N2223" s="92"/>
      <c r="O2223" s="92"/>
      <c r="P2223" s="92"/>
      <c r="Q2223" s="113"/>
      <c r="R2223" s="92"/>
      <c r="S2223" s="92"/>
      <c r="T2223" s="92"/>
      <c r="U2223" s="92"/>
      <c r="V2223" s="113"/>
      <c r="W2223" s="114"/>
      <c r="X2223" s="92"/>
      <c r="Y2223" s="92"/>
      <c r="Z2223" s="92"/>
    </row>
    <row r="2224" spans="1:26" s="5" customFormat="1">
      <c r="A2224" s="92"/>
      <c r="B2224" s="92"/>
      <c r="C2224" s="92"/>
      <c r="D2224" s="92"/>
      <c r="E2224" s="92"/>
      <c r="F2224" s="92"/>
      <c r="G2224" s="92"/>
      <c r="H2224" s="113"/>
      <c r="I2224" s="92"/>
      <c r="J2224" s="92"/>
      <c r="K2224" s="92"/>
      <c r="L2224" s="113"/>
      <c r="M2224" s="92"/>
      <c r="N2224" s="92"/>
      <c r="O2224" s="92"/>
      <c r="P2224" s="92"/>
      <c r="Q2224" s="113"/>
      <c r="R2224" s="92"/>
      <c r="S2224" s="92"/>
      <c r="T2224" s="92"/>
      <c r="U2224" s="92"/>
      <c r="V2224" s="113"/>
      <c r="W2224" s="114"/>
      <c r="X2224" s="92"/>
      <c r="Y2224" s="92"/>
      <c r="Z2224" s="92"/>
    </row>
    <row r="2225" spans="1:26" s="5" customFormat="1">
      <c r="A2225" s="92"/>
      <c r="B2225" s="92"/>
      <c r="C2225" s="92"/>
      <c r="D2225" s="92"/>
      <c r="E2225" s="92"/>
      <c r="F2225" s="92"/>
      <c r="G2225" s="92"/>
      <c r="H2225" s="113"/>
      <c r="I2225" s="92"/>
      <c r="J2225" s="92"/>
      <c r="K2225" s="92"/>
      <c r="L2225" s="113"/>
      <c r="M2225" s="92"/>
      <c r="N2225" s="92"/>
      <c r="O2225" s="92"/>
      <c r="P2225" s="92"/>
      <c r="Q2225" s="113"/>
      <c r="R2225" s="92"/>
      <c r="S2225" s="92"/>
      <c r="T2225" s="92"/>
      <c r="U2225" s="92"/>
      <c r="V2225" s="113"/>
      <c r="W2225" s="114"/>
      <c r="X2225" s="92"/>
      <c r="Y2225" s="92"/>
      <c r="Z2225" s="92"/>
    </row>
    <row r="2226" spans="1:26" s="5" customFormat="1">
      <c r="A2226" s="92"/>
      <c r="B2226" s="92"/>
      <c r="C2226" s="92"/>
      <c r="D2226" s="92"/>
      <c r="E2226" s="92"/>
      <c r="F2226" s="92"/>
      <c r="G2226" s="92"/>
      <c r="H2226" s="113"/>
      <c r="I2226" s="92"/>
      <c r="J2226" s="92"/>
      <c r="K2226" s="92"/>
      <c r="L2226" s="113"/>
      <c r="M2226" s="92"/>
      <c r="N2226" s="92"/>
      <c r="O2226" s="92"/>
      <c r="P2226" s="92"/>
      <c r="Q2226" s="113"/>
      <c r="R2226" s="92"/>
      <c r="S2226" s="92"/>
      <c r="T2226" s="92"/>
      <c r="U2226" s="92"/>
      <c r="V2226" s="113"/>
      <c r="W2226" s="114"/>
      <c r="X2226" s="92"/>
      <c r="Y2226" s="92"/>
      <c r="Z2226" s="92"/>
    </row>
    <row r="2227" spans="1:26" s="5" customFormat="1">
      <c r="A2227" s="92"/>
      <c r="B2227" s="92"/>
      <c r="C2227" s="92"/>
      <c r="D2227" s="92"/>
      <c r="E2227" s="92"/>
      <c r="F2227" s="92"/>
      <c r="G2227" s="92"/>
      <c r="H2227" s="113"/>
      <c r="I2227" s="92"/>
      <c r="J2227" s="92"/>
      <c r="K2227" s="92"/>
      <c r="L2227" s="113"/>
      <c r="M2227" s="92"/>
      <c r="N2227" s="92"/>
      <c r="O2227" s="92"/>
      <c r="P2227" s="92"/>
      <c r="Q2227" s="113"/>
      <c r="R2227" s="92"/>
      <c r="S2227" s="92"/>
      <c r="T2227" s="92"/>
      <c r="U2227" s="92"/>
      <c r="V2227" s="113"/>
      <c r="W2227" s="114"/>
      <c r="X2227" s="92"/>
      <c r="Y2227" s="92"/>
      <c r="Z2227" s="92"/>
    </row>
    <row r="2228" spans="1:26" s="5" customFormat="1">
      <c r="A2228" s="92"/>
      <c r="B2228" s="92"/>
      <c r="C2228" s="92"/>
      <c r="D2228" s="92"/>
      <c r="E2228" s="92"/>
      <c r="F2228" s="92"/>
      <c r="G2228" s="92"/>
      <c r="H2228" s="113"/>
      <c r="I2228" s="92"/>
      <c r="J2228" s="92"/>
      <c r="K2228" s="92"/>
      <c r="L2228" s="113"/>
      <c r="M2228" s="92"/>
      <c r="N2228" s="92"/>
      <c r="O2228" s="92"/>
      <c r="P2228" s="92"/>
      <c r="Q2228" s="113"/>
      <c r="R2228" s="92"/>
      <c r="S2228" s="92"/>
      <c r="T2228" s="92"/>
      <c r="U2228" s="92"/>
      <c r="V2228" s="113"/>
      <c r="W2228" s="114"/>
      <c r="X2228" s="92"/>
      <c r="Y2228" s="92"/>
      <c r="Z2228" s="92"/>
    </row>
    <row r="2229" spans="1:26" s="5" customFormat="1">
      <c r="A2229" s="92"/>
      <c r="B2229" s="92"/>
      <c r="C2229" s="92"/>
      <c r="D2229" s="92"/>
      <c r="E2229" s="92"/>
      <c r="F2229" s="92"/>
      <c r="G2229" s="92"/>
      <c r="H2229" s="113"/>
      <c r="I2229" s="92"/>
      <c r="J2229" s="92"/>
      <c r="K2229" s="92"/>
      <c r="L2229" s="113"/>
      <c r="M2229" s="92"/>
      <c r="N2229" s="92"/>
      <c r="O2229" s="92"/>
      <c r="P2229" s="92"/>
      <c r="Q2229" s="113"/>
      <c r="R2229" s="92"/>
      <c r="S2229" s="92"/>
      <c r="T2229" s="92"/>
      <c r="U2229" s="92"/>
      <c r="V2229" s="113"/>
      <c r="W2229" s="114"/>
      <c r="X2229" s="92"/>
      <c r="Y2229" s="92"/>
      <c r="Z2229" s="92"/>
    </row>
    <row r="2230" spans="1:26" s="5" customFormat="1">
      <c r="A2230" s="92"/>
      <c r="B2230" s="92"/>
      <c r="C2230" s="92"/>
      <c r="D2230" s="92"/>
      <c r="E2230" s="92"/>
      <c r="F2230" s="92"/>
      <c r="G2230" s="92"/>
      <c r="H2230" s="113"/>
      <c r="I2230" s="92"/>
      <c r="J2230" s="92"/>
      <c r="K2230" s="92"/>
      <c r="L2230" s="113"/>
      <c r="M2230" s="92"/>
      <c r="N2230" s="92"/>
      <c r="O2230" s="92"/>
      <c r="P2230" s="92"/>
      <c r="Q2230" s="113"/>
      <c r="R2230" s="92"/>
      <c r="S2230" s="92"/>
      <c r="T2230" s="92"/>
      <c r="U2230" s="92"/>
      <c r="V2230" s="113"/>
      <c r="W2230" s="114"/>
      <c r="X2230" s="92"/>
      <c r="Y2230" s="92"/>
      <c r="Z2230" s="92"/>
    </row>
    <row r="2231" spans="1:26" s="5" customFormat="1">
      <c r="A2231" s="92"/>
      <c r="B2231" s="92"/>
      <c r="C2231" s="92"/>
      <c r="D2231" s="92"/>
      <c r="E2231" s="92"/>
      <c r="F2231" s="92"/>
      <c r="G2231" s="92"/>
      <c r="H2231" s="113"/>
      <c r="I2231" s="92"/>
      <c r="J2231" s="92"/>
      <c r="K2231" s="92"/>
      <c r="L2231" s="113"/>
      <c r="M2231" s="92"/>
      <c r="N2231" s="92"/>
      <c r="O2231" s="92"/>
      <c r="P2231" s="92"/>
      <c r="Q2231" s="113"/>
      <c r="R2231" s="92"/>
      <c r="S2231" s="92"/>
      <c r="T2231" s="92"/>
      <c r="U2231" s="92"/>
      <c r="V2231" s="113"/>
      <c r="W2231" s="114"/>
      <c r="X2231" s="92"/>
      <c r="Y2231" s="92"/>
      <c r="Z2231" s="92"/>
    </row>
    <row r="2232" spans="1:26" s="5" customFormat="1">
      <c r="A2232" s="92"/>
      <c r="B2232" s="92"/>
      <c r="C2232" s="92"/>
      <c r="D2232" s="92"/>
      <c r="E2232" s="92"/>
      <c r="F2232" s="92"/>
      <c r="G2232" s="92"/>
      <c r="H2232" s="113"/>
      <c r="I2232" s="92"/>
      <c r="J2232" s="92"/>
      <c r="K2232" s="92"/>
      <c r="L2232" s="113"/>
      <c r="M2232" s="92"/>
      <c r="N2232" s="92"/>
      <c r="O2232" s="92"/>
      <c r="P2232" s="92"/>
      <c r="Q2232" s="113"/>
      <c r="R2232" s="92"/>
      <c r="S2232" s="92"/>
      <c r="T2232" s="92"/>
      <c r="U2232" s="92"/>
      <c r="V2232" s="113"/>
      <c r="W2232" s="114"/>
      <c r="X2232" s="92"/>
      <c r="Y2232" s="92"/>
      <c r="Z2232" s="92"/>
    </row>
    <row r="2233" spans="1:26" s="5" customFormat="1">
      <c r="A2233" s="92"/>
      <c r="B2233" s="92"/>
      <c r="C2233" s="92"/>
      <c r="D2233" s="92"/>
      <c r="E2233" s="92"/>
      <c r="F2233" s="92"/>
      <c r="G2233" s="92"/>
      <c r="H2233" s="113"/>
      <c r="I2233" s="92"/>
      <c r="J2233" s="92"/>
      <c r="K2233" s="92"/>
      <c r="L2233" s="113"/>
      <c r="M2233" s="92"/>
      <c r="N2233" s="92"/>
      <c r="O2233" s="92"/>
      <c r="P2233" s="92"/>
      <c r="Q2233" s="113"/>
      <c r="R2233" s="92"/>
      <c r="S2233" s="92"/>
      <c r="T2233" s="92"/>
      <c r="U2233" s="92"/>
      <c r="V2233" s="113"/>
      <c r="W2233" s="114"/>
      <c r="X2233" s="92"/>
      <c r="Y2233" s="92"/>
      <c r="Z2233" s="92"/>
    </row>
    <row r="2234" spans="1:26" s="5" customFormat="1">
      <c r="A2234" s="92"/>
      <c r="B2234" s="92"/>
      <c r="C2234" s="92"/>
      <c r="D2234" s="92"/>
      <c r="E2234" s="92"/>
      <c r="F2234" s="92"/>
      <c r="G2234" s="92"/>
      <c r="H2234" s="113"/>
      <c r="I2234" s="92"/>
      <c r="J2234" s="92"/>
      <c r="K2234" s="92"/>
      <c r="L2234" s="113"/>
      <c r="M2234" s="92"/>
      <c r="N2234" s="92"/>
      <c r="O2234" s="92"/>
      <c r="P2234" s="92"/>
      <c r="Q2234" s="113"/>
      <c r="R2234" s="92"/>
      <c r="S2234" s="92"/>
      <c r="T2234" s="92"/>
      <c r="U2234" s="92"/>
      <c r="V2234" s="113"/>
      <c r="W2234" s="114"/>
      <c r="X2234" s="92"/>
      <c r="Y2234" s="92"/>
      <c r="Z2234" s="92"/>
    </row>
    <row r="2235" spans="1:26" s="5" customFormat="1">
      <c r="A2235" s="92"/>
      <c r="B2235" s="92"/>
      <c r="C2235" s="92"/>
      <c r="D2235" s="92"/>
      <c r="E2235" s="92"/>
      <c r="F2235" s="92"/>
      <c r="G2235" s="92"/>
      <c r="H2235" s="113"/>
      <c r="I2235" s="92"/>
      <c r="J2235" s="92"/>
      <c r="K2235" s="92"/>
      <c r="L2235" s="113"/>
      <c r="M2235" s="92"/>
      <c r="N2235" s="92"/>
      <c r="O2235" s="92"/>
      <c r="P2235" s="92"/>
      <c r="Q2235" s="113"/>
      <c r="R2235" s="92"/>
      <c r="S2235" s="92"/>
      <c r="T2235" s="92"/>
      <c r="U2235" s="92"/>
      <c r="V2235" s="113"/>
      <c r="W2235" s="114"/>
      <c r="X2235" s="92"/>
      <c r="Y2235" s="92"/>
      <c r="Z2235" s="92"/>
    </row>
    <row r="2236" spans="1:26" s="5" customFormat="1">
      <c r="A2236" s="92"/>
      <c r="B2236" s="92"/>
      <c r="C2236" s="92"/>
      <c r="D2236" s="92"/>
      <c r="E2236" s="92"/>
      <c r="F2236" s="92"/>
      <c r="G2236" s="92"/>
      <c r="H2236" s="113"/>
      <c r="I2236" s="92"/>
      <c r="J2236" s="92"/>
      <c r="K2236" s="92"/>
      <c r="L2236" s="113"/>
      <c r="M2236" s="92"/>
      <c r="N2236" s="92"/>
      <c r="O2236" s="92"/>
      <c r="P2236" s="92"/>
      <c r="Q2236" s="113"/>
      <c r="R2236" s="92"/>
      <c r="S2236" s="92"/>
      <c r="T2236" s="92"/>
      <c r="U2236" s="92"/>
      <c r="V2236" s="113"/>
      <c r="W2236" s="114"/>
      <c r="X2236" s="92"/>
      <c r="Y2236" s="92"/>
      <c r="Z2236" s="92"/>
    </row>
    <row r="2237" spans="1:26" s="5" customFormat="1">
      <c r="A2237" s="92"/>
      <c r="B2237" s="92"/>
      <c r="C2237" s="92"/>
      <c r="D2237" s="92"/>
      <c r="E2237" s="92"/>
      <c r="F2237" s="92"/>
      <c r="G2237" s="92"/>
      <c r="H2237" s="113"/>
      <c r="I2237" s="92"/>
      <c r="J2237" s="92"/>
      <c r="K2237" s="92"/>
      <c r="L2237" s="113"/>
      <c r="M2237" s="92"/>
      <c r="N2237" s="92"/>
      <c r="O2237" s="92"/>
      <c r="P2237" s="92"/>
      <c r="Q2237" s="113"/>
      <c r="R2237" s="92"/>
      <c r="S2237" s="92"/>
      <c r="T2237" s="92"/>
      <c r="U2237" s="92"/>
      <c r="V2237" s="113"/>
      <c r="W2237" s="114"/>
      <c r="X2237" s="92"/>
      <c r="Y2237" s="92"/>
      <c r="Z2237" s="92"/>
    </row>
    <row r="2238" spans="1:26" s="5" customFormat="1">
      <c r="A2238" s="92"/>
      <c r="B2238" s="92"/>
      <c r="C2238" s="92"/>
      <c r="D2238" s="92"/>
      <c r="E2238" s="92"/>
      <c r="F2238" s="92"/>
      <c r="G2238" s="92"/>
      <c r="H2238" s="113"/>
      <c r="I2238" s="92"/>
      <c r="J2238" s="92"/>
      <c r="K2238" s="92"/>
      <c r="L2238" s="113"/>
      <c r="M2238" s="92"/>
      <c r="N2238" s="92"/>
      <c r="O2238" s="92"/>
      <c r="P2238" s="92"/>
      <c r="Q2238" s="113"/>
      <c r="R2238" s="92"/>
      <c r="S2238" s="92"/>
      <c r="T2238" s="92"/>
      <c r="U2238" s="92"/>
      <c r="V2238" s="113"/>
      <c r="W2238" s="114"/>
      <c r="X2238" s="92"/>
      <c r="Y2238" s="92"/>
      <c r="Z2238" s="92"/>
    </row>
    <row r="2239" spans="1:26" s="5" customFormat="1">
      <c r="A2239" s="92"/>
      <c r="B2239" s="92"/>
      <c r="C2239" s="92"/>
      <c r="D2239" s="92"/>
      <c r="E2239" s="92"/>
      <c r="F2239" s="92"/>
      <c r="G2239" s="92"/>
      <c r="H2239" s="113"/>
      <c r="I2239" s="92"/>
      <c r="J2239" s="92"/>
      <c r="K2239" s="92"/>
      <c r="L2239" s="113"/>
      <c r="M2239" s="92"/>
      <c r="N2239" s="92"/>
      <c r="O2239" s="92"/>
      <c r="P2239" s="92"/>
      <c r="Q2239" s="113"/>
      <c r="R2239" s="92"/>
      <c r="S2239" s="92"/>
      <c r="T2239" s="92"/>
      <c r="U2239" s="92"/>
      <c r="V2239" s="113"/>
      <c r="W2239" s="114"/>
      <c r="X2239" s="92"/>
      <c r="Y2239" s="92"/>
      <c r="Z2239" s="92"/>
    </row>
    <row r="2240" spans="1:26" s="5" customFormat="1">
      <c r="A2240" s="92"/>
      <c r="B2240" s="92"/>
      <c r="C2240" s="92"/>
      <c r="D2240" s="92"/>
      <c r="E2240" s="92"/>
      <c r="F2240" s="92"/>
      <c r="G2240" s="92"/>
      <c r="H2240" s="113"/>
      <c r="I2240" s="92"/>
      <c r="J2240" s="92"/>
      <c r="K2240" s="92"/>
      <c r="L2240" s="113"/>
      <c r="M2240" s="92"/>
      <c r="N2240" s="92"/>
      <c r="O2240" s="92"/>
      <c r="P2240" s="92"/>
      <c r="Q2240" s="113"/>
      <c r="R2240" s="92"/>
      <c r="S2240" s="92"/>
      <c r="T2240" s="92"/>
      <c r="U2240" s="92"/>
      <c r="V2240" s="113"/>
      <c r="W2240" s="114"/>
      <c r="X2240" s="92"/>
      <c r="Y2240" s="92"/>
      <c r="Z2240" s="92"/>
    </row>
    <row r="2241" spans="1:26" s="5" customFormat="1">
      <c r="A2241" s="92"/>
      <c r="B2241" s="92"/>
      <c r="C2241" s="92"/>
      <c r="D2241" s="92"/>
      <c r="E2241" s="92"/>
      <c r="F2241" s="92"/>
      <c r="G2241" s="92"/>
      <c r="H2241" s="113"/>
      <c r="I2241" s="92"/>
      <c r="J2241" s="92"/>
      <c r="K2241" s="92"/>
      <c r="L2241" s="113"/>
      <c r="M2241" s="92"/>
      <c r="N2241" s="92"/>
      <c r="O2241" s="92"/>
      <c r="P2241" s="92"/>
      <c r="Q2241" s="113"/>
      <c r="R2241" s="92"/>
      <c r="S2241" s="92"/>
      <c r="T2241" s="92"/>
      <c r="U2241" s="92"/>
      <c r="V2241" s="113"/>
      <c r="W2241" s="114"/>
      <c r="X2241" s="92"/>
      <c r="Y2241" s="92"/>
      <c r="Z2241" s="92"/>
    </row>
    <row r="2242" spans="1:26" s="5" customFormat="1">
      <c r="A2242" s="92"/>
      <c r="B2242" s="92"/>
      <c r="C2242" s="92"/>
      <c r="D2242" s="92"/>
      <c r="E2242" s="92"/>
      <c r="F2242" s="92"/>
      <c r="G2242" s="92"/>
      <c r="H2242" s="113"/>
      <c r="I2242" s="92"/>
      <c r="J2242" s="92"/>
      <c r="K2242" s="92"/>
      <c r="L2242" s="113"/>
      <c r="M2242" s="92"/>
      <c r="N2242" s="92"/>
      <c r="O2242" s="92"/>
      <c r="P2242" s="92"/>
      <c r="Q2242" s="113"/>
      <c r="R2242" s="92"/>
      <c r="S2242" s="92"/>
      <c r="T2242" s="92"/>
      <c r="U2242" s="92"/>
      <c r="V2242" s="113"/>
      <c r="W2242" s="114"/>
      <c r="X2242" s="92"/>
      <c r="Y2242" s="92"/>
      <c r="Z2242" s="92"/>
    </row>
    <row r="2243" spans="1:26" s="5" customFormat="1">
      <c r="A2243" s="92"/>
      <c r="B2243" s="92"/>
      <c r="C2243" s="92"/>
      <c r="D2243" s="92"/>
      <c r="E2243" s="92"/>
      <c r="F2243" s="92"/>
      <c r="G2243" s="92"/>
      <c r="H2243" s="113"/>
      <c r="I2243" s="92"/>
      <c r="J2243" s="92"/>
      <c r="K2243" s="92"/>
      <c r="L2243" s="113"/>
      <c r="M2243" s="92"/>
      <c r="N2243" s="92"/>
      <c r="O2243" s="92"/>
      <c r="P2243" s="92"/>
      <c r="Q2243" s="113"/>
      <c r="R2243" s="92"/>
      <c r="S2243" s="92"/>
      <c r="T2243" s="92"/>
      <c r="U2243" s="92"/>
      <c r="V2243" s="113"/>
      <c r="W2243" s="114"/>
      <c r="X2243" s="92"/>
      <c r="Y2243" s="92"/>
      <c r="Z2243" s="92"/>
    </row>
    <row r="2244" spans="1:26" s="5" customFormat="1">
      <c r="A2244" s="92"/>
      <c r="B2244" s="92"/>
      <c r="C2244" s="92"/>
      <c r="D2244" s="92"/>
      <c r="E2244" s="92"/>
      <c r="F2244" s="92"/>
      <c r="G2244" s="92"/>
      <c r="H2244" s="113"/>
      <c r="I2244" s="92"/>
      <c r="J2244" s="92"/>
      <c r="K2244" s="92"/>
      <c r="L2244" s="113"/>
      <c r="M2244" s="92"/>
      <c r="N2244" s="92"/>
      <c r="O2244" s="92"/>
      <c r="P2244" s="92"/>
      <c r="Q2244" s="113"/>
      <c r="R2244" s="92"/>
      <c r="S2244" s="92"/>
      <c r="T2244" s="92"/>
      <c r="U2244" s="92"/>
      <c r="V2244" s="113"/>
      <c r="W2244" s="114"/>
      <c r="X2244" s="92"/>
      <c r="Y2244" s="92"/>
      <c r="Z2244" s="92"/>
    </row>
    <row r="2245" spans="1:26" s="5" customFormat="1">
      <c r="A2245" s="92"/>
      <c r="B2245" s="92"/>
      <c r="C2245" s="92"/>
      <c r="D2245" s="92"/>
      <c r="E2245" s="92"/>
      <c r="F2245" s="92"/>
      <c r="G2245" s="92"/>
      <c r="H2245" s="113"/>
      <c r="I2245" s="92"/>
      <c r="J2245" s="92"/>
      <c r="K2245" s="92"/>
      <c r="L2245" s="113"/>
      <c r="M2245" s="92"/>
      <c r="N2245" s="92"/>
      <c r="O2245" s="92"/>
      <c r="P2245" s="92"/>
      <c r="Q2245" s="113"/>
      <c r="R2245" s="92"/>
      <c r="S2245" s="92"/>
      <c r="T2245" s="92"/>
      <c r="U2245" s="92"/>
      <c r="V2245" s="113"/>
      <c r="W2245" s="114"/>
      <c r="X2245" s="92"/>
      <c r="Y2245" s="92"/>
      <c r="Z2245" s="92"/>
    </row>
    <row r="2246" spans="1:26" s="5" customFormat="1">
      <c r="A2246" s="92"/>
      <c r="B2246" s="92"/>
      <c r="C2246" s="92"/>
      <c r="D2246" s="92"/>
      <c r="E2246" s="92"/>
      <c r="F2246" s="92"/>
      <c r="G2246" s="92"/>
      <c r="H2246" s="113"/>
      <c r="I2246" s="92"/>
      <c r="J2246" s="92"/>
      <c r="K2246" s="92"/>
      <c r="L2246" s="113"/>
      <c r="M2246" s="92"/>
      <c r="N2246" s="92"/>
      <c r="O2246" s="92"/>
      <c r="P2246" s="92"/>
      <c r="Q2246" s="113"/>
      <c r="R2246" s="92"/>
      <c r="S2246" s="92"/>
      <c r="T2246" s="92"/>
      <c r="U2246" s="92"/>
      <c r="V2246" s="113"/>
      <c r="W2246" s="114"/>
      <c r="X2246" s="92"/>
      <c r="Y2246" s="92"/>
      <c r="Z2246" s="92"/>
    </row>
    <row r="2247" spans="1:26" s="5" customFormat="1">
      <c r="A2247" s="92"/>
      <c r="B2247" s="92"/>
      <c r="C2247" s="92"/>
      <c r="D2247" s="92"/>
      <c r="E2247" s="92"/>
      <c r="F2247" s="92"/>
      <c r="G2247" s="92"/>
      <c r="H2247" s="113"/>
      <c r="I2247" s="92"/>
      <c r="J2247" s="92"/>
      <c r="K2247" s="92"/>
      <c r="L2247" s="113"/>
      <c r="M2247" s="92"/>
      <c r="N2247" s="92"/>
      <c r="O2247" s="92"/>
      <c r="P2247" s="92"/>
      <c r="Q2247" s="113"/>
      <c r="R2247" s="92"/>
      <c r="S2247" s="92"/>
      <c r="T2247" s="92"/>
      <c r="U2247" s="92"/>
      <c r="V2247" s="113"/>
      <c r="W2247" s="114"/>
      <c r="X2247" s="92"/>
      <c r="Y2247" s="92"/>
      <c r="Z2247" s="92"/>
    </row>
    <row r="2248" spans="1:26" s="5" customFormat="1">
      <c r="A2248" s="92"/>
      <c r="B2248" s="92"/>
      <c r="C2248" s="92"/>
      <c r="D2248" s="92"/>
      <c r="E2248" s="92"/>
      <c r="F2248" s="92"/>
      <c r="G2248" s="92"/>
      <c r="H2248" s="113"/>
      <c r="I2248" s="92"/>
      <c r="J2248" s="92"/>
      <c r="K2248" s="92"/>
      <c r="L2248" s="113"/>
      <c r="M2248" s="92"/>
      <c r="N2248" s="92"/>
      <c r="O2248" s="92"/>
      <c r="P2248" s="92"/>
      <c r="Q2248" s="113"/>
      <c r="R2248" s="92"/>
      <c r="S2248" s="92"/>
      <c r="T2248" s="92"/>
      <c r="U2248" s="92"/>
      <c r="V2248" s="113"/>
      <c r="W2248" s="114"/>
      <c r="X2248" s="92"/>
      <c r="Y2248" s="92"/>
      <c r="Z2248" s="92"/>
    </row>
    <row r="2249" spans="1:26" s="5" customFormat="1">
      <c r="A2249" s="92"/>
      <c r="B2249" s="92"/>
      <c r="C2249" s="92"/>
      <c r="D2249" s="92"/>
      <c r="E2249" s="92"/>
      <c r="F2249" s="92"/>
      <c r="G2249" s="92"/>
      <c r="H2249" s="113"/>
      <c r="I2249" s="92"/>
      <c r="J2249" s="92"/>
      <c r="K2249" s="92"/>
      <c r="L2249" s="113"/>
      <c r="M2249" s="92"/>
      <c r="N2249" s="92"/>
      <c r="O2249" s="92"/>
      <c r="P2249" s="92"/>
      <c r="Q2249" s="113"/>
      <c r="R2249" s="92"/>
      <c r="S2249" s="92"/>
      <c r="T2249" s="92"/>
      <c r="U2249" s="92"/>
      <c r="V2249" s="113"/>
      <c r="W2249" s="114"/>
      <c r="X2249" s="92"/>
      <c r="Y2249" s="92"/>
      <c r="Z2249" s="92"/>
    </row>
    <row r="2250" spans="1:26" s="5" customFormat="1">
      <c r="A2250" s="92"/>
      <c r="B2250" s="92"/>
      <c r="C2250" s="92"/>
      <c r="D2250" s="92"/>
      <c r="E2250" s="92"/>
      <c r="F2250" s="92"/>
      <c r="G2250" s="92"/>
      <c r="H2250" s="113"/>
      <c r="I2250" s="92"/>
      <c r="J2250" s="92"/>
      <c r="K2250" s="92"/>
      <c r="L2250" s="113"/>
      <c r="M2250" s="92"/>
      <c r="N2250" s="92"/>
      <c r="O2250" s="92"/>
      <c r="P2250" s="92"/>
      <c r="Q2250" s="113"/>
      <c r="R2250" s="92"/>
      <c r="S2250" s="92"/>
      <c r="T2250" s="92"/>
      <c r="U2250" s="92"/>
      <c r="V2250" s="113"/>
      <c r="W2250" s="114"/>
      <c r="X2250" s="92"/>
      <c r="Y2250" s="92"/>
      <c r="Z2250" s="92"/>
    </row>
    <row r="2251" spans="1:26" s="5" customFormat="1">
      <c r="A2251" s="92"/>
      <c r="B2251" s="92"/>
      <c r="C2251" s="92"/>
      <c r="D2251" s="92"/>
      <c r="E2251" s="92"/>
      <c r="F2251" s="92"/>
      <c r="G2251" s="92"/>
      <c r="H2251" s="113"/>
      <c r="I2251" s="92"/>
      <c r="J2251" s="92"/>
      <c r="K2251" s="92"/>
      <c r="L2251" s="113"/>
      <c r="M2251" s="92"/>
      <c r="N2251" s="92"/>
      <c r="O2251" s="92"/>
      <c r="P2251" s="92"/>
      <c r="Q2251" s="113"/>
      <c r="R2251" s="92"/>
      <c r="S2251" s="92"/>
      <c r="T2251" s="92"/>
      <c r="U2251" s="92"/>
      <c r="V2251" s="113"/>
      <c r="W2251" s="114"/>
      <c r="X2251" s="92"/>
      <c r="Y2251" s="92"/>
      <c r="Z2251" s="92"/>
    </row>
    <row r="2252" spans="1:26" s="5" customFormat="1">
      <c r="A2252" s="92"/>
      <c r="B2252" s="92"/>
      <c r="C2252" s="92"/>
      <c r="D2252" s="92"/>
      <c r="E2252" s="92"/>
      <c r="F2252" s="92"/>
      <c r="G2252" s="92"/>
      <c r="H2252" s="113"/>
      <c r="I2252" s="92"/>
      <c r="J2252" s="92"/>
      <c r="K2252" s="92"/>
      <c r="L2252" s="113"/>
      <c r="M2252" s="92"/>
      <c r="N2252" s="92"/>
      <c r="O2252" s="92"/>
      <c r="P2252" s="92"/>
      <c r="Q2252" s="113"/>
      <c r="R2252" s="92"/>
      <c r="S2252" s="92"/>
      <c r="T2252" s="92"/>
      <c r="U2252" s="92"/>
      <c r="V2252" s="113"/>
      <c r="W2252" s="114"/>
      <c r="X2252" s="92"/>
      <c r="Y2252" s="92"/>
      <c r="Z2252" s="92"/>
    </row>
    <row r="2253" spans="1:26" s="5" customFormat="1">
      <c r="A2253" s="92"/>
      <c r="B2253" s="92"/>
      <c r="C2253" s="92"/>
      <c r="D2253" s="92"/>
      <c r="E2253" s="92"/>
      <c r="F2253" s="92"/>
      <c r="G2253" s="92"/>
      <c r="H2253" s="113"/>
      <c r="I2253" s="92"/>
      <c r="J2253" s="92"/>
      <c r="K2253" s="92"/>
      <c r="L2253" s="113"/>
      <c r="M2253" s="92"/>
      <c r="N2253" s="92"/>
      <c r="O2253" s="92"/>
      <c r="P2253" s="92"/>
      <c r="Q2253" s="113"/>
      <c r="R2253" s="92"/>
      <c r="S2253" s="92"/>
      <c r="T2253" s="92"/>
      <c r="U2253" s="92"/>
      <c r="V2253" s="113"/>
      <c r="W2253" s="114"/>
      <c r="X2253" s="92"/>
      <c r="Y2253" s="92"/>
      <c r="Z2253" s="92"/>
    </row>
    <row r="2254" spans="1:26" s="5" customFormat="1">
      <c r="A2254" s="92"/>
      <c r="B2254" s="92"/>
      <c r="C2254" s="92"/>
      <c r="D2254" s="92"/>
      <c r="E2254" s="92"/>
      <c r="F2254" s="92"/>
      <c r="G2254" s="92"/>
      <c r="H2254" s="113"/>
      <c r="I2254" s="92"/>
      <c r="J2254" s="92"/>
      <c r="K2254" s="92"/>
      <c r="L2254" s="113"/>
      <c r="M2254" s="92"/>
      <c r="N2254" s="92"/>
      <c r="O2254" s="92"/>
      <c r="P2254" s="92"/>
      <c r="Q2254" s="113"/>
      <c r="R2254" s="92"/>
      <c r="S2254" s="92"/>
      <c r="T2254" s="92"/>
      <c r="U2254" s="92"/>
      <c r="V2254" s="113"/>
      <c r="W2254" s="114"/>
      <c r="X2254" s="92"/>
      <c r="Y2254" s="92"/>
      <c r="Z2254" s="92"/>
    </row>
    <row r="2255" spans="1:26" s="5" customFormat="1">
      <c r="A2255" s="92"/>
      <c r="B2255" s="92"/>
      <c r="C2255" s="92"/>
      <c r="D2255" s="92"/>
      <c r="E2255" s="92"/>
      <c r="F2255" s="92"/>
      <c r="G2255" s="92"/>
      <c r="H2255" s="113"/>
      <c r="I2255" s="92"/>
      <c r="J2255" s="92"/>
      <c r="K2255" s="92"/>
      <c r="L2255" s="113"/>
      <c r="M2255" s="92"/>
      <c r="N2255" s="92"/>
      <c r="O2255" s="92"/>
      <c r="P2255" s="92"/>
      <c r="Q2255" s="113"/>
      <c r="R2255" s="92"/>
      <c r="S2255" s="92"/>
      <c r="T2255" s="92"/>
      <c r="U2255" s="92"/>
      <c r="V2255" s="113"/>
      <c r="W2255" s="114"/>
      <c r="X2255" s="92"/>
      <c r="Y2255" s="92"/>
      <c r="Z2255" s="92"/>
    </row>
    <row r="2256" spans="1:26" s="5" customFormat="1">
      <c r="A2256" s="92"/>
      <c r="B2256" s="92"/>
      <c r="C2256" s="92"/>
      <c r="D2256" s="92"/>
      <c r="E2256" s="92"/>
      <c r="F2256" s="92"/>
      <c r="G2256" s="92"/>
      <c r="H2256" s="113"/>
      <c r="I2256" s="92"/>
      <c r="J2256" s="92"/>
      <c r="K2256" s="92"/>
      <c r="L2256" s="113"/>
      <c r="M2256" s="92"/>
      <c r="N2256" s="92"/>
      <c r="O2256" s="92"/>
      <c r="P2256" s="92"/>
      <c r="Q2256" s="113"/>
      <c r="R2256" s="92"/>
      <c r="S2256" s="92"/>
      <c r="T2256" s="92"/>
      <c r="U2256" s="92"/>
      <c r="V2256" s="113"/>
      <c r="W2256" s="114"/>
      <c r="X2256" s="92"/>
      <c r="Y2256" s="92"/>
      <c r="Z2256" s="92"/>
    </row>
    <row r="2257" spans="1:26" s="5" customFormat="1">
      <c r="A2257" s="92"/>
      <c r="B2257" s="92"/>
      <c r="C2257" s="92"/>
      <c r="D2257" s="92"/>
      <c r="E2257" s="92"/>
      <c r="F2257" s="92"/>
      <c r="G2257" s="92"/>
      <c r="H2257" s="113"/>
      <c r="I2257" s="92"/>
      <c r="J2257" s="92"/>
      <c r="K2257" s="92"/>
      <c r="L2257" s="113"/>
      <c r="M2257" s="92"/>
      <c r="N2257" s="92"/>
      <c r="O2257" s="92"/>
      <c r="P2257" s="92"/>
      <c r="Q2257" s="113"/>
      <c r="R2257" s="92"/>
      <c r="S2257" s="92"/>
      <c r="T2257" s="92"/>
      <c r="U2257" s="92"/>
      <c r="V2257" s="113"/>
      <c r="W2257" s="114"/>
      <c r="X2257" s="92"/>
      <c r="Y2257" s="92"/>
      <c r="Z2257" s="92"/>
    </row>
    <row r="2258" spans="1:26" s="5" customFormat="1">
      <c r="A2258" s="92"/>
      <c r="B2258" s="92"/>
      <c r="C2258" s="92"/>
      <c r="D2258" s="92"/>
      <c r="E2258" s="92"/>
      <c r="F2258" s="92"/>
      <c r="G2258" s="92"/>
      <c r="H2258" s="113"/>
      <c r="I2258" s="92"/>
      <c r="J2258" s="92"/>
      <c r="K2258" s="92"/>
      <c r="L2258" s="113"/>
      <c r="M2258" s="92"/>
      <c r="N2258" s="92"/>
      <c r="O2258" s="92"/>
      <c r="P2258" s="92"/>
      <c r="Q2258" s="113"/>
      <c r="R2258" s="92"/>
      <c r="S2258" s="92"/>
      <c r="T2258" s="92"/>
      <c r="U2258" s="92"/>
      <c r="V2258" s="113"/>
      <c r="W2258" s="114"/>
      <c r="X2258" s="92"/>
      <c r="Y2258" s="92"/>
      <c r="Z2258" s="92"/>
    </row>
    <row r="2259" spans="1:26" s="5" customFormat="1">
      <c r="A2259" s="92"/>
      <c r="B2259" s="92"/>
      <c r="C2259" s="92"/>
      <c r="D2259" s="92"/>
      <c r="E2259" s="92"/>
      <c r="F2259" s="92"/>
      <c r="G2259" s="92"/>
      <c r="H2259" s="113"/>
      <c r="I2259" s="92"/>
      <c r="J2259" s="92"/>
      <c r="K2259" s="92"/>
      <c r="L2259" s="113"/>
      <c r="M2259" s="92"/>
      <c r="N2259" s="92"/>
      <c r="O2259" s="92"/>
      <c r="P2259" s="92"/>
      <c r="Q2259" s="113"/>
      <c r="R2259" s="92"/>
      <c r="S2259" s="92"/>
      <c r="T2259" s="92"/>
      <c r="U2259" s="92"/>
      <c r="V2259" s="113"/>
      <c r="W2259" s="114"/>
      <c r="X2259" s="92"/>
      <c r="Y2259" s="92"/>
      <c r="Z2259" s="92"/>
    </row>
    <row r="2260" spans="1:26" s="5" customFormat="1">
      <c r="A2260" s="92"/>
      <c r="B2260" s="92"/>
      <c r="C2260" s="92"/>
      <c r="D2260" s="92"/>
      <c r="E2260" s="92"/>
      <c r="F2260" s="92"/>
      <c r="G2260" s="92"/>
      <c r="H2260" s="113"/>
      <c r="I2260" s="92"/>
      <c r="J2260" s="92"/>
      <c r="K2260" s="92"/>
      <c r="L2260" s="113"/>
      <c r="M2260" s="92"/>
      <c r="N2260" s="92"/>
      <c r="O2260" s="92"/>
      <c r="P2260" s="92"/>
      <c r="Q2260" s="113"/>
      <c r="R2260" s="92"/>
      <c r="S2260" s="92"/>
      <c r="T2260" s="92"/>
      <c r="U2260" s="92"/>
      <c r="V2260" s="113"/>
      <c r="W2260" s="114"/>
      <c r="X2260" s="92"/>
      <c r="Y2260" s="92"/>
      <c r="Z2260" s="92"/>
    </row>
    <row r="2261" spans="1:26" s="5" customFormat="1">
      <c r="A2261" s="92"/>
      <c r="B2261" s="92"/>
      <c r="C2261" s="92"/>
      <c r="D2261" s="92"/>
      <c r="E2261" s="92"/>
      <c r="F2261" s="92"/>
      <c r="G2261" s="92"/>
      <c r="H2261" s="113"/>
      <c r="I2261" s="92"/>
      <c r="J2261" s="92"/>
      <c r="K2261" s="92"/>
      <c r="L2261" s="113"/>
      <c r="M2261" s="92"/>
      <c r="N2261" s="92"/>
      <c r="O2261" s="92"/>
      <c r="P2261" s="92"/>
      <c r="Q2261" s="113"/>
      <c r="R2261" s="92"/>
      <c r="S2261" s="92"/>
      <c r="T2261" s="92"/>
      <c r="U2261" s="92"/>
      <c r="V2261" s="113"/>
      <c r="W2261" s="114"/>
      <c r="X2261" s="92"/>
      <c r="Y2261" s="92"/>
      <c r="Z2261" s="92"/>
    </row>
    <row r="2262" spans="1:26" s="5" customFormat="1">
      <c r="A2262" s="92"/>
      <c r="B2262" s="92"/>
      <c r="C2262" s="92"/>
      <c r="D2262" s="92"/>
      <c r="E2262" s="92"/>
      <c r="F2262" s="92"/>
      <c r="G2262" s="92"/>
      <c r="H2262" s="113"/>
      <c r="I2262" s="92"/>
      <c r="J2262" s="92"/>
      <c r="K2262" s="92"/>
      <c r="L2262" s="113"/>
      <c r="M2262" s="92"/>
      <c r="N2262" s="92"/>
      <c r="O2262" s="92"/>
      <c r="P2262" s="92"/>
      <c r="Q2262" s="113"/>
      <c r="R2262" s="92"/>
      <c r="S2262" s="92"/>
      <c r="T2262" s="92"/>
      <c r="U2262" s="92"/>
      <c r="V2262" s="113"/>
      <c r="W2262" s="114"/>
      <c r="X2262" s="92"/>
      <c r="Y2262" s="92"/>
      <c r="Z2262" s="92"/>
    </row>
    <row r="2263" spans="1:26" s="5" customFormat="1">
      <c r="A2263" s="92"/>
      <c r="B2263" s="92"/>
      <c r="C2263" s="92"/>
      <c r="D2263" s="92"/>
      <c r="E2263" s="92"/>
      <c r="F2263" s="92"/>
      <c r="G2263" s="92"/>
      <c r="H2263" s="113"/>
      <c r="I2263" s="92"/>
      <c r="J2263" s="92"/>
      <c r="K2263" s="92"/>
      <c r="L2263" s="113"/>
      <c r="M2263" s="92"/>
      <c r="N2263" s="92"/>
      <c r="O2263" s="92"/>
      <c r="P2263" s="92"/>
      <c r="Q2263" s="113"/>
      <c r="R2263" s="92"/>
      <c r="S2263" s="92"/>
      <c r="T2263" s="92"/>
      <c r="U2263" s="92"/>
      <c r="V2263" s="113"/>
      <c r="W2263" s="114"/>
      <c r="X2263" s="92"/>
      <c r="Y2263" s="92"/>
      <c r="Z2263" s="92"/>
    </row>
    <row r="2264" spans="1:26" s="5" customFormat="1">
      <c r="A2264" s="92"/>
      <c r="B2264" s="92"/>
      <c r="C2264" s="92"/>
      <c r="D2264" s="92"/>
      <c r="E2264" s="92"/>
      <c r="F2264" s="92"/>
      <c r="G2264" s="92"/>
      <c r="H2264" s="113"/>
      <c r="I2264" s="92"/>
      <c r="J2264" s="92"/>
      <c r="K2264" s="92"/>
      <c r="L2264" s="113"/>
      <c r="M2264" s="92"/>
      <c r="N2264" s="92"/>
      <c r="O2264" s="92"/>
      <c r="P2264" s="92"/>
      <c r="Q2264" s="113"/>
      <c r="R2264" s="92"/>
      <c r="S2264" s="92"/>
      <c r="T2264" s="92"/>
      <c r="U2264" s="92"/>
      <c r="V2264" s="113"/>
      <c r="W2264" s="114"/>
      <c r="X2264" s="92"/>
      <c r="Y2264" s="92"/>
      <c r="Z2264" s="92"/>
    </row>
    <row r="2265" spans="1:26" s="5" customFormat="1">
      <c r="A2265" s="92"/>
      <c r="B2265" s="92"/>
      <c r="C2265" s="92"/>
      <c r="D2265" s="92"/>
      <c r="E2265" s="92"/>
      <c r="F2265" s="92"/>
      <c r="G2265" s="92"/>
      <c r="H2265" s="113"/>
      <c r="I2265" s="92"/>
      <c r="J2265" s="92"/>
      <c r="K2265" s="92"/>
      <c r="L2265" s="113"/>
      <c r="M2265" s="92"/>
      <c r="N2265" s="92"/>
      <c r="O2265" s="92"/>
      <c r="P2265" s="92"/>
      <c r="Q2265" s="113"/>
      <c r="R2265" s="92"/>
      <c r="S2265" s="92"/>
      <c r="T2265" s="92"/>
      <c r="U2265" s="92"/>
      <c r="V2265" s="113"/>
      <c r="W2265" s="114"/>
      <c r="X2265" s="92"/>
      <c r="Y2265" s="92"/>
      <c r="Z2265" s="92"/>
    </row>
    <row r="2266" spans="1:26" s="5" customFormat="1">
      <c r="A2266" s="92"/>
      <c r="B2266" s="92"/>
      <c r="C2266" s="92"/>
      <c r="D2266" s="92"/>
      <c r="E2266" s="92"/>
      <c r="F2266" s="92"/>
      <c r="G2266" s="92"/>
      <c r="H2266" s="113"/>
      <c r="I2266" s="92"/>
      <c r="J2266" s="92"/>
      <c r="K2266" s="92"/>
      <c r="L2266" s="113"/>
      <c r="M2266" s="92"/>
      <c r="N2266" s="92"/>
      <c r="O2266" s="92"/>
      <c r="P2266" s="92"/>
      <c r="Q2266" s="113"/>
      <c r="R2266" s="92"/>
      <c r="S2266" s="92"/>
      <c r="T2266" s="92"/>
      <c r="U2266" s="92"/>
      <c r="V2266" s="113"/>
      <c r="W2266" s="114"/>
      <c r="X2266" s="92"/>
      <c r="Y2266" s="92"/>
      <c r="Z2266" s="92"/>
    </row>
    <row r="2267" spans="1:26" s="5" customFormat="1">
      <c r="A2267" s="92"/>
      <c r="B2267" s="92"/>
      <c r="C2267" s="92"/>
      <c r="D2267" s="92"/>
      <c r="E2267" s="92"/>
      <c r="F2267" s="92"/>
      <c r="G2267" s="92"/>
      <c r="H2267" s="113"/>
      <c r="I2267" s="92"/>
      <c r="J2267" s="92"/>
      <c r="K2267" s="92"/>
      <c r="L2267" s="113"/>
      <c r="M2267" s="92"/>
      <c r="N2267" s="92"/>
      <c r="O2267" s="92"/>
      <c r="P2267" s="92"/>
      <c r="Q2267" s="113"/>
      <c r="R2267" s="92"/>
      <c r="S2267" s="92"/>
      <c r="T2267" s="92"/>
      <c r="U2267" s="92"/>
      <c r="V2267" s="113"/>
      <c r="W2267" s="114"/>
      <c r="X2267" s="92"/>
      <c r="Y2267" s="92"/>
      <c r="Z2267" s="92"/>
    </row>
    <row r="2268" spans="1:26" s="5" customFormat="1">
      <c r="A2268" s="92"/>
      <c r="B2268" s="92"/>
      <c r="C2268" s="92"/>
      <c r="D2268" s="92"/>
      <c r="E2268" s="92"/>
      <c r="F2268" s="92"/>
      <c r="G2268" s="92"/>
      <c r="H2268" s="113"/>
      <c r="I2268" s="92"/>
      <c r="J2268" s="92"/>
      <c r="K2268" s="92"/>
      <c r="L2268" s="113"/>
      <c r="M2268" s="92"/>
      <c r="N2268" s="92"/>
      <c r="O2268" s="92"/>
      <c r="P2268" s="92"/>
      <c r="Q2268" s="113"/>
      <c r="R2268" s="92"/>
      <c r="S2268" s="92"/>
      <c r="T2268" s="92"/>
      <c r="U2268" s="92"/>
      <c r="V2268" s="113"/>
      <c r="W2268" s="114"/>
      <c r="X2268" s="92"/>
      <c r="Y2268" s="92"/>
      <c r="Z2268" s="92"/>
    </row>
    <row r="2269" spans="1:26" s="5" customFormat="1">
      <c r="A2269" s="92"/>
      <c r="B2269" s="92"/>
      <c r="C2269" s="92"/>
      <c r="D2269" s="92"/>
      <c r="E2269" s="92"/>
      <c r="F2269" s="92"/>
      <c r="G2269" s="92"/>
      <c r="H2269" s="113"/>
      <c r="I2269" s="92"/>
      <c r="J2269" s="92"/>
      <c r="K2269" s="92"/>
      <c r="L2269" s="113"/>
      <c r="M2269" s="92"/>
      <c r="N2269" s="92"/>
      <c r="O2269" s="92"/>
      <c r="P2269" s="92"/>
      <c r="Q2269" s="113"/>
      <c r="R2269" s="92"/>
      <c r="S2269" s="92"/>
      <c r="T2269" s="92"/>
      <c r="U2269" s="92"/>
      <c r="V2269" s="113"/>
      <c r="W2269" s="114"/>
      <c r="X2269" s="92"/>
      <c r="Y2269" s="92"/>
      <c r="Z2269" s="92"/>
    </row>
    <row r="2270" spans="1:26" s="5" customFormat="1">
      <c r="A2270" s="92"/>
      <c r="B2270" s="92"/>
      <c r="C2270" s="92"/>
      <c r="D2270" s="92"/>
      <c r="E2270" s="92"/>
      <c r="F2270" s="92"/>
      <c r="G2270" s="92"/>
      <c r="H2270" s="113"/>
      <c r="I2270" s="92"/>
      <c r="J2270" s="92"/>
      <c r="K2270" s="92"/>
      <c r="L2270" s="113"/>
      <c r="M2270" s="92"/>
      <c r="N2270" s="92"/>
      <c r="O2270" s="92"/>
      <c r="P2270" s="92"/>
      <c r="Q2270" s="113"/>
      <c r="R2270" s="92"/>
      <c r="S2270" s="92"/>
      <c r="T2270" s="92"/>
      <c r="U2270" s="92"/>
      <c r="V2270" s="113"/>
      <c r="W2270" s="114"/>
      <c r="X2270" s="92"/>
      <c r="Y2270" s="92"/>
      <c r="Z2270" s="92"/>
    </row>
    <row r="2271" spans="1:26" s="5" customFormat="1">
      <c r="A2271" s="92"/>
      <c r="B2271" s="92"/>
      <c r="C2271" s="92"/>
      <c r="D2271" s="92"/>
      <c r="E2271" s="92"/>
      <c r="F2271" s="92"/>
      <c r="G2271" s="92"/>
      <c r="H2271" s="113"/>
      <c r="I2271" s="92"/>
      <c r="J2271" s="92"/>
      <c r="K2271" s="92"/>
      <c r="L2271" s="113"/>
      <c r="M2271" s="92"/>
      <c r="N2271" s="92"/>
      <c r="O2271" s="92"/>
      <c r="P2271" s="92"/>
      <c r="Q2271" s="113"/>
      <c r="R2271" s="92"/>
      <c r="S2271" s="92"/>
      <c r="T2271" s="92"/>
      <c r="U2271" s="92"/>
      <c r="V2271" s="113"/>
      <c r="W2271" s="114"/>
      <c r="X2271" s="92"/>
      <c r="Y2271" s="92"/>
      <c r="Z2271" s="92"/>
    </row>
    <row r="2272" spans="1:26" s="5" customFormat="1">
      <c r="A2272" s="92"/>
      <c r="B2272" s="92"/>
      <c r="C2272" s="92"/>
      <c r="D2272" s="92"/>
      <c r="E2272" s="92"/>
      <c r="F2272" s="92"/>
      <c r="G2272" s="92"/>
      <c r="H2272" s="113"/>
      <c r="I2272" s="92"/>
      <c r="J2272" s="92"/>
      <c r="K2272" s="92"/>
      <c r="L2272" s="113"/>
      <c r="M2272" s="92"/>
      <c r="N2272" s="92"/>
      <c r="O2272" s="92"/>
      <c r="P2272" s="92"/>
      <c r="Q2272" s="113"/>
      <c r="R2272" s="92"/>
      <c r="S2272" s="92"/>
      <c r="T2272" s="92"/>
      <c r="U2272" s="92"/>
      <c r="V2272" s="113"/>
      <c r="W2272" s="114"/>
      <c r="X2272" s="92"/>
      <c r="Y2272" s="92"/>
      <c r="Z2272" s="92"/>
    </row>
    <row r="2273" spans="1:26" s="5" customFormat="1">
      <c r="A2273" s="92"/>
      <c r="B2273" s="92"/>
      <c r="C2273" s="92"/>
      <c r="D2273" s="92"/>
      <c r="E2273" s="92"/>
      <c r="F2273" s="92"/>
      <c r="G2273" s="92"/>
      <c r="H2273" s="113"/>
      <c r="I2273" s="92"/>
      <c r="J2273" s="92"/>
      <c r="K2273" s="92"/>
      <c r="L2273" s="113"/>
      <c r="M2273" s="92"/>
      <c r="N2273" s="92"/>
      <c r="O2273" s="92"/>
      <c r="P2273" s="92"/>
      <c r="Q2273" s="113"/>
      <c r="R2273" s="92"/>
      <c r="S2273" s="92"/>
      <c r="T2273" s="92"/>
      <c r="U2273" s="92"/>
      <c r="V2273" s="113"/>
      <c r="W2273" s="114"/>
      <c r="X2273" s="92"/>
      <c r="Y2273" s="92"/>
      <c r="Z2273" s="92"/>
    </row>
    <row r="2274" spans="1:26" s="5" customFormat="1">
      <c r="A2274" s="92"/>
      <c r="B2274" s="92"/>
      <c r="C2274" s="92"/>
      <c r="D2274" s="92"/>
      <c r="E2274" s="92"/>
      <c r="F2274" s="92"/>
      <c r="G2274" s="92"/>
      <c r="H2274" s="113"/>
      <c r="I2274" s="92"/>
      <c r="J2274" s="92"/>
      <c r="K2274" s="92"/>
      <c r="L2274" s="113"/>
      <c r="M2274" s="92"/>
      <c r="N2274" s="92"/>
      <c r="O2274" s="92"/>
      <c r="P2274" s="92"/>
      <c r="Q2274" s="113"/>
      <c r="R2274" s="92"/>
      <c r="S2274" s="92"/>
      <c r="T2274" s="92"/>
      <c r="U2274" s="92"/>
      <c r="V2274" s="113"/>
      <c r="W2274" s="114"/>
      <c r="X2274" s="92"/>
      <c r="Y2274" s="92"/>
      <c r="Z2274" s="92"/>
    </row>
    <row r="2275" spans="1:26" s="5" customFormat="1">
      <c r="A2275" s="92"/>
      <c r="B2275" s="92"/>
      <c r="C2275" s="92"/>
      <c r="D2275" s="92"/>
      <c r="E2275" s="92"/>
      <c r="F2275" s="92"/>
      <c r="G2275" s="92"/>
      <c r="H2275" s="113"/>
      <c r="I2275" s="92"/>
      <c r="J2275" s="92"/>
      <c r="K2275" s="92"/>
      <c r="L2275" s="113"/>
      <c r="M2275" s="92"/>
      <c r="N2275" s="92"/>
      <c r="O2275" s="92"/>
      <c r="P2275" s="92"/>
      <c r="Q2275" s="113"/>
      <c r="R2275" s="92"/>
      <c r="S2275" s="92"/>
      <c r="T2275" s="92"/>
      <c r="U2275" s="92"/>
      <c r="V2275" s="113"/>
      <c r="W2275" s="114"/>
      <c r="X2275" s="92"/>
      <c r="Y2275" s="92"/>
      <c r="Z2275" s="92"/>
    </row>
    <row r="2276" spans="1:26" s="5" customFormat="1">
      <c r="A2276" s="92"/>
      <c r="B2276" s="92"/>
      <c r="C2276" s="92"/>
      <c r="D2276" s="92"/>
      <c r="E2276" s="92"/>
      <c r="F2276" s="92"/>
      <c r="G2276" s="92"/>
      <c r="H2276" s="113"/>
      <c r="I2276" s="92"/>
      <c r="J2276" s="92"/>
      <c r="K2276" s="92"/>
      <c r="L2276" s="113"/>
      <c r="M2276" s="92"/>
      <c r="N2276" s="92"/>
      <c r="O2276" s="92"/>
      <c r="P2276" s="92"/>
      <c r="Q2276" s="113"/>
      <c r="R2276" s="92"/>
      <c r="S2276" s="92"/>
      <c r="T2276" s="92"/>
      <c r="U2276" s="92"/>
      <c r="V2276" s="113"/>
      <c r="W2276" s="114"/>
      <c r="X2276" s="92"/>
      <c r="Y2276" s="92"/>
      <c r="Z2276" s="92"/>
    </row>
    <row r="2277" spans="1:26" s="5" customFormat="1">
      <c r="A2277" s="92"/>
      <c r="B2277" s="92"/>
      <c r="C2277" s="92"/>
      <c r="D2277" s="92"/>
      <c r="E2277" s="92"/>
      <c r="F2277" s="92"/>
      <c r="G2277" s="92"/>
      <c r="H2277" s="113"/>
      <c r="I2277" s="92"/>
      <c r="J2277" s="92"/>
      <c r="K2277" s="92"/>
      <c r="L2277" s="113"/>
      <c r="M2277" s="92"/>
      <c r="N2277" s="92"/>
      <c r="O2277" s="92"/>
      <c r="P2277" s="92"/>
      <c r="Q2277" s="113"/>
      <c r="R2277" s="92"/>
      <c r="S2277" s="92"/>
      <c r="T2277" s="92"/>
      <c r="U2277" s="92"/>
      <c r="V2277" s="113"/>
      <c r="W2277" s="114"/>
      <c r="X2277" s="92"/>
      <c r="Y2277" s="92"/>
      <c r="Z2277" s="92"/>
    </row>
    <row r="2278" spans="1:26" s="5" customFormat="1">
      <c r="A2278" s="92"/>
      <c r="B2278" s="92"/>
      <c r="C2278" s="92"/>
      <c r="D2278" s="92"/>
      <c r="E2278" s="92"/>
      <c r="F2278" s="92"/>
      <c r="G2278" s="92"/>
      <c r="H2278" s="113"/>
      <c r="I2278" s="92"/>
      <c r="J2278" s="92"/>
      <c r="K2278" s="92"/>
      <c r="L2278" s="113"/>
      <c r="M2278" s="92"/>
      <c r="N2278" s="92"/>
      <c r="O2278" s="92"/>
      <c r="P2278" s="92"/>
      <c r="Q2278" s="113"/>
      <c r="R2278" s="92"/>
      <c r="S2278" s="92"/>
      <c r="T2278" s="92"/>
      <c r="U2278" s="92"/>
      <c r="V2278" s="113"/>
      <c r="W2278" s="114"/>
      <c r="X2278" s="92"/>
      <c r="Y2278" s="92"/>
      <c r="Z2278" s="92"/>
    </row>
    <row r="2279" spans="1:26" s="5" customFormat="1">
      <c r="A2279" s="92"/>
      <c r="B2279" s="92"/>
      <c r="C2279" s="92"/>
      <c r="D2279" s="92"/>
      <c r="E2279" s="92"/>
      <c r="F2279" s="92"/>
      <c r="G2279" s="92"/>
      <c r="H2279" s="113"/>
      <c r="I2279" s="92"/>
      <c r="J2279" s="92"/>
      <c r="K2279" s="92"/>
      <c r="L2279" s="113"/>
      <c r="M2279" s="92"/>
      <c r="N2279" s="92"/>
      <c r="O2279" s="92"/>
      <c r="P2279" s="92"/>
      <c r="Q2279" s="113"/>
      <c r="R2279" s="92"/>
      <c r="S2279" s="92"/>
      <c r="T2279" s="92"/>
      <c r="U2279" s="92"/>
      <c r="V2279" s="113"/>
      <c r="W2279" s="114"/>
      <c r="X2279" s="92"/>
      <c r="Y2279" s="92"/>
      <c r="Z2279" s="92"/>
    </row>
    <row r="2280" spans="1:26" s="5" customFormat="1">
      <c r="A2280" s="92"/>
      <c r="B2280" s="92"/>
      <c r="C2280" s="92"/>
      <c r="D2280" s="92"/>
      <c r="E2280" s="92"/>
      <c r="F2280" s="92"/>
      <c r="G2280" s="92"/>
      <c r="H2280" s="113"/>
      <c r="I2280" s="92"/>
      <c r="J2280" s="92"/>
      <c r="K2280" s="92"/>
      <c r="L2280" s="113"/>
      <c r="M2280" s="92"/>
      <c r="N2280" s="92"/>
      <c r="O2280" s="92"/>
      <c r="P2280" s="92"/>
      <c r="Q2280" s="113"/>
      <c r="R2280" s="92"/>
      <c r="S2280" s="92"/>
      <c r="T2280" s="92"/>
      <c r="U2280" s="92"/>
      <c r="V2280" s="113"/>
      <c r="W2280" s="114"/>
      <c r="X2280" s="92"/>
      <c r="Y2280" s="92"/>
      <c r="Z2280" s="92"/>
    </row>
    <row r="2281" spans="1:26" s="5" customFormat="1">
      <c r="A2281" s="92"/>
      <c r="B2281" s="92"/>
      <c r="C2281" s="92"/>
      <c r="D2281" s="92"/>
      <c r="E2281" s="92"/>
      <c r="F2281" s="92"/>
      <c r="G2281" s="92"/>
      <c r="H2281" s="113"/>
      <c r="I2281" s="92"/>
      <c r="J2281" s="92"/>
      <c r="K2281" s="92"/>
      <c r="L2281" s="113"/>
      <c r="M2281" s="92"/>
      <c r="N2281" s="92"/>
      <c r="O2281" s="92"/>
      <c r="P2281" s="92"/>
      <c r="Q2281" s="113"/>
      <c r="R2281" s="92"/>
      <c r="S2281" s="92"/>
      <c r="T2281" s="92"/>
      <c r="U2281" s="92"/>
      <c r="V2281" s="113"/>
      <c r="W2281" s="114"/>
      <c r="X2281" s="92"/>
      <c r="Y2281" s="92"/>
      <c r="Z2281" s="92"/>
    </row>
    <row r="2282" spans="1:26" s="5" customFormat="1">
      <c r="A2282" s="92"/>
      <c r="B2282" s="92"/>
      <c r="C2282" s="92"/>
      <c r="D2282" s="92"/>
      <c r="E2282" s="92"/>
      <c r="F2282" s="92"/>
      <c r="G2282" s="92"/>
      <c r="H2282" s="113"/>
      <c r="I2282" s="92"/>
      <c r="J2282" s="92"/>
      <c r="K2282" s="92"/>
      <c r="L2282" s="113"/>
      <c r="M2282" s="92"/>
      <c r="N2282" s="92"/>
      <c r="O2282" s="92"/>
      <c r="P2282" s="92"/>
      <c r="Q2282" s="113"/>
      <c r="R2282" s="92"/>
      <c r="S2282" s="92"/>
      <c r="T2282" s="92"/>
      <c r="U2282" s="92"/>
      <c r="V2282" s="113"/>
      <c r="W2282" s="114"/>
      <c r="X2282" s="92"/>
      <c r="Y2282" s="92"/>
      <c r="Z2282" s="92"/>
    </row>
    <row r="2283" spans="1:26" s="5" customFormat="1">
      <c r="A2283" s="92"/>
      <c r="B2283" s="92"/>
      <c r="C2283" s="92"/>
      <c r="D2283" s="92"/>
      <c r="E2283" s="92"/>
      <c r="F2283" s="92"/>
      <c r="G2283" s="92"/>
      <c r="H2283" s="113"/>
      <c r="I2283" s="92"/>
      <c r="J2283" s="92"/>
      <c r="K2283" s="92"/>
      <c r="L2283" s="113"/>
      <c r="M2283" s="92"/>
      <c r="N2283" s="92"/>
      <c r="O2283" s="92"/>
      <c r="P2283" s="92"/>
      <c r="Q2283" s="113"/>
      <c r="R2283" s="92"/>
      <c r="S2283" s="92"/>
      <c r="T2283" s="92"/>
      <c r="U2283" s="92"/>
      <c r="V2283" s="113"/>
      <c r="W2283" s="114"/>
      <c r="X2283" s="92"/>
      <c r="Y2283" s="92"/>
      <c r="Z2283" s="92"/>
    </row>
    <row r="2284" spans="1:26" s="5" customFormat="1">
      <c r="A2284" s="92"/>
      <c r="B2284" s="92"/>
      <c r="C2284" s="92"/>
      <c r="D2284" s="92"/>
      <c r="E2284" s="92"/>
      <c r="F2284" s="92"/>
      <c r="G2284" s="92"/>
      <c r="H2284" s="113"/>
      <c r="I2284" s="92"/>
      <c r="J2284" s="92"/>
      <c r="K2284" s="92"/>
      <c r="L2284" s="113"/>
      <c r="M2284" s="92"/>
      <c r="N2284" s="92"/>
      <c r="O2284" s="92"/>
      <c r="P2284" s="92"/>
      <c r="Q2284" s="113"/>
      <c r="R2284" s="92"/>
      <c r="S2284" s="92"/>
      <c r="T2284" s="92"/>
      <c r="U2284" s="92"/>
      <c r="V2284" s="113"/>
      <c r="W2284" s="114"/>
      <c r="X2284" s="92"/>
      <c r="Y2284" s="92"/>
      <c r="Z2284" s="92"/>
    </row>
    <row r="2285" spans="1:26" s="5" customFormat="1">
      <c r="A2285" s="92"/>
      <c r="B2285" s="92"/>
      <c r="C2285" s="92"/>
      <c r="D2285" s="92"/>
      <c r="E2285" s="92"/>
      <c r="F2285" s="92"/>
      <c r="G2285" s="92"/>
      <c r="H2285" s="113"/>
      <c r="I2285" s="92"/>
      <c r="J2285" s="92"/>
      <c r="K2285" s="92"/>
      <c r="L2285" s="113"/>
      <c r="M2285" s="92"/>
      <c r="N2285" s="92"/>
      <c r="O2285" s="92"/>
      <c r="P2285" s="92"/>
      <c r="Q2285" s="113"/>
      <c r="R2285" s="92"/>
      <c r="S2285" s="92"/>
      <c r="T2285" s="92"/>
      <c r="U2285" s="92"/>
      <c r="V2285" s="113"/>
      <c r="W2285" s="114"/>
      <c r="X2285" s="92"/>
      <c r="Y2285" s="92"/>
      <c r="Z2285" s="92"/>
    </row>
    <row r="2286" spans="1:26" s="5" customFormat="1">
      <c r="A2286" s="92"/>
      <c r="B2286" s="92"/>
      <c r="C2286" s="92"/>
      <c r="D2286" s="92"/>
      <c r="E2286" s="92"/>
      <c r="F2286" s="92"/>
      <c r="G2286" s="92"/>
      <c r="H2286" s="113"/>
      <c r="I2286" s="92"/>
      <c r="J2286" s="92"/>
      <c r="K2286" s="92"/>
      <c r="L2286" s="113"/>
      <c r="M2286" s="92"/>
      <c r="N2286" s="92"/>
      <c r="O2286" s="92"/>
      <c r="P2286" s="92"/>
      <c r="Q2286" s="113"/>
      <c r="R2286" s="92"/>
      <c r="S2286" s="92"/>
      <c r="T2286" s="92"/>
      <c r="U2286" s="92"/>
      <c r="V2286" s="113"/>
      <c r="W2286" s="114"/>
      <c r="X2286" s="92"/>
      <c r="Y2286" s="92"/>
      <c r="Z2286" s="92"/>
    </row>
    <row r="2287" spans="1:26" s="5" customFormat="1">
      <c r="A2287" s="92"/>
      <c r="B2287" s="92"/>
      <c r="C2287" s="92"/>
      <c r="D2287" s="92"/>
      <c r="E2287" s="92"/>
      <c r="F2287" s="92"/>
      <c r="G2287" s="92"/>
      <c r="H2287" s="113"/>
      <c r="I2287" s="92"/>
      <c r="J2287" s="92"/>
      <c r="K2287" s="92"/>
      <c r="L2287" s="113"/>
      <c r="M2287" s="92"/>
      <c r="N2287" s="92"/>
      <c r="O2287" s="92"/>
      <c r="P2287" s="92"/>
      <c r="Q2287" s="113"/>
      <c r="R2287" s="92"/>
      <c r="S2287" s="92"/>
      <c r="T2287" s="92"/>
      <c r="U2287" s="92"/>
      <c r="V2287" s="113"/>
      <c r="W2287" s="114"/>
      <c r="X2287" s="92"/>
      <c r="Y2287" s="92"/>
      <c r="Z2287" s="92"/>
    </row>
    <row r="2288" spans="1:26" s="5" customFormat="1">
      <c r="A2288" s="92"/>
      <c r="B2288" s="92"/>
      <c r="C2288" s="92"/>
      <c r="D2288" s="92"/>
      <c r="E2288" s="92"/>
      <c r="F2288" s="92"/>
      <c r="G2288" s="92"/>
      <c r="H2288" s="113"/>
      <c r="I2288" s="92"/>
      <c r="J2288" s="92"/>
      <c r="K2288" s="92"/>
      <c r="L2288" s="113"/>
      <c r="M2288" s="92"/>
      <c r="N2288" s="92"/>
      <c r="O2288" s="92"/>
      <c r="P2288" s="92"/>
      <c r="Q2288" s="113"/>
      <c r="R2288" s="92"/>
      <c r="S2288" s="92"/>
      <c r="T2288" s="92"/>
      <c r="U2288" s="92"/>
      <c r="V2288" s="113"/>
      <c r="W2288" s="114"/>
      <c r="X2288" s="92"/>
      <c r="Y2288" s="92"/>
      <c r="Z2288" s="92"/>
    </row>
    <row r="2289" spans="1:26" s="5" customFormat="1">
      <c r="A2289" s="92"/>
      <c r="B2289" s="92"/>
      <c r="C2289" s="92"/>
      <c r="D2289" s="92"/>
      <c r="E2289" s="92"/>
      <c r="F2289" s="92"/>
      <c r="G2289" s="92"/>
      <c r="H2289" s="113"/>
      <c r="I2289" s="92"/>
      <c r="J2289" s="92"/>
      <c r="K2289" s="92"/>
      <c r="L2289" s="113"/>
      <c r="M2289" s="92"/>
      <c r="N2289" s="92"/>
      <c r="O2289" s="92"/>
      <c r="P2289" s="92"/>
      <c r="Q2289" s="113"/>
      <c r="R2289" s="92"/>
      <c r="S2289" s="92"/>
      <c r="T2289" s="92"/>
      <c r="U2289" s="92"/>
      <c r="V2289" s="113"/>
      <c r="W2289" s="114"/>
      <c r="X2289" s="92"/>
      <c r="Y2289" s="92"/>
      <c r="Z2289" s="92"/>
    </row>
    <row r="2290" spans="1:26" s="5" customFormat="1">
      <c r="A2290" s="92"/>
      <c r="B2290" s="92"/>
      <c r="C2290" s="92"/>
      <c r="D2290" s="92"/>
      <c r="E2290" s="92"/>
      <c r="F2290" s="92"/>
      <c r="G2290" s="92"/>
      <c r="H2290" s="113"/>
      <c r="I2290" s="92"/>
      <c r="J2290" s="92"/>
      <c r="K2290" s="92"/>
      <c r="L2290" s="113"/>
      <c r="M2290" s="92"/>
      <c r="N2290" s="92"/>
      <c r="O2290" s="92"/>
      <c r="P2290" s="92"/>
      <c r="Q2290" s="113"/>
      <c r="R2290" s="92"/>
      <c r="S2290" s="92"/>
      <c r="T2290" s="92"/>
      <c r="U2290" s="92"/>
      <c r="V2290" s="113"/>
      <c r="W2290" s="114"/>
      <c r="X2290" s="92"/>
      <c r="Y2290" s="92"/>
      <c r="Z2290" s="92"/>
    </row>
    <row r="2291" spans="1:26" s="5" customFormat="1">
      <c r="A2291" s="92"/>
      <c r="B2291" s="92"/>
      <c r="C2291" s="92"/>
      <c r="D2291" s="92"/>
      <c r="E2291" s="92"/>
      <c r="F2291" s="92"/>
      <c r="G2291" s="92"/>
      <c r="H2291" s="113"/>
      <c r="I2291" s="92"/>
      <c r="J2291" s="92"/>
      <c r="K2291" s="92"/>
      <c r="L2291" s="113"/>
      <c r="M2291" s="92"/>
      <c r="N2291" s="92"/>
      <c r="O2291" s="92"/>
      <c r="P2291" s="92"/>
      <c r="Q2291" s="113"/>
      <c r="R2291" s="92"/>
      <c r="S2291" s="92"/>
      <c r="T2291" s="92"/>
      <c r="U2291" s="92"/>
      <c r="V2291" s="113"/>
      <c r="W2291" s="114"/>
      <c r="X2291" s="92"/>
      <c r="Y2291" s="92"/>
      <c r="Z2291" s="92"/>
    </row>
    <row r="2292" spans="1:26" s="5" customFormat="1">
      <c r="A2292" s="92"/>
      <c r="B2292" s="92"/>
      <c r="C2292" s="92"/>
      <c r="D2292" s="92"/>
      <c r="E2292" s="92"/>
      <c r="F2292" s="92"/>
      <c r="G2292" s="92"/>
      <c r="H2292" s="113"/>
      <c r="I2292" s="92"/>
      <c r="J2292" s="92"/>
      <c r="K2292" s="92"/>
      <c r="L2292" s="113"/>
      <c r="M2292" s="92"/>
      <c r="N2292" s="92"/>
      <c r="O2292" s="92"/>
      <c r="P2292" s="92"/>
      <c r="Q2292" s="113"/>
      <c r="R2292" s="92"/>
      <c r="S2292" s="92"/>
      <c r="T2292" s="92"/>
      <c r="U2292" s="92"/>
      <c r="V2292" s="113"/>
      <c r="W2292" s="114"/>
      <c r="X2292" s="92"/>
      <c r="Y2292" s="92"/>
      <c r="Z2292" s="92"/>
    </row>
    <row r="2293" spans="1:26" s="5" customFormat="1">
      <c r="A2293" s="92"/>
      <c r="B2293" s="92"/>
      <c r="C2293" s="92"/>
      <c r="D2293" s="92"/>
      <c r="E2293" s="92"/>
      <c r="F2293" s="92"/>
      <c r="G2293" s="92"/>
      <c r="H2293" s="113"/>
      <c r="I2293" s="92"/>
      <c r="J2293" s="92"/>
      <c r="K2293" s="92"/>
      <c r="L2293" s="113"/>
      <c r="M2293" s="92"/>
      <c r="N2293" s="92"/>
      <c r="O2293" s="92"/>
      <c r="P2293" s="92"/>
      <c r="Q2293" s="113"/>
      <c r="R2293" s="92"/>
      <c r="S2293" s="92"/>
      <c r="T2293" s="92"/>
      <c r="U2293" s="92"/>
      <c r="V2293" s="113"/>
      <c r="W2293" s="114"/>
      <c r="X2293" s="92"/>
      <c r="Y2293" s="92"/>
      <c r="Z2293" s="92"/>
    </row>
    <row r="2294" spans="1:26" s="5" customFormat="1">
      <c r="A2294" s="92"/>
      <c r="B2294" s="92"/>
      <c r="C2294" s="92"/>
      <c r="D2294" s="92"/>
      <c r="E2294" s="92"/>
      <c r="F2294" s="92"/>
      <c r="G2294" s="92"/>
      <c r="H2294" s="113"/>
      <c r="I2294" s="92"/>
      <c r="J2294" s="92"/>
      <c r="K2294" s="92"/>
      <c r="L2294" s="113"/>
      <c r="M2294" s="92"/>
      <c r="N2294" s="92"/>
      <c r="O2294" s="92"/>
      <c r="P2294" s="92"/>
      <c r="Q2294" s="113"/>
      <c r="R2294" s="92"/>
      <c r="S2294" s="92"/>
      <c r="T2294" s="92"/>
      <c r="U2294" s="92"/>
      <c r="V2294" s="113"/>
      <c r="W2294" s="114"/>
      <c r="X2294" s="92"/>
      <c r="Y2294" s="92"/>
      <c r="Z2294" s="92"/>
    </row>
    <row r="2295" spans="1:26" s="5" customFormat="1">
      <c r="A2295" s="92"/>
      <c r="B2295" s="92"/>
      <c r="C2295" s="92"/>
      <c r="D2295" s="92"/>
      <c r="E2295" s="92"/>
      <c r="F2295" s="92"/>
      <c r="G2295" s="92"/>
      <c r="H2295" s="113"/>
      <c r="I2295" s="92"/>
      <c r="J2295" s="92"/>
      <c r="K2295" s="92"/>
      <c r="L2295" s="113"/>
      <c r="M2295" s="92"/>
      <c r="N2295" s="92"/>
      <c r="O2295" s="92"/>
      <c r="P2295" s="92"/>
      <c r="Q2295" s="113"/>
      <c r="R2295" s="92"/>
      <c r="S2295" s="92"/>
      <c r="T2295" s="92"/>
      <c r="U2295" s="92"/>
      <c r="V2295" s="113"/>
      <c r="W2295" s="114"/>
      <c r="X2295" s="92"/>
      <c r="Y2295" s="92"/>
      <c r="Z2295" s="92"/>
    </row>
    <row r="2296" spans="1:26" s="5" customFormat="1">
      <c r="A2296" s="92"/>
      <c r="B2296" s="92"/>
      <c r="C2296" s="92"/>
      <c r="D2296" s="92"/>
      <c r="E2296" s="92"/>
      <c r="F2296" s="92"/>
      <c r="G2296" s="92"/>
      <c r="H2296" s="113"/>
      <c r="I2296" s="92"/>
      <c r="J2296" s="92"/>
      <c r="K2296" s="92"/>
      <c r="L2296" s="113"/>
      <c r="M2296" s="92"/>
      <c r="N2296" s="92"/>
      <c r="O2296" s="92"/>
      <c r="P2296" s="92"/>
      <c r="Q2296" s="113"/>
      <c r="R2296" s="92"/>
      <c r="S2296" s="92"/>
      <c r="T2296" s="92"/>
      <c r="U2296" s="92"/>
      <c r="V2296" s="113"/>
      <c r="W2296" s="114"/>
      <c r="X2296" s="92"/>
      <c r="Y2296" s="92"/>
      <c r="Z2296" s="92"/>
    </row>
    <row r="2297" spans="1:26" s="5" customFormat="1">
      <c r="A2297" s="92"/>
      <c r="B2297" s="92"/>
      <c r="C2297" s="92"/>
      <c r="D2297" s="92"/>
      <c r="E2297" s="92"/>
      <c r="F2297" s="92"/>
      <c r="G2297" s="92"/>
      <c r="H2297" s="113"/>
      <c r="I2297" s="92"/>
      <c r="J2297" s="92"/>
      <c r="K2297" s="92"/>
      <c r="L2297" s="113"/>
      <c r="M2297" s="92"/>
      <c r="N2297" s="92"/>
      <c r="O2297" s="92"/>
      <c r="P2297" s="92"/>
      <c r="Q2297" s="113"/>
      <c r="R2297" s="92"/>
      <c r="S2297" s="92"/>
      <c r="T2297" s="92"/>
      <c r="U2297" s="92"/>
      <c r="V2297" s="113"/>
      <c r="W2297" s="114"/>
      <c r="X2297" s="92"/>
      <c r="Y2297" s="92"/>
      <c r="Z2297" s="92"/>
    </row>
    <row r="2298" spans="1:26" s="5" customFormat="1">
      <c r="A2298" s="92"/>
      <c r="B2298" s="92"/>
      <c r="C2298" s="92"/>
      <c r="D2298" s="92"/>
      <c r="E2298" s="92"/>
      <c r="F2298" s="92"/>
      <c r="G2298" s="92"/>
      <c r="H2298" s="113"/>
      <c r="I2298" s="92"/>
      <c r="J2298" s="92"/>
      <c r="K2298" s="92"/>
      <c r="L2298" s="113"/>
      <c r="M2298" s="92"/>
      <c r="N2298" s="92"/>
      <c r="O2298" s="92"/>
      <c r="P2298" s="92"/>
      <c r="Q2298" s="113"/>
      <c r="R2298" s="92"/>
      <c r="S2298" s="92"/>
      <c r="T2298" s="92"/>
      <c r="U2298" s="92"/>
      <c r="V2298" s="113"/>
      <c r="W2298" s="114"/>
      <c r="X2298" s="92"/>
      <c r="Y2298" s="92"/>
      <c r="Z2298" s="92"/>
    </row>
    <row r="2299" spans="1:26" s="5" customFormat="1">
      <c r="A2299" s="92"/>
      <c r="B2299" s="92"/>
      <c r="C2299" s="92"/>
      <c r="D2299" s="92"/>
      <c r="E2299" s="92"/>
      <c r="F2299" s="92"/>
      <c r="G2299" s="92"/>
      <c r="H2299" s="113"/>
      <c r="I2299" s="92"/>
      <c r="J2299" s="92"/>
      <c r="K2299" s="92"/>
      <c r="L2299" s="113"/>
      <c r="M2299" s="92"/>
      <c r="N2299" s="92"/>
      <c r="O2299" s="92"/>
      <c r="P2299" s="92"/>
      <c r="Q2299" s="113"/>
      <c r="R2299" s="92"/>
      <c r="S2299" s="92"/>
      <c r="T2299" s="92"/>
      <c r="U2299" s="92"/>
      <c r="V2299" s="113"/>
      <c r="W2299" s="114"/>
      <c r="X2299" s="92"/>
      <c r="Y2299" s="92"/>
      <c r="Z2299" s="92"/>
    </row>
    <row r="2300" spans="1:26" s="5" customFormat="1">
      <c r="A2300" s="92"/>
      <c r="B2300" s="92"/>
      <c r="C2300" s="92"/>
      <c r="D2300" s="92"/>
      <c r="E2300" s="92"/>
      <c r="F2300" s="92"/>
      <c r="G2300" s="92"/>
      <c r="H2300" s="113"/>
      <c r="I2300" s="92"/>
      <c r="J2300" s="92"/>
      <c r="K2300" s="92"/>
      <c r="L2300" s="113"/>
      <c r="M2300" s="92"/>
      <c r="N2300" s="92"/>
      <c r="O2300" s="92"/>
      <c r="P2300" s="92"/>
      <c r="Q2300" s="113"/>
      <c r="R2300" s="92"/>
      <c r="S2300" s="92"/>
      <c r="T2300" s="92"/>
      <c r="U2300" s="92"/>
      <c r="V2300" s="113"/>
      <c r="W2300" s="114"/>
      <c r="X2300" s="92"/>
      <c r="Y2300" s="92"/>
      <c r="Z2300" s="92"/>
    </row>
    <row r="2301" spans="1:26" s="5" customFormat="1">
      <c r="A2301" s="92"/>
      <c r="B2301" s="92"/>
      <c r="C2301" s="92"/>
      <c r="D2301" s="92"/>
      <c r="E2301" s="92"/>
      <c r="F2301" s="92"/>
      <c r="G2301" s="92"/>
      <c r="H2301" s="113"/>
      <c r="I2301" s="92"/>
      <c r="J2301" s="92"/>
      <c r="K2301" s="92"/>
      <c r="L2301" s="113"/>
      <c r="M2301" s="92"/>
      <c r="N2301" s="92"/>
      <c r="O2301" s="92"/>
      <c r="P2301" s="92"/>
      <c r="Q2301" s="113"/>
      <c r="R2301" s="92"/>
      <c r="S2301" s="92"/>
      <c r="T2301" s="92"/>
      <c r="U2301" s="92"/>
      <c r="V2301" s="113"/>
      <c r="W2301" s="114"/>
      <c r="X2301" s="92"/>
      <c r="Y2301" s="92"/>
      <c r="Z2301" s="92"/>
    </row>
    <row r="2302" spans="1:26" s="5" customFormat="1">
      <c r="A2302" s="92"/>
      <c r="B2302" s="92"/>
      <c r="C2302" s="92"/>
      <c r="D2302" s="92"/>
      <c r="E2302" s="92"/>
      <c r="F2302" s="92"/>
      <c r="G2302" s="92"/>
      <c r="H2302" s="113"/>
      <c r="I2302" s="92"/>
      <c r="J2302" s="92"/>
      <c r="K2302" s="92"/>
      <c r="L2302" s="113"/>
      <c r="M2302" s="92"/>
      <c r="N2302" s="92"/>
      <c r="O2302" s="92"/>
      <c r="P2302" s="92"/>
      <c r="Q2302" s="113"/>
      <c r="R2302" s="92"/>
      <c r="S2302" s="92"/>
      <c r="T2302" s="92"/>
      <c r="U2302" s="92"/>
      <c r="V2302" s="113"/>
      <c r="W2302" s="114"/>
      <c r="X2302" s="92"/>
      <c r="Y2302" s="92"/>
      <c r="Z2302" s="92"/>
    </row>
    <row r="2303" spans="1:26" s="5" customFormat="1">
      <c r="A2303" s="92"/>
      <c r="B2303" s="92"/>
      <c r="C2303" s="92"/>
      <c r="D2303" s="92"/>
      <c r="E2303" s="92"/>
      <c r="F2303" s="92"/>
      <c r="G2303" s="92"/>
      <c r="H2303" s="113"/>
      <c r="I2303" s="92"/>
      <c r="J2303" s="92"/>
      <c r="K2303" s="92"/>
      <c r="L2303" s="113"/>
      <c r="M2303" s="92"/>
      <c r="N2303" s="92"/>
      <c r="O2303" s="92"/>
      <c r="P2303" s="92"/>
      <c r="Q2303" s="113"/>
      <c r="R2303" s="92"/>
      <c r="S2303" s="92"/>
      <c r="T2303" s="92"/>
      <c r="U2303" s="92"/>
      <c r="V2303" s="113"/>
      <c r="W2303" s="114"/>
      <c r="X2303" s="92"/>
      <c r="Y2303" s="92"/>
      <c r="Z2303" s="92"/>
    </row>
    <row r="2304" spans="1:26" s="5" customFormat="1">
      <c r="A2304" s="92"/>
      <c r="B2304" s="92"/>
      <c r="C2304" s="92"/>
      <c r="D2304" s="92"/>
      <c r="E2304" s="92"/>
      <c r="F2304" s="92"/>
      <c r="G2304" s="92"/>
      <c r="H2304" s="113"/>
      <c r="I2304" s="92"/>
      <c r="J2304" s="92"/>
      <c r="K2304" s="92"/>
      <c r="L2304" s="113"/>
      <c r="M2304" s="92"/>
      <c r="N2304" s="92"/>
      <c r="O2304" s="92"/>
      <c r="P2304" s="92"/>
      <c r="Q2304" s="113"/>
      <c r="R2304" s="92"/>
      <c r="S2304" s="92"/>
      <c r="T2304" s="92"/>
      <c r="U2304" s="92"/>
      <c r="V2304" s="113"/>
      <c r="W2304" s="114"/>
      <c r="X2304" s="92"/>
      <c r="Y2304" s="92"/>
      <c r="Z2304" s="92"/>
    </row>
    <row r="2305" spans="1:26" s="5" customFormat="1">
      <c r="A2305" s="92"/>
      <c r="B2305" s="92"/>
      <c r="C2305" s="92"/>
      <c r="D2305" s="92"/>
      <c r="E2305" s="92"/>
      <c r="F2305" s="92"/>
      <c r="G2305" s="92"/>
      <c r="H2305" s="113"/>
      <c r="I2305" s="92"/>
      <c r="J2305" s="92"/>
      <c r="K2305" s="92"/>
      <c r="L2305" s="113"/>
      <c r="M2305" s="92"/>
      <c r="N2305" s="92"/>
      <c r="O2305" s="92"/>
      <c r="P2305" s="92"/>
      <c r="Q2305" s="113"/>
      <c r="R2305" s="92"/>
      <c r="S2305" s="92"/>
      <c r="T2305" s="92"/>
      <c r="U2305" s="92"/>
      <c r="V2305" s="113"/>
      <c r="W2305" s="114"/>
      <c r="X2305" s="92"/>
      <c r="Y2305" s="92"/>
      <c r="Z2305" s="92"/>
    </row>
    <row r="2306" spans="1:26" s="5" customFormat="1">
      <c r="A2306" s="92"/>
      <c r="B2306" s="92"/>
      <c r="C2306" s="92"/>
      <c r="D2306" s="92"/>
      <c r="E2306" s="92"/>
      <c r="F2306" s="92"/>
      <c r="G2306" s="92"/>
      <c r="H2306" s="113"/>
      <c r="I2306" s="92"/>
      <c r="J2306" s="92"/>
      <c r="K2306" s="92"/>
      <c r="L2306" s="113"/>
      <c r="M2306" s="92"/>
      <c r="N2306" s="92"/>
      <c r="O2306" s="92"/>
      <c r="P2306" s="92"/>
      <c r="Q2306" s="113"/>
      <c r="R2306" s="92"/>
      <c r="S2306" s="92"/>
      <c r="T2306" s="92"/>
      <c r="U2306" s="92"/>
      <c r="V2306" s="113"/>
      <c r="W2306" s="114"/>
      <c r="X2306" s="92"/>
      <c r="Y2306" s="92"/>
      <c r="Z2306" s="92"/>
    </row>
    <row r="2307" spans="1:26" s="5" customFormat="1">
      <c r="A2307" s="92"/>
      <c r="B2307" s="92"/>
      <c r="C2307" s="92"/>
      <c r="D2307" s="92"/>
      <c r="E2307" s="92"/>
      <c r="F2307" s="92"/>
      <c r="G2307" s="92"/>
      <c r="H2307" s="113"/>
      <c r="I2307" s="92"/>
      <c r="J2307" s="92"/>
      <c r="K2307" s="92"/>
      <c r="L2307" s="113"/>
      <c r="M2307" s="92"/>
      <c r="N2307" s="92"/>
      <c r="O2307" s="92"/>
      <c r="P2307" s="92"/>
      <c r="Q2307" s="113"/>
      <c r="R2307" s="92"/>
      <c r="S2307" s="92"/>
      <c r="T2307" s="92"/>
      <c r="U2307" s="92"/>
      <c r="V2307" s="113"/>
      <c r="W2307" s="114"/>
      <c r="X2307" s="92"/>
      <c r="Y2307" s="92"/>
      <c r="Z2307" s="92"/>
    </row>
    <row r="2308" spans="1:26" s="5" customFormat="1">
      <c r="A2308" s="92"/>
      <c r="B2308" s="92"/>
      <c r="C2308" s="92"/>
      <c r="D2308" s="92"/>
      <c r="E2308" s="92"/>
      <c r="F2308" s="92"/>
      <c r="G2308" s="92"/>
      <c r="H2308" s="113"/>
      <c r="I2308" s="92"/>
      <c r="J2308" s="92"/>
      <c r="K2308" s="92"/>
      <c r="L2308" s="113"/>
      <c r="M2308" s="92"/>
      <c r="N2308" s="92"/>
      <c r="O2308" s="92"/>
      <c r="P2308" s="92"/>
      <c r="Q2308" s="113"/>
      <c r="R2308" s="92"/>
      <c r="S2308" s="92"/>
      <c r="T2308" s="92"/>
      <c r="U2308" s="92"/>
      <c r="V2308" s="113"/>
      <c r="W2308" s="114"/>
      <c r="X2308" s="92"/>
      <c r="Y2308" s="92"/>
      <c r="Z2308" s="92"/>
    </row>
    <row r="2309" spans="1:26" s="5" customFormat="1">
      <c r="A2309" s="92"/>
      <c r="B2309" s="92"/>
      <c r="C2309" s="92"/>
      <c r="D2309" s="92"/>
      <c r="E2309" s="92"/>
      <c r="F2309" s="92"/>
      <c r="G2309" s="92"/>
      <c r="H2309" s="113"/>
      <c r="I2309" s="92"/>
      <c r="J2309" s="92"/>
      <c r="K2309" s="92"/>
      <c r="L2309" s="113"/>
      <c r="M2309" s="92"/>
      <c r="N2309" s="92"/>
      <c r="O2309" s="92"/>
      <c r="P2309" s="92"/>
      <c r="Q2309" s="113"/>
      <c r="R2309" s="92"/>
      <c r="S2309" s="92"/>
      <c r="T2309" s="92"/>
      <c r="U2309" s="92"/>
      <c r="V2309" s="113"/>
      <c r="W2309" s="114"/>
      <c r="X2309" s="92"/>
      <c r="Y2309" s="92"/>
      <c r="Z2309" s="92"/>
    </row>
    <row r="2310" spans="1:26" s="5" customFormat="1">
      <c r="A2310" s="92"/>
      <c r="B2310" s="92"/>
      <c r="C2310" s="92"/>
      <c r="D2310" s="92"/>
      <c r="E2310" s="92"/>
      <c r="F2310" s="92"/>
      <c r="G2310" s="92"/>
      <c r="H2310" s="113"/>
      <c r="I2310" s="92"/>
      <c r="J2310" s="92"/>
      <c r="K2310" s="92"/>
      <c r="L2310" s="113"/>
      <c r="M2310" s="92"/>
      <c r="N2310" s="92"/>
      <c r="O2310" s="92"/>
      <c r="P2310" s="92"/>
      <c r="Q2310" s="113"/>
      <c r="R2310" s="92"/>
      <c r="S2310" s="92"/>
      <c r="T2310" s="92"/>
      <c r="U2310" s="92"/>
      <c r="V2310" s="113"/>
      <c r="W2310" s="114"/>
      <c r="X2310" s="92"/>
      <c r="Y2310" s="92"/>
      <c r="Z2310" s="92"/>
    </row>
    <row r="2311" spans="1:26" s="5" customFormat="1">
      <c r="A2311" s="92"/>
      <c r="B2311" s="92"/>
      <c r="C2311" s="92"/>
      <c r="D2311" s="92"/>
      <c r="E2311" s="92"/>
      <c r="F2311" s="92"/>
      <c r="G2311" s="92"/>
      <c r="H2311" s="113"/>
      <c r="I2311" s="92"/>
      <c r="J2311" s="92"/>
      <c r="K2311" s="92"/>
      <c r="L2311" s="113"/>
      <c r="M2311" s="92"/>
      <c r="N2311" s="92"/>
      <c r="O2311" s="92"/>
      <c r="P2311" s="92"/>
      <c r="Q2311" s="113"/>
      <c r="R2311" s="92"/>
      <c r="S2311" s="92"/>
      <c r="T2311" s="92"/>
      <c r="U2311" s="92"/>
      <c r="V2311" s="113"/>
      <c r="W2311" s="114"/>
      <c r="X2311" s="92"/>
      <c r="Y2311" s="92"/>
      <c r="Z2311" s="92"/>
    </row>
    <row r="2312" spans="1:26" s="5" customFormat="1">
      <c r="A2312" s="92"/>
      <c r="B2312" s="92"/>
      <c r="C2312" s="92"/>
      <c r="D2312" s="92"/>
      <c r="E2312" s="92"/>
      <c r="F2312" s="92"/>
      <c r="G2312" s="92"/>
      <c r="H2312" s="113"/>
      <c r="I2312" s="92"/>
      <c r="J2312" s="92"/>
      <c r="K2312" s="92"/>
      <c r="L2312" s="113"/>
      <c r="M2312" s="92"/>
      <c r="N2312" s="92"/>
      <c r="O2312" s="92"/>
      <c r="P2312" s="92"/>
      <c r="Q2312" s="113"/>
      <c r="R2312" s="92"/>
      <c r="S2312" s="92"/>
      <c r="T2312" s="92"/>
      <c r="U2312" s="92"/>
      <c r="V2312" s="113"/>
      <c r="W2312" s="114"/>
      <c r="X2312" s="92"/>
      <c r="Y2312" s="92"/>
      <c r="Z2312" s="92"/>
    </row>
    <row r="2313" spans="1:26" s="5" customFormat="1">
      <c r="A2313" s="92"/>
      <c r="B2313" s="92"/>
      <c r="C2313" s="92"/>
      <c r="D2313" s="92"/>
      <c r="E2313" s="92"/>
      <c r="F2313" s="92"/>
      <c r="G2313" s="92"/>
      <c r="H2313" s="113"/>
      <c r="I2313" s="92"/>
      <c r="J2313" s="92"/>
      <c r="K2313" s="92"/>
      <c r="L2313" s="113"/>
      <c r="M2313" s="92"/>
      <c r="N2313" s="92"/>
      <c r="O2313" s="92"/>
      <c r="P2313" s="92"/>
      <c r="Q2313" s="113"/>
      <c r="R2313" s="92"/>
      <c r="S2313" s="92"/>
      <c r="T2313" s="92"/>
      <c r="U2313" s="92"/>
      <c r="V2313" s="113"/>
      <c r="W2313" s="114"/>
      <c r="X2313" s="92"/>
      <c r="Y2313" s="92"/>
      <c r="Z2313" s="92"/>
    </row>
    <row r="2314" spans="1:26" s="5" customFormat="1">
      <c r="A2314" s="92"/>
      <c r="B2314" s="92"/>
      <c r="C2314" s="92"/>
      <c r="D2314" s="92"/>
      <c r="E2314" s="92"/>
      <c r="F2314" s="92"/>
      <c r="G2314" s="92"/>
      <c r="H2314" s="113"/>
      <c r="I2314" s="92"/>
      <c r="J2314" s="92"/>
      <c r="K2314" s="92"/>
      <c r="L2314" s="113"/>
      <c r="M2314" s="92"/>
      <c r="N2314" s="92"/>
      <c r="O2314" s="92"/>
      <c r="P2314" s="92"/>
      <c r="Q2314" s="113"/>
      <c r="R2314" s="92"/>
      <c r="S2314" s="92"/>
      <c r="T2314" s="92"/>
      <c r="U2314" s="92"/>
      <c r="V2314" s="113"/>
      <c r="W2314" s="114"/>
      <c r="X2314" s="92"/>
      <c r="Y2314" s="92"/>
      <c r="Z2314" s="92"/>
    </row>
    <row r="2315" spans="1:26" s="5" customFormat="1">
      <c r="A2315" s="92"/>
      <c r="B2315" s="92"/>
      <c r="C2315" s="92"/>
      <c r="D2315" s="92"/>
      <c r="E2315" s="92"/>
      <c r="F2315" s="92"/>
      <c r="G2315" s="92"/>
      <c r="H2315" s="113"/>
      <c r="I2315" s="92"/>
      <c r="J2315" s="92"/>
      <c r="K2315" s="92"/>
      <c r="L2315" s="113"/>
      <c r="M2315" s="92"/>
      <c r="N2315" s="92"/>
      <c r="O2315" s="92"/>
      <c r="P2315" s="92"/>
      <c r="Q2315" s="113"/>
      <c r="R2315" s="92"/>
      <c r="S2315" s="92"/>
      <c r="T2315" s="92"/>
      <c r="U2315" s="92"/>
      <c r="V2315" s="113"/>
      <c r="W2315" s="114"/>
      <c r="X2315" s="92"/>
      <c r="Y2315" s="92"/>
      <c r="Z2315" s="92"/>
    </row>
    <row r="2316" spans="1:26" s="5" customFormat="1">
      <c r="A2316" s="92"/>
      <c r="B2316" s="92"/>
      <c r="C2316" s="92"/>
      <c r="D2316" s="92"/>
      <c r="E2316" s="92"/>
      <c r="F2316" s="92"/>
      <c r="G2316" s="92"/>
      <c r="H2316" s="113"/>
      <c r="I2316" s="92"/>
      <c r="J2316" s="92"/>
      <c r="K2316" s="92"/>
      <c r="L2316" s="113"/>
      <c r="M2316" s="92"/>
      <c r="N2316" s="92"/>
      <c r="O2316" s="92"/>
      <c r="P2316" s="92"/>
      <c r="Q2316" s="113"/>
      <c r="R2316" s="92"/>
      <c r="S2316" s="92"/>
      <c r="T2316" s="92"/>
      <c r="U2316" s="92"/>
      <c r="V2316" s="113"/>
      <c r="W2316" s="114"/>
      <c r="X2316" s="92"/>
      <c r="Y2316" s="92"/>
      <c r="Z2316" s="92"/>
    </row>
    <row r="2317" spans="1:26" s="5" customFormat="1">
      <c r="A2317" s="92"/>
      <c r="B2317" s="92"/>
      <c r="C2317" s="92"/>
      <c r="D2317" s="92"/>
      <c r="E2317" s="92"/>
      <c r="F2317" s="92"/>
      <c r="G2317" s="92"/>
      <c r="H2317" s="113"/>
      <c r="I2317" s="92"/>
      <c r="J2317" s="92"/>
      <c r="K2317" s="92"/>
      <c r="L2317" s="113"/>
      <c r="M2317" s="92"/>
      <c r="N2317" s="92"/>
      <c r="O2317" s="92"/>
      <c r="P2317" s="92"/>
      <c r="Q2317" s="113"/>
      <c r="R2317" s="92"/>
      <c r="S2317" s="92"/>
      <c r="T2317" s="92"/>
      <c r="U2317" s="92"/>
      <c r="V2317" s="113"/>
      <c r="W2317" s="114"/>
      <c r="X2317" s="92"/>
      <c r="Y2317" s="92"/>
      <c r="Z2317" s="92"/>
    </row>
    <row r="2318" spans="1:26" s="5" customFormat="1">
      <c r="A2318" s="92"/>
      <c r="B2318" s="92"/>
      <c r="C2318" s="92"/>
      <c r="D2318" s="92"/>
      <c r="E2318" s="92"/>
      <c r="F2318" s="92"/>
      <c r="G2318" s="92"/>
      <c r="H2318" s="113"/>
      <c r="I2318" s="92"/>
      <c r="J2318" s="92"/>
      <c r="K2318" s="92"/>
      <c r="L2318" s="113"/>
      <c r="M2318" s="92"/>
      <c r="N2318" s="92"/>
      <c r="O2318" s="92"/>
      <c r="P2318" s="92"/>
      <c r="Q2318" s="113"/>
      <c r="R2318" s="92"/>
      <c r="S2318" s="92"/>
      <c r="T2318" s="92"/>
      <c r="U2318" s="92"/>
      <c r="V2318" s="113"/>
      <c r="W2318" s="114"/>
      <c r="X2318" s="92"/>
      <c r="Y2318" s="92"/>
      <c r="Z2318" s="92"/>
    </row>
    <row r="2319" spans="1:26" s="5" customFormat="1">
      <c r="A2319" s="92"/>
      <c r="B2319" s="92"/>
      <c r="C2319" s="92"/>
      <c r="D2319" s="92"/>
      <c r="E2319" s="92"/>
      <c r="F2319" s="92"/>
      <c r="G2319" s="92"/>
      <c r="H2319" s="113"/>
      <c r="I2319" s="92"/>
      <c r="J2319" s="92"/>
      <c r="K2319" s="92"/>
      <c r="L2319" s="113"/>
      <c r="M2319" s="92"/>
      <c r="N2319" s="92"/>
      <c r="O2319" s="92"/>
      <c r="P2319" s="92"/>
      <c r="Q2319" s="113"/>
      <c r="R2319" s="92"/>
      <c r="S2319" s="92"/>
      <c r="T2319" s="92"/>
      <c r="U2319" s="92"/>
      <c r="V2319" s="113"/>
      <c r="W2319" s="114"/>
      <c r="X2319" s="92"/>
      <c r="Y2319" s="92"/>
      <c r="Z2319" s="92"/>
    </row>
    <row r="2320" spans="1:26" s="5" customFormat="1">
      <c r="A2320" s="92"/>
      <c r="B2320" s="92"/>
      <c r="C2320" s="92"/>
      <c r="D2320" s="92"/>
      <c r="E2320" s="92"/>
      <c r="F2320" s="92"/>
      <c r="G2320" s="92"/>
      <c r="H2320" s="113"/>
      <c r="I2320" s="92"/>
      <c r="J2320" s="92"/>
      <c r="K2320" s="92"/>
      <c r="L2320" s="113"/>
      <c r="M2320" s="92"/>
      <c r="N2320" s="92"/>
      <c r="O2320" s="92"/>
      <c r="P2320" s="92"/>
      <c r="Q2320" s="113"/>
      <c r="R2320" s="92"/>
      <c r="S2320" s="92"/>
      <c r="T2320" s="92"/>
      <c r="U2320" s="92"/>
      <c r="V2320" s="113"/>
      <c r="W2320" s="114"/>
      <c r="X2320" s="92"/>
      <c r="Y2320" s="92"/>
      <c r="Z2320" s="92"/>
    </row>
    <row r="2321" spans="1:26" s="5" customFormat="1">
      <c r="A2321" s="92"/>
      <c r="B2321" s="92"/>
      <c r="C2321" s="92"/>
      <c r="D2321" s="92"/>
      <c r="E2321" s="92"/>
      <c r="F2321" s="92"/>
      <c r="G2321" s="92"/>
      <c r="H2321" s="113"/>
      <c r="I2321" s="92"/>
      <c r="J2321" s="92"/>
      <c r="K2321" s="92"/>
      <c r="L2321" s="113"/>
      <c r="M2321" s="92"/>
      <c r="N2321" s="92"/>
      <c r="O2321" s="92"/>
      <c r="P2321" s="92"/>
      <c r="Q2321" s="113"/>
      <c r="R2321" s="92"/>
      <c r="S2321" s="92"/>
      <c r="T2321" s="92"/>
      <c r="U2321" s="92"/>
      <c r="V2321" s="113"/>
      <c r="W2321" s="114"/>
      <c r="X2321" s="92"/>
      <c r="Y2321" s="92"/>
      <c r="Z2321" s="92"/>
    </row>
    <row r="2322" spans="1:26" s="5" customFormat="1">
      <c r="A2322" s="92"/>
      <c r="B2322" s="92"/>
      <c r="C2322" s="92"/>
      <c r="D2322" s="92"/>
      <c r="E2322" s="92"/>
      <c r="F2322" s="92"/>
      <c r="G2322" s="92"/>
      <c r="H2322" s="113"/>
      <c r="I2322" s="92"/>
      <c r="J2322" s="92"/>
      <c r="K2322" s="92"/>
      <c r="L2322" s="113"/>
      <c r="M2322" s="92"/>
      <c r="N2322" s="92"/>
      <c r="O2322" s="92"/>
      <c r="P2322" s="92"/>
      <c r="Q2322" s="113"/>
      <c r="R2322" s="92"/>
      <c r="S2322" s="92"/>
      <c r="T2322" s="92"/>
      <c r="U2322" s="92"/>
      <c r="V2322" s="113"/>
      <c r="W2322" s="114"/>
      <c r="X2322" s="92"/>
      <c r="Y2322" s="92"/>
      <c r="Z2322" s="92"/>
    </row>
    <row r="2323" spans="1:26" s="5" customFormat="1">
      <c r="A2323" s="92"/>
      <c r="B2323" s="92"/>
      <c r="C2323" s="92"/>
      <c r="D2323" s="92"/>
      <c r="E2323" s="92"/>
      <c r="F2323" s="92"/>
      <c r="G2323" s="92"/>
      <c r="H2323" s="113"/>
      <c r="I2323" s="92"/>
      <c r="J2323" s="92"/>
      <c r="K2323" s="92"/>
      <c r="L2323" s="113"/>
      <c r="M2323" s="92"/>
      <c r="N2323" s="92"/>
      <c r="O2323" s="92"/>
      <c r="P2323" s="92"/>
      <c r="Q2323" s="113"/>
      <c r="R2323" s="92"/>
      <c r="S2323" s="92"/>
      <c r="T2323" s="92"/>
      <c r="U2323" s="92"/>
      <c r="V2323" s="113"/>
      <c r="W2323" s="114"/>
      <c r="X2323" s="92"/>
      <c r="Y2323" s="92"/>
      <c r="Z2323" s="92"/>
    </row>
    <row r="2324" spans="1:26" s="5" customFormat="1">
      <c r="A2324" s="92"/>
      <c r="B2324" s="92"/>
      <c r="C2324" s="92"/>
      <c r="D2324" s="92"/>
      <c r="E2324" s="92"/>
      <c r="F2324" s="92"/>
      <c r="G2324" s="92"/>
      <c r="H2324" s="113"/>
      <c r="I2324" s="92"/>
      <c r="J2324" s="92"/>
      <c r="K2324" s="92"/>
      <c r="L2324" s="113"/>
      <c r="M2324" s="92"/>
      <c r="N2324" s="92"/>
      <c r="O2324" s="92"/>
      <c r="P2324" s="92"/>
      <c r="Q2324" s="113"/>
      <c r="R2324" s="92"/>
      <c r="S2324" s="92"/>
      <c r="T2324" s="92"/>
      <c r="U2324" s="92"/>
      <c r="V2324" s="113"/>
      <c r="W2324" s="114"/>
      <c r="X2324" s="92"/>
      <c r="Y2324" s="92"/>
      <c r="Z2324" s="92"/>
    </row>
    <row r="2325" spans="1:26" s="5" customFormat="1">
      <c r="A2325" s="92"/>
      <c r="B2325" s="92"/>
      <c r="C2325" s="92"/>
      <c r="D2325" s="92"/>
      <c r="E2325" s="92"/>
      <c r="F2325" s="92"/>
      <c r="G2325" s="92"/>
      <c r="H2325" s="113"/>
      <c r="I2325" s="92"/>
      <c r="J2325" s="92"/>
      <c r="K2325" s="92"/>
      <c r="L2325" s="113"/>
      <c r="M2325" s="92"/>
      <c r="N2325" s="92"/>
      <c r="O2325" s="92"/>
      <c r="P2325" s="92"/>
      <c r="Q2325" s="113"/>
      <c r="R2325" s="92"/>
      <c r="S2325" s="92"/>
      <c r="T2325" s="92"/>
      <c r="U2325" s="92"/>
      <c r="V2325" s="113"/>
      <c r="W2325" s="114"/>
      <c r="X2325" s="92"/>
      <c r="Y2325" s="92"/>
      <c r="Z2325" s="92"/>
    </row>
    <row r="2326" spans="1:26" s="5" customFormat="1">
      <c r="A2326" s="92"/>
      <c r="B2326" s="92"/>
      <c r="C2326" s="92"/>
      <c r="D2326" s="92"/>
      <c r="E2326" s="92"/>
      <c r="F2326" s="92"/>
      <c r="G2326" s="92"/>
      <c r="H2326" s="113"/>
      <c r="I2326" s="92"/>
      <c r="J2326" s="92"/>
      <c r="K2326" s="92"/>
      <c r="L2326" s="113"/>
      <c r="M2326" s="92"/>
      <c r="N2326" s="92"/>
      <c r="O2326" s="92"/>
      <c r="P2326" s="92"/>
      <c r="Q2326" s="113"/>
      <c r="R2326" s="92"/>
      <c r="S2326" s="92"/>
      <c r="T2326" s="92"/>
      <c r="U2326" s="92"/>
      <c r="V2326" s="113"/>
      <c r="W2326" s="114"/>
      <c r="X2326" s="92"/>
      <c r="Y2326" s="92"/>
      <c r="Z2326" s="92"/>
    </row>
    <row r="2327" spans="1:26" s="5" customFormat="1">
      <c r="A2327" s="92"/>
      <c r="B2327" s="92"/>
      <c r="C2327" s="92"/>
      <c r="D2327" s="92"/>
      <c r="E2327" s="92"/>
      <c r="F2327" s="92"/>
      <c r="G2327" s="92"/>
      <c r="H2327" s="113"/>
      <c r="I2327" s="92"/>
      <c r="J2327" s="92"/>
      <c r="K2327" s="92"/>
      <c r="L2327" s="113"/>
      <c r="M2327" s="92"/>
      <c r="N2327" s="92"/>
      <c r="O2327" s="92"/>
      <c r="P2327" s="92"/>
      <c r="Q2327" s="113"/>
      <c r="R2327" s="92"/>
      <c r="S2327" s="92"/>
      <c r="T2327" s="92"/>
      <c r="U2327" s="92"/>
      <c r="V2327" s="113"/>
      <c r="W2327" s="114"/>
      <c r="X2327" s="92"/>
      <c r="Y2327" s="92"/>
      <c r="Z2327" s="92"/>
    </row>
    <row r="2328" spans="1:26" s="5" customFormat="1">
      <c r="A2328" s="92"/>
      <c r="B2328" s="92"/>
      <c r="C2328" s="92"/>
      <c r="D2328" s="92"/>
      <c r="E2328" s="92"/>
      <c r="F2328" s="92"/>
      <c r="G2328" s="92"/>
      <c r="H2328" s="113"/>
      <c r="I2328" s="92"/>
      <c r="J2328" s="92"/>
      <c r="K2328" s="92"/>
      <c r="L2328" s="113"/>
      <c r="M2328" s="92"/>
      <c r="N2328" s="92"/>
      <c r="O2328" s="92"/>
      <c r="P2328" s="92"/>
      <c r="Q2328" s="113"/>
      <c r="R2328" s="92"/>
      <c r="S2328" s="92"/>
      <c r="T2328" s="92"/>
      <c r="U2328" s="92"/>
      <c r="V2328" s="113"/>
      <c r="W2328" s="114"/>
      <c r="X2328" s="92"/>
      <c r="Y2328" s="92"/>
      <c r="Z2328" s="92"/>
    </row>
    <row r="2329" spans="1:26" s="5" customFormat="1">
      <c r="A2329" s="92"/>
      <c r="B2329" s="92"/>
      <c r="C2329" s="92"/>
      <c r="D2329" s="92"/>
      <c r="E2329" s="92"/>
      <c r="F2329" s="92"/>
      <c r="G2329" s="92"/>
      <c r="H2329" s="113"/>
      <c r="I2329" s="92"/>
      <c r="J2329" s="92"/>
      <c r="K2329" s="92"/>
      <c r="L2329" s="113"/>
      <c r="M2329" s="92"/>
      <c r="N2329" s="92"/>
      <c r="O2329" s="92"/>
      <c r="P2329" s="92"/>
      <c r="Q2329" s="113"/>
      <c r="R2329" s="92"/>
      <c r="S2329" s="92"/>
      <c r="T2329" s="92"/>
      <c r="U2329" s="92"/>
      <c r="V2329" s="113"/>
      <c r="W2329" s="114"/>
      <c r="X2329" s="92"/>
      <c r="Y2329" s="92"/>
      <c r="Z2329" s="92"/>
    </row>
    <row r="2330" spans="1:26" s="5" customFormat="1">
      <c r="A2330" s="92"/>
      <c r="B2330" s="92"/>
      <c r="C2330" s="92"/>
      <c r="D2330" s="92"/>
      <c r="E2330" s="92"/>
      <c r="F2330" s="92"/>
      <c r="G2330" s="92"/>
      <c r="H2330" s="113"/>
      <c r="I2330" s="92"/>
      <c r="J2330" s="92"/>
      <c r="K2330" s="92"/>
      <c r="L2330" s="113"/>
      <c r="M2330" s="92"/>
      <c r="N2330" s="92"/>
      <c r="O2330" s="92"/>
      <c r="P2330" s="92"/>
      <c r="Q2330" s="113"/>
      <c r="R2330" s="92"/>
      <c r="S2330" s="92"/>
      <c r="T2330" s="92"/>
      <c r="U2330" s="92"/>
      <c r="V2330" s="113"/>
      <c r="W2330" s="114"/>
      <c r="X2330" s="92"/>
      <c r="Y2330" s="92"/>
      <c r="Z2330" s="92"/>
    </row>
    <row r="2331" spans="1:26" s="5" customFormat="1">
      <c r="A2331" s="92"/>
      <c r="B2331" s="92"/>
      <c r="C2331" s="92"/>
      <c r="D2331" s="92"/>
      <c r="E2331" s="92"/>
      <c r="F2331" s="92"/>
      <c r="G2331" s="92"/>
      <c r="H2331" s="113"/>
      <c r="I2331" s="92"/>
      <c r="J2331" s="92"/>
      <c r="K2331" s="92"/>
      <c r="L2331" s="113"/>
      <c r="M2331" s="92"/>
      <c r="N2331" s="92"/>
      <c r="O2331" s="92"/>
      <c r="P2331" s="92"/>
      <c r="Q2331" s="113"/>
      <c r="R2331" s="92"/>
      <c r="S2331" s="92"/>
      <c r="T2331" s="92"/>
      <c r="U2331" s="92"/>
      <c r="V2331" s="113"/>
      <c r="W2331" s="114"/>
      <c r="X2331" s="92"/>
      <c r="Y2331" s="92"/>
      <c r="Z2331" s="92"/>
    </row>
    <row r="2332" spans="1:26" s="5" customFormat="1">
      <c r="A2332" s="92"/>
      <c r="B2332" s="92"/>
      <c r="C2332" s="92"/>
      <c r="D2332" s="92"/>
      <c r="E2332" s="92"/>
      <c r="F2332" s="92"/>
      <c r="G2332" s="92"/>
      <c r="H2332" s="113"/>
      <c r="I2332" s="92"/>
      <c r="J2332" s="92"/>
      <c r="K2332" s="92"/>
      <c r="L2332" s="113"/>
      <c r="M2332" s="92"/>
      <c r="N2332" s="92"/>
      <c r="O2332" s="92"/>
      <c r="P2332" s="92"/>
      <c r="Q2332" s="113"/>
      <c r="R2332" s="92"/>
      <c r="S2332" s="92"/>
      <c r="T2332" s="92"/>
      <c r="U2332" s="92"/>
      <c r="V2332" s="113"/>
      <c r="W2332" s="114"/>
      <c r="X2332" s="92"/>
      <c r="Y2332" s="92"/>
      <c r="Z2332" s="92"/>
    </row>
    <row r="2333" spans="1:26" s="5" customFormat="1">
      <c r="A2333" s="92"/>
      <c r="B2333" s="92"/>
      <c r="C2333" s="92"/>
      <c r="D2333" s="92"/>
      <c r="E2333" s="92"/>
      <c r="F2333" s="92"/>
      <c r="G2333" s="92"/>
      <c r="H2333" s="113"/>
      <c r="I2333" s="92"/>
      <c r="J2333" s="92"/>
      <c r="K2333" s="92"/>
      <c r="L2333" s="113"/>
      <c r="M2333" s="92"/>
      <c r="N2333" s="92"/>
      <c r="O2333" s="92"/>
      <c r="P2333" s="92"/>
      <c r="Q2333" s="113"/>
      <c r="R2333" s="92"/>
      <c r="S2333" s="92"/>
      <c r="T2333" s="92"/>
      <c r="U2333" s="92"/>
      <c r="V2333" s="113"/>
      <c r="W2333" s="114"/>
      <c r="X2333" s="92"/>
      <c r="Y2333" s="92"/>
      <c r="Z2333" s="92"/>
    </row>
    <row r="2334" spans="1:26" s="5" customFormat="1">
      <c r="A2334" s="92"/>
      <c r="B2334" s="92"/>
      <c r="C2334" s="92"/>
      <c r="D2334" s="92"/>
      <c r="E2334" s="92"/>
      <c r="F2334" s="92"/>
      <c r="G2334" s="92"/>
      <c r="H2334" s="113"/>
      <c r="I2334" s="92"/>
      <c r="J2334" s="92"/>
      <c r="K2334" s="92"/>
      <c r="L2334" s="113"/>
      <c r="M2334" s="92"/>
      <c r="N2334" s="92"/>
      <c r="O2334" s="92"/>
      <c r="P2334" s="92"/>
      <c r="Q2334" s="113"/>
      <c r="R2334" s="92"/>
      <c r="S2334" s="92"/>
      <c r="T2334" s="92"/>
      <c r="U2334" s="92"/>
      <c r="V2334" s="113"/>
      <c r="W2334" s="114"/>
      <c r="X2334" s="92"/>
      <c r="Y2334" s="92"/>
      <c r="Z2334" s="92"/>
    </row>
    <row r="2335" spans="1:26" s="5" customFormat="1">
      <c r="A2335" s="92"/>
      <c r="B2335" s="92"/>
      <c r="C2335" s="92"/>
      <c r="D2335" s="92"/>
      <c r="E2335" s="92"/>
      <c r="F2335" s="92"/>
      <c r="G2335" s="92"/>
      <c r="H2335" s="113"/>
      <c r="I2335" s="92"/>
      <c r="J2335" s="92"/>
      <c r="K2335" s="92"/>
      <c r="L2335" s="113"/>
      <c r="M2335" s="92"/>
      <c r="N2335" s="92"/>
      <c r="O2335" s="92"/>
      <c r="P2335" s="92"/>
      <c r="Q2335" s="113"/>
      <c r="R2335" s="92"/>
      <c r="S2335" s="92"/>
      <c r="T2335" s="92"/>
      <c r="U2335" s="92"/>
      <c r="V2335" s="113"/>
      <c r="W2335" s="114"/>
      <c r="X2335" s="92"/>
      <c r="Y2335" s="92"/>
      <c r="Z2335" s="92"/>
    </row>
    <row r="2336" spans="1:26" s="5" customFormat="1">
      <c r="A2336" s="92"/>
      <c r="B2336" s="92"/>
      <c r="C2336" s="92"/>
      <c r="D2336" s="92"/>
      <c r="E2336" s="92"/>
      <c r="F2336" s="92"/>
      <c r="G2336" s="92"/>
      <c r="H2336" s="113"/>
      <c r="I2336" s="92"/>
      <c r="J2336" s="92"/>
      <c r="K2336" s="92"/>
      <c r="L2336" s="113"/>
      <c r="M2336" s="92"/>
      <c r="N2336" s="92"/>
      <c r="O2336" s="92"/>
      <c r="P2336" s="92"/>
      <c r="Q2336" s="113"/>
      <c r="R2336" s="92"/>
      <c r="S2336" s="92"/>
      <c r="T2336" s="92"/>
      <c r="U2336" s="92"/>
      <c r="V2336" s="113"/>
      <c r="W2336" s="114"/>
      <c r="X2336" s="92"/>
      <c r="Y2336" s="92"/>
      <c r="Z2336" s="92"/>
    </row>
    <row r="2337" spans="1:26" s="5" customFormat="1">
      <c r="A2337" s="92"/>
      <c r="B2337" s="92"/>
      <c r="C2337" s="92"/>
      <c r="D2337" s="92"/>
      <c r="E2337" s="92"/>
      <c r="F2337" s="92"/>
      <c r="G2337" s="92"/>
      <c r="H2337" s="113"/>
      <c r="I2337" s="92"/>
      <c r="J2337" s="92"/>
      <c r="K2337" s="92"/>
      <c r="L2337" s="113"/>
      <c r="M2337" s="92"/>
      <c r="N2337" s="92"/>
      <c r="O2337" s="92"/>
      <c r="P2337" s="92"/>
      <c r="Q2337" s="113"/>
      <c r="R2337" s="92"/>
      <c r="S2337" s="92"/>
      <c r="T2337" s="92"/>
      <c r="U2337" s="92"/>
      <c r="V2337" s="113"/>
      <c r="W2337" s="114"/>
      <c r="X2337" s="92"/>
      <c r="Y2337" s="92"/>
      <c r="Z2337" s="92"/>
    </row>
    <row r="2338" spans="1:26" s="5" customFormat="1">
      <c r="A2338" s="92"/>
      <c r="B2338" s="92"/>
      <c r="C2338" s="92"/>
      <c r="D2338" s="92"/>
      <c r="E2338" s="92"/>
      <c r="F2338" s="92"/>
      <c r="G2338" s="92"/>
      <c r="H2338" s="113"/>
      <c r="I2338" s="92"/>
      <c r="J2338" s="92"/>
      <c r="K2338" s="92"/>
      <c r="L2338" s="113"/>
      <c r="M2338" s="92"/>
      <c r="N2338" s="92"/>
      <c r="O2338" s="92"/>
      <c r="P2338" s="92"/>
      <c r="Q2338" s="113"/>
      <c r="R2338" s="92"/>
      <c r="S2338" s="92"/>
      <c r="T2338" s="92"/>
      <c r="U2338" s="92"/>
      <c r="V2338" s="113"/>
      <c r="W2338" s="114"/>
      <c r="X2338" s="92"/>
      <c r="Y2338" s="92"/>
      <c r="Z2338" s="92"/>
    </row>
    <row r="2339" spans="1:26" s="5" customFormat="1">
      <c r="A2339" s="92"/>
      <c r="B2339" s="92"/>
      <c r="C2339" s="92"/>
      <c r="D2339" s="92"/>
      <c r="E2339" s="92"/>
      <c r="F2339" s="92"/>
      <c r="G2339" s="92"/>
      <c r="H2339" s="113"/>
      <c r="I2339" s="92"/>
      <c r="J2339" s="92"/>
      <c r="K2339" s="92"/>
      <c r="L2339" s="113"/>
      <c r="M2339" s="92"/>
      <c r="N2339" s="92"/>
      <c r="O2339" s="92"/>
      <c r="P2339" s="92"/>
      <c r="Q2339" s="113"/>
      <c r="R2339" s="92"/>
      <c r="S2339" s="92"/>
      <c r="T2339" s="92"/>
      <c r="U2339" s="92"/>
      <c r="V2339" s="113"/>
      <c r="W2339" s="114"/>
      <c r="X2339" s="92"/>
      <c r="Y2339" s="92"/>
      <c r="Z2339" s="92"/>
    </row>
    <row r="2340" spans="1:26" s="5" customFormat="1">
      <c r="A2340" s="92"/>
      <c r="B2340" s="92"/>
      <c r="C2340" s="92"/>
      <c r="D2340" s="92"/>
      <c r="E2340" s="92"/>
      <c r="F2340" s="92"/>
      <c r="G2340" s="92"/>
      <c r="H2340" s="113"/>
      <c r="I2340" s="92"/>
      <c r="J2340" s="92"/>
      <c r="K2340" s="92"/>
      <c r="L2340" s="113"/>
      <c r="M2340" s="92"/>
      <c r="N2340" s="92"/>
      <c r="O2340" s="92"/>
      <c r="P2340" s="92"/>
      <c r="Q2340" s="113"/>
      <c r="R2340" s="92"/>
      <c r="S2340" s="92"/>
      <c r="T2340" s="92"/>
      <c r="U2340" s="92"/>
      <c r="V2340" s="113"/>
      <c r="W2340" s="114"/>
      <c r="X2340" s="92"/>
      <c r="Y2340" s="92"/>
      <c r="Z2340" s="92"/>
    </row>
    <row r="2341" spans="1:26" s="5" customFormat="1">
      <c r="A2341" s="92"/>
      <c r="B2341" s="92"/>
      <c r="C2341" s="92"/>
      <c r="D2341" s="92"/>
      <c r="E2341" s="92"/>
      <c r="F2341" s="92"/>
      <c r="G2341" s="92"/>
      <c r="H2341" s="113"/>
      <c r="I2341" s="92"/>
      <c r="J2341" s="92"/>
      <c r="K2341" s="92"/>
      <c r="L2341" s="113"/>
      <c r="M2341" s="92"/>
      <c r="N2341" s="92"/>
      <c r="O2341" s="92"/>
      <c r="P2341" s="92"/>
      <c r="Q2341" s="113"/>
      <c r="R2341" s="92"/>
      <c r="S2341" s="92"/>
      <c r="T2341" s="92"/>
      <c r="U2341" s="92"/>
      <c r="V2341" s="113"/>
      <c r="W2341" s="114"/>
      <c r="X2341" s="92"/>
      <c r="Y2341" s="92"/>
      <c r="Z2341" s="92"/>
    </row>
    <row r="2342" spans="1:26" s="5" customFormat="1">
      <c r="A2342" s="92"/>
      <c r="B2342" s="92"/>
      <c r="C2342" s="92"/>
      <c r="D2342" s="92"/>
      <c r="E2342" s="92"/>
      <c r="F2342" s="92"/>
      <c r="G2342" s="92"/>
      <c r="H2342" s="113"/>
      <c r="I2342" s="92"/>
      <c r="J2342" s="92"/>
      <c r="K2342" s="92"/>
      <c r="L2342" s="113"/>
      <c r="M2342" s="92"/>
      <c r="N2342" s="92"/>
      <c r="O2342" s="92"/>
      <c r="P2342" s="92"/>
      <c r="Q2342" s="113"/>
      <c r="R2342" s="92"/>
      <c r="S2342" s="92"/>
      <c r="T2342" s="92"/>
      <c r="U2342" s="92"/>
      <c r="V2342" s="113"/>
      <c r="W2342" s="114"/>
      <c r="X2342" s="92"/>
      <c r="Y2342" s="92"/>
      <c r="Z2342" s="92"/>
    </row>
    <row r="2343" spans="1:26" s="5" customFormat="1">
      <c r="A2343" s="92"/>
      <c r="B2343" s="92"/>
      <c r="C2343" s="92"/>
      <c r="D2343" s="92"/>
      <c r="E2343" s="92"/>
      <c r="F2343" s="92"/>
      <c r="G2343" s="92"/>
      <c r="H2343" s="113"/>
      <c r="I2343" s="92"/>
      <c r="J2343" s="92"/>
      <c r="K2343" s="92"/>
      <c r="L2343" s="113"/>
      <c r="M2343" s="92"/>
      <c r="N2343" s="92"/>
      <c r="O2343" s="92"/>
      <c r="P2343" s="92"/>
      <c r="Q2343" s="113"/>
      <c r="R2343" s="92"/>
      <c r="S2343" s="92"/>
      <c r="T2343" s="92"/>
      <c r="U2343" s="92"/>
      <c r="V2343" s="113"/>
      <c r="W2343" s="114"/>
      <c r="X2343" s="92"/>
      <c r="Y2343" s="92"/>
      <c r="Z2343" s="92"/>
    </row>
    <row r="2344" spans="1:26" s="5" customFormat="1">
      <c r="A2344" s="92"/>
      <c r="B2344" s="92"/>
      <c r="C2344" s="92"/>
      <c r="D2344" s="92"/>
      <c r="E2344" s="92"/>
      <c r="F2344" s="92"/>
      <c r="G2344" s="92"/>
      <c r="H2344" s="113"/>
      <c r="I2344" s="92"/>
      <c r="J2344" s="92"/>
      <c r="K2344" s="92"/>
      <c r="L2344" s="113"/>
      <c r="M2344" s="92"/>
      <c r="N2344" s="92"/>
      <c r="O2344" s="92"/>
      <c r="P2344" s="92"/>
      <c r="Q2344" s="113"/>
      <c r="R2344" s="92"/>
      <c r="S2344" s="92"/>
      <c r="T2344" s="92"/>
      <c r="U2344" s="92"/>
      <c r="V2344" s="113"/>
      <c r="W2344" s="114"/>
      <c r="X2344" s="92"/>
      <c r="Y2344" s="92"/>
      <c r="Z2344" s="92"/>
    </row>
    <row r="2345" spans="1:26" s="5" customFormat="1">
      <c r="A2345" s="92"/>
      <c r="B2345" s="92"/>
      <c r="C2345" s="92"/>
      <c r="D2345" s="92"/>
      <c r="E2345" s="92"/>
      <c r="F2345" s="92"/>
      <c r="G2345" s="92"/>
      <c r="H2345" s="113"/>
      <c r="I2345" s="92"/>
      <c r="J2345" s="92"/>
      <c r="K2345" s="92"/>
      <c r="L2345" s="113"/>
      <c r="M2345" s="92"/>
      <c r="N2345" s="92"/>
      <c r="O2345" s="92"/>
      <c r="P2345" s="92"/>
      <c r="Q2345" s="113"/>
      <c r="R2345" s="92"/>
      <c r="S2345" s="92"/>
      <c r="T2345" s="92"/>
      <c r="U2345" s="92"/>
      <c r="V2345" s="113"/>
      <c r="W2345" s="114"/>
      <c r="X2345" s="92"/>
      <c r="Y2345" s="92"/>
      <c r="Z2345" s="92"/>
    </row>
    <row r="2346" spans="1:26" s="5" customFormat="1">
      <c r="A2346" s="92"/>
      <c r="B2346" s="92"/>
      <c r="C2346" s="92"/>
      <c r="D2346" s="92"/>
      <c r="E2346" s="92"/>
      <c r="F2346" s="92"/>
      <c r="G2346" s="92"/>
      <c r="H2346" s="113"/>
      <c r="I2346" s="92"/>
      <c r="J2346" s="92"/>
      <c r="K2346" s="92"/>
      <c r="L2346" s="113"/>
      <c r="M2346" s="92"/>
      <c r="N2346" s="92"/>
      <c r="O2346" s="92"/>
      <c r="P2346" s="92"/>
      <c r="Q2346" s="113"/>
      <c r="R2346" s="92"/>
      <c r="S2346" s="92"/>
      <c r="T2346" s="92"/>
      <c r="U2346" s="92"/>
      <c r="V2346" s="113"/>
      <c r="W2346" s="114"/>
      <c r="X2346" s="92"/>
      <c r="Y2346" s="92"/>
      <c r="Z2346" s="92"/>
    </row>
    <row r="2347" spans="1:26" s="5" customFormat="1">
      <c r="A2347" s="92"/>
      <c r="B2347" s="92"/>
      <c r="C2347" s="92"/>
      <c r="D2347" s="92"/>
      <c r="E2347" s="92"/>
      <c r="F2347" s="92"/>
      <c r="G2347" s="92"/>
      <c r="H2347" s="113"/>
      <c r="I2347" s="92"/>
      <c r="J2347" s="92"/>
      <c r="K2347" s="92"/>
      <c r="L2347" s="113"/>
      <c r="M2347" s="92"/>
      <c r="N2347" s="92"/>
      <c r="O2347" s="92"/>
      <c r="P2347" s="92"/>
      <c r="Q2347" s="113"/>
      <c r="R2347" s="92"/>
      <c r="S2347" s="92"/>
      <c r="T2347" s="92"/>
      <c r="U2347" s="92"/>
      <c r="V2347" s="113"/>
      <c r="W2347" s="114"/>
      <c r="X2347" s="92"/>
      <c r="Y2347" s="92"/>
      <c r="Z2347" s="92"/>
    </row>
    <row r="2348" spans="1:26" s="5" customFormat="1">
      <c r="A2348" s="92"/>
      <c r="B2348" s="92"/>
      <c r="C2348" s="92"/>
      <c r="D2348" s="92"/>
      <c r="E2348" s="92"/>
      <c r="F2348" s="92"/>
      <c r="G2348" s="92"/>
      <c r="H2348" s="113"/>
      <c r="I2348" s="92"/>
      <c r="J2348" s="92"/>
      <c r="K2348" s="92"/>
      <c r="L2348" s="113"/>
      <c r="M2348" s="92"/>
      <c r="N2348" s="92"/>
      <c r="O2348" s="92"/>
      <c r="P2348" s="92"/>
      <c r="Q2348" s="113"/>
      <c r="R2348" s="92"/>
      <c r="S2348" s="92"/>
      <c r="T2348" s="92"/>
      <c r="U2348" s="92"/>
      <c r="V2348" s="113"/>
      <c r="W2348" s="114"/>
      <c r="X2348" s="92"/>
      <c r="Y2348" s="92"/>
      <c r="Z2348" s="92"/>
    </row>
    <row r="2349" spans="1:26" s="5" customFormat="1">
      <c r="A2349" s="92"/>
      <c r="B2349" s="92"/>
      <c r="C2349" s="92"/>
      <c r="D2349" s="92"/>
      <c r="E2349" s="92"/>
      <c r="F2349" s="92"/>
      <c r="G2349" s="92"/>
      <c r="H2349" s="113"/>
      <c r="I2349" s="92"/>
      <c r="J2349" s="92"/>
      <c r="K2349" s="92"/>
      <c r="L2349" s="113"/>
      <c r="M2349" s="92"/>
      <c r="N2349" s="92"/>
      <c r="O2349" s="92"/>
      <c r="P2349" s="92"/>
      <c r="Q2349" s="113"/>
      <c r="R2349" s="92"/>
      <c r="S2349" s="92"/>
      <c r="T2349" s="92"/>
      <c r="U2349" s="92"/>
      <c r="V2349" s="113"/>
      <c r="W2349" s="114"/>
      <c r="X2349" s="92"/>
      <c r="Y2349" s="92"/>
      <c r="Z2349" s="92"/>
    </row>
    <row r="2350" spans="1:26" s="5" customFormat="1">
      <c r="A2350" s="92"/>
      <c r="B2350" s="92"/>
      <c r="C2350" s="92"/>
      <c r="D2350" s="92"/>
      <c r="E2350" s="92"/>
      <c r="F2350" s="92"/>
      <c r="G2350" s="92"/>
      <c r="H2350" s="113"/>
      <c r="I2350" s="92"/>
      <c r="J2350" s="92"/>
      <c r="K2350" s="92"/>
      <c r="L2350" s="113"/>
      <c r="M2350" s="92"/>
      <c r="N2350" s="92"/>
      <c r="O2350" s="92"/>
      <c r="P2350" s="92"/>
      <c r="Q2350" s="113"/>
      <c r="R2350" s="92"/>
      <c r="S2350" s="92"/>
      <c r="T2350" s="92"/>
      <c r="U2350" s="92"/>
      <c r="V2350" s="113"/>
      <c r="W2350" s="114"/>
      <c r="X2350" s="92"/>
      <c r="Y2350" s="92"/>
      <c r="Z2350" s="92"/>
    </row>
    <row r="2351" spans="1:26" s="5" customFormat="1">
      <c r="A2351" s="92"/>
      <c r="B2351" s="92"/>
      <c r="C2351" s="92"/>
      <c r="D2351" s="92"/>
      <c r="E2351" s="92"/>
      <c r="F2351" s="92"/>
      <c r="G2351" s="92"/>
      <c r="H2351" s="113"/>
      <c r="I2351" s="92"/>
      <c r="J2351" s="92"/>
      <c r="K2351" s="92"/>
      <c r="L2351" s="113"/>
      <c r="M2351" s="92"/>
      <c r="N2351" s="92"/>
      <c r="O2351" s="92"/>
      <c r="P2351" s="92"/>
      <c r="Q2351" s="113"/>
      <c r="R2351" s="92"/>
      <c r="S2351" s="92"/>
      <c r="T2351" s="92"/>
      <c r="U2351" s="92"/>
      <c r="V2351" s="113"/>
      <c r="W2351" s="114"/>
      <c r="X2351" s="92"/>
      <c r="Y2351" s="92"/>
      <c r="Z2351" s="92"/>
    </row>
    <row r="2352" spans="1:26" s="5" customFormat="1">
      <c r="A2352" s="92"/>
      <c r="B2352" s="92"/>
      <c r="C2352" s="92"/>
      <c r="D2352" s="92"/>
      <c r="E2352" s="92"/>
      <c r="F2352" s="92"/>
      <c r="G2352" s="92"/>
      <c r="H2352" s="113"/>
      <c r="I2352" s="92"/>
      <c r="J2352" s="92"/>
      <c r="K2352" s="92"/>
      <c r="L2352" s="113"/>
      <c r="M2352" s="92"/>
      <c r="N2352" s="92"/>
      <c r="O2352" s="92"/>
      <c r="P2352" s="92"/>
      <c r="Q2352" s="113"/>
      <c r="R2352" s="92"/>
      <c r="S2352" s="92"/>
      <c r="T2352" s="92"/>
      <c r="U2352" s="92"/>
      <c r="V2352" s="113"/>
      <c r="W2352" s="114"/>
      <c r="X2352" s="92"/>
      <c r="Y2352" s="92"/>
      <c r="Z2352" s="92"/>
    </row>
    <row r="2353" spans="1:26" s="5" customFormat="1">
      <c r="A2353" s="92"/>
      <c r="B2353" s="92"/>
      <c r="C2353" s="92"/>
      <c r="D2353" s="92"/>
      <c r="E2353" s="92"/>
      <c r="F2353" s="92"/>
      <c r="G2353" s="92"/>
      <c r="H2353" s="113"/>
      <c r="I2353" s="92"/>
      <c r="J2353" s="92"/>
      <c r="K2353" s="92"/>
      <c r="L2353" s="113"/>
      <c r="M2353" s="92"/>
      <c r="N2353" s="92"/>
      <c r="O2353" s="92"/>
      <c r="P2353" s="92"/>
      <c r="Q2353" s="113"/>
      <c r="R2353" s="92"/>
      <c r="S2353" s="92"/>
      <c r="T2353" s="92"/>
      <c r="U2353" s="92"/>
      <c r="V2353" s="113"/>
      <c r="W2353" s="114"/>
      <c r="X2353" s="92"/>
      <c r="Y2353" s="92"/>
      <c r="Z2353" s="92"/>
    </row>
    <row r="2354" spans="1:26" s="5" customFormat="1">
      <c r="A2354" s="92"/>
      <c r="B2354" s="92"/>
      <c r="C2354" s="92"/>
      <c r="D2354" s="92"/>
      <c r="E2354" s="92"/>
      <c r="F2354" s="92"/>
      <c r="G2354" s="92"/>
      <c r="H2354" s="113"/>
      <c r="I2354" s="92"/>
      <c r="J2354" s="92"/>
      <c r="K2354" s="92"/>
      <c r="L2354" s="113"/>
      <c r="M2354" s="92"/>
      <c r="N2354" s="92"/>
      <c r="O2354" s="92"/>
      <c r="P2354" s="92"/>
      <c r="Q2354" s="113"/>
      <c r="R2354" s="92"/>
      <c r="S2354" s="92"/>
      <c r="T2354" s="92"/>
      <c r="U2354" s="92"/>
      <c r="V2354" s="113"/>
      <c r="W2354" s="114"/>
      <c r="X2354" s="92"/>
      <c r="Y2354" s="92"/>
      <c r="Z2354" s="92"/>
    </row>
    <row r="2355" spans="1:26" s="5" customFormat="1">
      <c r="A2355" s="92"/>
      <c r="B2355" s="92"/>
      <c r="C2355" s="92"/>
      <c r="D2355" s="92"/>
      <c r="E2355" s="92"/>
      <c r="F2355" s="92"/>
      <c r="G2355" s="92"/>
      <c r="H2355" s="113"/>
      <c r="I2355" s="92"/>
      <c r="J2355" s="92"/>
      <c r="K2355" s="92"/>
      <c r="L2355" s="113"/>
      <c r="M2355" s="92"/>
      <c r="N2355" s="92"/>
      <c r="O2355" s="92"/>
      <c r="P2355" s="92"/>
      <c r="Q2355" s="113"/>
      <c r="R2355" s="92"/>
      <c r="S2355" s="92"/>
      <c r="T2355" s="92"/>
      <c r="U2355" s="92"/>
      <c r="V2355" s="113"/>
      <c r="W2355" s="114"/>
      <c r="X2355" s="92"/>
      <c r="Y2355" s="92"/>
      <c r="Z2355" s="92"/>
    </row>
    <row r="2356" spans="1:26" s="5" customFormat="1">
      <c r="A2356" s="92"/>
      <c r="B2356" s="92"/>
      <c r="C2356" s="92"/>
      <c r="D2356" s="92"/>
      <c r="E2356" s="92"/>
      <c r="F2356" s="92"/>
      <c r="G2356" s="92"/>
      <c r="H2356" s="113"/>
      <c r="I2356" s="92"/>
      <c r="J2356" s="92"/>
      <c r="K2356" s="92"/>
      <c r="L2356" s="113"/>
      <c r="M2356" s="92"/>
      <c r="N2356" s="92"/>
      <c r="O2356" s="92"/>
      <c r="P2356" s="92"/>
      <c r="Q2356" s="113"/>
      <c r="R2356" s="92"/>
      <c r="S2356" s="92"/>
      <c r="T2356" s="92"/>
      <c r="U2356" s="92"/>
      <c r="V2356" s="113"/>
      <c r="W2356" s="114"/>
      <c r="X2356" s="92"/>
      <c r="Y2356" s="92"/>
      <c r="Z2356" s="92"/>
    </row>
    <row r="2357" spans="1:26" s="5" customFormat="1">
      <c r="A2357" s="92"/>
      <c r="B2357" s="92"/>
      <c r="C2357" s="92"/>
      <c r="D2357" s="92"/>
      <c r="E2357" s="92"/>
      <c r="F2357" s="92"/>
      <c r="G2357" s="92"/>
      <c r="H2357" s="113"/>
      <c r="I2357" s="92"/>
      <c r="J2357" s="92"/>
      <c r="K2357" s="92"/>
      <c r="L2357" s="113"/>
      <c r="M2357" s="92"/>
      <c r="N2357" s="92"/>
      <c r="O2357" s="92"/>
      <c r="P2357" s="92"/>
      <c r="Q2357" s="113"/>
      <c r="R2357" s="92"/>
      <c r="S2357" s="92"/>
      <c r="T2357" s="92"/>
      <c r="U2357" s="92"/>
      <c r="V2357" s="113"/>
      <c r="W2357" s="114"/>
      <c r="X2357" s="92"/>
      <c r="Y2357" s="92"/>
      <c r="Z2357" s="92"/>
    </row>
    <row r="2358" spans="1:26" s="5" customFormat="1">
      <c r="A2358" s="92"/>
      <c r="B2358" s="92"/>
      <c r="C2358" s="92"/>
      <c r="D2358" s="92"/>
      <c r="E2358" s="92"/>
      <c r="F2358" s="92"/>
      <c r="G2358" s="92"/>
      <c r="H2358" s="113"/>
      <c r="I2358" s="92"/>
      <c r="J2358" s="92"/>
      <c r="K2358" s="92"/>
      <c r="L2358" s="113"/>
      <c r="M2358" s="92"/>
      <c r="N2358" s="92"/>
      <c r="O2358" s="92"/>
      <c r="P2358" s="92"/>
      <c r="Q2358" s="113"/>
      <c r="R2358" s="92"/>
      <c r="S2358" s="92"/>
      <c r="T2358" s="92"/>
      <c r="U2358" s="92"/>
      <c r="V2358" s="113"/>
      <c r="W2358" s="114"/>
      <c r="X2358" s="92"/>
      <c r="Y2358" s="92"/>
      <c r="Z2358" s="92"/>
    </row>
    <row r="2359" spans="1:26" s="5" customFormat="1">
      <c r="A2359" s="92"/>
      <c r="B2359" s="92"/>
      <c r="C2359" s="92"/>
      <c r="D2359" s="92"/>
      <c r="E2359" s="92"/>
      <c r="F2359" s="92"/>
      <c r="G2359" s="92"/>
      <c r="H2359" s="113"/>
      <c r="I2359" s="92"/>
      <c r="J2359" s="92"/>
      <c r="K2359" s="92"/>
      <c r="L2359" s="113"/>
      <c r="M2359" s="92"/>
      <c r="N2359" s="92"/>
      <c r="O2359" s="92"/>
      <c r="P2359" s="92"/>
      <c r="Q2359" s="113"/>
      <c r="R2359" s="92"/>
      <c r="S2359" s="92"/>
      <c r="T2359" s="92"/>
      <c r="U2359" s="92"/>
      <c r="V2359" s="113"/>
      <c r="W2359" s="114"/>
      <c r="X2359" s="92"/>
      <c r="Y2359" s="92"/>
      <c r="Z2359" s="92"/>
    </row>
    <row r="2360" spans="1:26" s="5" customFormat="1">
      <c r="A2360" s="92"/>
      <c r="B2360" s="92"/>
      <c r="C2360" s="92"/>
      <c r="D2360" s="92"/>
      <c r="E2360" s="92"/>
      <c r="F2360" s="92"/>
      <c r="G2360" s="92"/>
      <c r="H2360" s="113"/>
      <c r="I2360" s="92"/>
      <c r="J2360" s="92"/>
      <c r="K2360" s="92"/>
      <c r="L2360" s="113"/>
      <c r="M2360" s="92"/>
      <c r="N2360" s="92"/>
      <c r="O2360" s="92"/>
      <c r="P2360" s="92"/>
      <c r="Q2360" s="113"/>
      <c r="R2360" s="92"/>
      <c r="S2360" s="92"/>
      <c r="T2360" s="92"/>
      <c r="U2360" s="92"/>
      <c r="V2360" s="113"/>
      <c r="W2360" s="114"/>
      <c r="X2360" s="92"/>
      <c r="Y2360" s="92"/>
      <c r="Z2360" s="92"/>
    </row>
    <row r="2361" spans="1:26" s="5" customFormat="1">
      <c r="A2361" s="92"/>
      <c r="B2361" s="92"/>
      <c r="C2361" s="92"/>
      <c r="D2361" s="92"/>
      <c r="E2361" s="92"/>
      <c r="F2361" s="92"/>
      <c r="G2361" s="92"/>
      <c r="H2361" s="113"/>
      <c r="I2361" s="92"/>
      <c r="J2361" s="92"/>
      <c r="K2361" s="92"/>
      <c r="L2361" s="113"/>
      <c r="M2361" s="92"/>
      <c r="N2361" s="92"/>
      <c r="O2361" s="92"/>
      <c r="P2361" s="92"/>
      <c r="Q2361" s="113"/>
      <c r="R2361" s="92"/>
      <c r="S2361" s="92"/>
      <c r="T2361" s="92"/>
      <c r="U2361" s="92"/>
      <c r="V2361" s="113"/>
      <c r="W2361" s="114"/>
      <c r="X2361" s="92"/>
      <c r="Y2361" s="92"/>
      <c r="Z2361" s="92"/>
    </row>
    <row r="2362" spans="1:26" s="5" customFormat="1">
      <c r="A2362" s="92"/>
      <c r="B2362" s="92"/>
      <c r="C2362" s="92"/>
      <c r="D2362" s="92"/>
      <c r="E2362" s="92"/>
      <c r="F2362" s="92"/>
      <c r="G2362" s="92"/>
      <c r="H2362" s="113"/>
      <c r="I2362" s="92"/>
      <c r="J2362" s="92"/>
      <c r="K2362" s="92"/>
      <c r="L2362" s="113"/>
      <c r="M2362" s="92"/>
      <c r="N2362" s="92"/>
      <c r="O2362" s="92"/>
      <c r="P2362" s="92"/>
      <c r="Q2362" s="113"/>
      <c r="R2362" s="92"/>
      <c r="S2362" s="92"/>
      <c r="T2362" s="92"/>
      <c r="U2362" s="92"/>
      <c r="V2362" s="113"/>
      <c r="W2362" s="114"/>
      <c r="X2362" s="92"/>
      <c r="Y2362" s="92"/>
      <c r="Z2362" s="92"/>
    </row>
    <row r="2363" spans="1:26" s="5" customFormat="1">
      <c r="A2363" s="92"/>
      <c r="B2363" s="92"/>
      <c r="C2363" s="92"/>
      <c r="D2363" s="92"/>
      <c r="E2363" s="92"/>
      <c r="F2363" s="92"/>
      <c r="G2363" s="92"/>
      <c r="H2363" s="113"/>
      <c r="I2363" s="92"/>
      <c r="J2363" s="92"/>
      <c r="K2363" s="92"/>
      <c r="L2363" s="113"/>
      <c r="M2363" s="92"/>
      <c r="N2363" s="92"/>
      <c r="O2363" s="92"/>
      <c r="P2363" s="92"/>
      <c r="Q2363" s="113"/>
      <c r="R2363" s="92"/>
      <c r="S2363" s="92"/>
      <c r="T2363" s="92"/>
      <c r="U2363" s="92"/>
      <c r="V2363" s="113"/>
      <c r="W2363" s="114"/>
      <c r="X2363" s="92"/>
      <c r="Y2363" s="92"/>
      <c r="Z2363" s="92"/>
    </row>
    <row r="2364" spans="1:26" s="5" customFormat="1">
      <c r="A2364" s="92"/>
      <c r="B2364" s="92"/>
      <c r="C2364" s="92"/>
      <c r="D2364" s="92"/>
      <c r="E2364" s="92"/>
      <c r="F2364" s="92"/>
      <c r="G2364" s="92"/>
      <c r="H2364" s="113"/>
      <c r="I2364" s="92"/>
      <c r="J2364" s="92"/>
      <c r="K2364" s="92"/>
      <c r="L2364" s="113"/>
      <c r="M2364" s="92"/>
      <c r="N2364" s="92"/>
      <c r="O2364" s="92"/>
      <c r="P2364" s="92"/>
      <c r="Q2364" s="113"/>
      <c r="R2364" s="92"/>
      <c r="S2364" s="92"/>
      <c r="T2364" s="92"/>
      <c r="U2364" s="92"/>
      <c r="V2364" s="113"/>
      <c r="W2364" s="114"/>
      <c r="X2364" s="92"/>
      <c r="Y2364" s="92"/>
      <c r="Z2364" s="92"/>
    </row>
    <row r="2365" spans="1:26" s="5" customFormat="1">
      <c r="A2365" s="92"/>
      <c r="B2365" s="92"/>
      <c r="C2365" s="92"/>
      <c r="D2365" s="92"/>
      <c r="E2365" s="92"/>
      <c r="F2365" s="92"/>
      <c r="G2365" s="92"/>
      <c r="H2365" s="113"/>
      <c r="I2365" s="92"/>
      <c r="J2365" s="92"/>
      <c r="K2365" s="92"/>
      <c r="L2365" s="113"/>
      <c r="M2365" s="92"/>
      <c r="N2365" s="92"/>
      <c r="O2365" s="92"/>
      <c r="P2365" s="92"/>
      <c r="Q2365" s="113"/>
      <c r="R2365" s="92"/>
      <c r="S2365" s="92"/>
      <c r="T2365" s="92"/>
      <c r="U2365" s="92"/>
      <c r="V2365" s="113"/>
      <c r="W2365" s="114"/>
      <c r="X2365" s="92"/>
      <c r="Y2365" s="92"/>
      <c r="Z2365" s="92"/>
    </row>
    <row r="2366" spans="1:26" s="5" customFormat="1">
      <c r="A2366" s="92"/>
      <c r="B2366" s="92"/>
      <c r="C2366" s="92"/>
      <c r="D2366" s="92"/>
      <c r="E2366" s="92"/>
      <c r="F2366" s="92"/>
      <c r="G2366" s="92"/>
      <c r="H2366" s="113"/>
      <c r="I2366" s="92"/>
      <c r="J2366" s="92"/>
      <c r="K2366" s="92"/>
      <c r="L2366" s="113"/>
      <c r="M2366" s="92"/>
      <c r="N2366" s="92"/>
      <c r="O2366" s="92"/>
      <c r="P2366" s="92"/>
      <c r="Q2366" s="113"/>
      <c r="R2366" s="92"/>
      <c r="S2366" s="92"/>
      <c r="T2366" s="92"/>
      <c r="U2366" s="92"/>
      <c r="V2366" s="113"/>
      <c r="W2366" s="114"/>
      <c r="X2366" s="92"/>
      <c r="Y2366" s="92"/>
      <c r="Z2366" s="92"/>
    </row>
    <row r="2367" spans="1:26" s="5" customFormat="1">
      <c r="A2367" s="92"/>
      <c r="B2367" s="92"/>
      <c r="C2367" s="92"/>
      <c r="D2367" s="92"/>
      <c r="E2367" s="92"/>
      <c r="F2367" s="92"/>
      <c r="G2367" s="92"/>
      <c r="H2367" s="113"/>
      <c r="I2367" s="92"/>
      <c r="J2367" s="92"/>
      <c r="K2367" s="92"/>
      <c r="L2367" s="113"/>
      <c r="M2367" s="92"/>
      <c r="N2367" s="92"/>
      <c r="O2367" s="92"/>
      <c r="P2367" s="92"/>
      <c r="Q2367" s="113"/>
      <c r="R2367" s="92"/>
      <c r="S2367" s="92"/>
      <c r="T2367" s="92"/>
      <c r="U2367" s="92"/>
      <c r="V2367" s="113"/>
      <c r="W2367" s="114"/>
      <c r="X2367" s="92"/>
      <c r="Y2367" s="92"/>
      <c r="Z2367" s="92"/>
    </row>
    <row r="2368" spans="1:26" s="5" customFormat="1">
      <c r="A2368" s="92"/>
      <c r="B2368" s="92"/>
      <c r="C2368" s="92"/>
      <c r="D2368" s="92"/>
      <c r="E2368" s="92"/>
      <c r="F2368" s="92"/>
      <c r="G2368" s="92"/>
      <c r="H2368" s="113"/>
      <c r="I2368" s="92"/>
      <c r="J2368" s="92"/>
      <c r="K2368" s="92"/>
      <c r="L2368" s="113"/>
      <c r="M2368" s="92"/>
      <c r="N2368" s="92"/>
      <c r="O2368" s="92"/>
      <c r="P2368" s="92"/>
      <c r="Q2368" s="113"/>
      <c r="R2368" s="92"/>
      <c r="S2368" s="92"/>
      <c r="T2368" s="92"/>
      <c r="U2368" s="92"/>
      <c r="V2368" s="113"/>
      <c r="W2368" s="114"/>
      <c r="X2368" s="92"/>
      <c r="Y2368" s="92"/>
      <c r="Z2368" s="92"/>
    </row>
    <row r="2369" spans="1:26" s="5" customFormat="1">
      <c r="A2369" s="92"/>
      <c r="B2369" s="92"/>
      <c r="C2369" s="92"/>
      <c r="D2369" s="92"/>
      <c r="E2369" s="92"/>
      <c r="F2369" s="92"/>
      <c r="G2369" s="92"/>
      <c r="H2369" s="113"/>
      <c r="I2369" s="92"/>
      <c r="J2369" s="92"/>
      <c r="K2369" s="92"/>
      <c r="L2369" s="113"/>
      <c r="M2369" s="92"/>
      <c r="N2369" s="92"/>
      <c r="O2369" s="92"/>
      <c r="P2369" s="92"/>
      <c r="Q2369" s="113"/>
      <c r="R2369" s="92"/>
      <c r="S2369" s="92"/>
      <c r="T2369" s="92"/>
      <c r="U2369" s="92"/>
      <c r="V2369" s="113"/>
      <c r="W2369" s="114"/>
      <c r="X2369" s="92"/>
      <c r="Y2369" s="92"/>
      <c r="Z2369" s="92"/>
    </row>
    <row r="2370" spans="1:26" s="5" customFormat="1">
      <c r="A2370" s="92"/>
      <c r="B2370" s="92"/>
      <c r="C2370" s="92"/>
      <c r="D2370" s="92"/>
      <c r="E2370" s="92"/>
      <c r="F2370" s="92"/>
      <c r="G2370" s="92"/>
      <c r="H2370" s="113"/>
      <c r="I2370" s="92"/>
      <c r="J2370" s="92"/>
      <c r="K2370" s="92"/>
      <c r="L2370" s="113"/>
      <c r="M2370" s="92"/>
      <c r="N2370" s="92"/>
      <c r="O2370" s="92"/>
      <c r="P2370" s="92"/>
      <c r="Q2370" s="113"/>
      <c r="R2370" s="92"/>
      <c r="S2370" s="92"/>
      <c r="T2370" s="92"/>
      <c r="U2370" s="92"/>
      <c r="V2370" s="113"/>
      <c r="W2370" s="114"/>
      <c r="X2370" s="92"/>
      <c r="Y2370" s="92"/>
      <c r="Z2370" s="92"/>
    </row>
    <row r="2371" spans="1:26" s="5" customFormat="1">
      <c r="A2371" s="92"/>
      <c r="B2371" s="92"/>
      <c r="C2371" s="92"/>
      <c r="D2371" s="92"/>
      <c r="E2371" s="92"/>
      <c r="F2371" s="92"/>
      <c r="G2371" s="92"/>
      <c r="H2371" s="113"/>
      <c r="I2371" s="92"/>
      <c r="J2371" s="92"/>
      <c r="K2371" s="92"/>
      <c r="L2371" s="113"/>
      <c r="M2371" s="92"/>
      <c r="N2371" s="92"/>
      <c r="O2371" s="92"/>
      <c r="P2371" s="92"/>
      <c r="Q2371" s="113"/>
      <c r="R2371" s="92"/>
      <c r="S2371" s="92"/>
      <c r="T2371" s="92"/>
      <c r="U2371" s="92"/>
      <c r="V2371" s="113"/>
      <c r="W2371" s="114"/>
      <c r="X2371" s="92"/>
      <c r="Y2371" s="92"/>
      <c r="Z2371" s="92"/>
    </row>
    <row r="2372" spans="1:26" s="5" customFormat="1">
      <c r="A2372" s="92"/>
      <c r="B2372" s="92"/>
      <c r="C2372" s="92"/>
      <c r="D2372" s="92"/>
      <c r="E2372" s="92"/>
      <c r="F2372" s="92"/>
      <c r="G2372" s="92"/>
      <c r="H2372" s="113"/>
      <c r="I2372" s="92"/>
      <c r="J2372" s="92"/>
      <c r="K2372" s="92"/>
      <c r="L2372" s="113"/>
      <c r="M2372" s="92"/>
      <c r="N2372" s="92"/>
      <c r="O2372" s="92"/>
      <c r="P2372" s="92"/>
      <c r="Q2372" s="113"/>
      <c r="R2372" s="92"/>
      <c r="S2372" s="92"/>
      <c r="T2372" s="92"/>
      <c r="U2372" s="92"/>
      <c r="V2372" s="113"/>
      <c r="W2372" s="114"/>
      <c r="X2372" s="92"/>
      <c r="Y2372" s="92"/>
      <c r="Z2372" s="92"/>
    </row>
    <row r="2373" spans="1:26" s="5" customFormat="1">
      <c r="A2373" s="92"/>
      <c r="B2373" s="92"/>
      <c r="C2373" s="92"/>
      <c r="D2373" s="92"/>
      <c r="E2373" s="92"/>
      <c r="F2373" s="92"/>
      <c r="G2373" s="92"/>
      <c r="H2373" s="113"/>
      <c r="I2373" s="92"/>
      <c r="J2373" s="92"/>
      <c r="K2373" s="92"/>
      <c r="L2373" s="113"/>
      <c r="M2373" s="92"/>
      <c r="N2373" s="92"/>
      <c r="O2373" s="92"/>
      <c r="P2373" s="92"/>
      <c r="Q2373" s="113"/>
      <c r="R2373" s="92"/>
      <c r="S2373" s="92"/>
      <c r="T2373" s="92"/>
      <c r="U2373" s="92"/>
      <c r="V2373" s="113"/>
      <c r="W2373" s="114"/>
      <c r="X2373" s="92"/>
      <c r="Y2373" s="92"/>
      <c r="Z2373" s="92"/>
    </row>
    <row r="2374" spans="1:26" s="5" customFormat="1">
      <c r="A2374" s="92"/>
      <c r="B2374" s="92"/>
      <c r="C2374" s="92"/>
      <c r="D2374" s="92"/>
      <c r="E2374" s="92"/>
      <c r="F2374" s="92"/>
      <c r="G2374" s="92"/>
      <c r="H2374" s="113"/>
      <c r="I2374" s="92"/>
      <c r="J2374" s="92"/>
      <c r="K2374" s="92"/>
      <c r="L2374" s="113"/>
      <c r="M2374" s="92"/>
      <c r="N2374" s="92"/>
      <c r="O2374" s="92"/>
      <c r="P2374" s="92"/>
      <c r="Q2374" s="113"/>
      <c r="R2374" s="92"/>
      <c r="S2374" s="92"/>
      <c r="T2374" s="92"/>
      <c r="U2374" s="92"/>
      <c r="V2374" s="113"/>
      <c r="W2374" s="114"/>
      <c r="X2374" s="92"/>
      <c r="Y2374" s="92"/>
      <c r="Z2374" s="92"/>
    </row>
    <row r="2375" spans="1:26" s="5" customFormat="1">
      <c r="A2375" s="92"/>
      <c r="B2375" s="92"/>
      <c r="C2375" s="92"/>
      <c r="D2375" s="92"/>
      <c r="E2375" s="92"/>
      <c r="F2375" s="92"/>
      <c r="G2375" s="92"/>
      <c r="H2375" s="113"/>
      <c r="I2375" s="92"/>
      <c r="J2375" s="92"/>
      <c r="K2375" s="92"/>
      <c r="L2375" s="113"/>
      <c r="M2375" s="92"/>
      <c r="N2375" s="92"/>
      <c r="O2375" s="92"/>
      <c r="P2375" s="92"/>
      <c r="Q2375" s="113"/>
      <c r="R2375" s="92"/>
      <c r="S2375" s="92"/>
      <c r="T2375" s="92"/>
      <c r="U2375" s="92"/>
      <c r="V2375" s="113"/>
      <c r="W2375" s="114"/>
      <c r="X2375" s="92"/>
      <c r="Y2375" s="92"/>
      <c r="Z2375" s="92"/>
    </row>
    <row r="2376" spans="1:26" s="5" customFormat="1">
      <c r="A2376" s="92"/>
      <c r="B2376" s="92"/>
      <c r="C2376" s="92"/>
      <c r="D2376" s="92"/>
      <c r="E2376" s="92"/>
      <c r="F2376" s="92"/>
      <c r="G2376" s="92"/>
      <c r="H2376" s="113"/>
      <c r="I2376" s="92"/>
      <c r="J2376" s="92"/>
      <c r="K2376" s="92"/>
      <c r="L2376" s="113"/>
      <c r="M2376" s="92"/>
      <c r="N2376" s="92"/>
      <c r="O2376" s="92"/>
      <c r="P2376" s="92"/>
      <c r="Q2376" s="113"/>
      <c r="R2376" s="92"/>
      <c r="S2376" s="92"/>
      <c r="T2376" s="92"/>
      <c r="U2376" s="92"/>
      <c r="V2376" s="113"/>
      <c r="W2376" s="114"/>
      <c r="X2376" s="92"/>
      <c r="Y2376" s="92"/>
      <c r="Z2376" s="92"/>
    </row>
    <row r="2377" spans="1:26" s="5" customFormat="1">
      <c r="A2377" s="92"/>
      <c r="B2377" s="92"/>
      <c r="C2377" s="92"/>
      <c r="D2377" s="92"/>
      <c r="E2377" s="92"/>
      <c r="F2377" s="92"/>
      <c r="G2377" s="92"/>
      <c r="H2377" s="113"/>
      <c r="I2377" s="92"/>
      <c r="J2377" s="92"/>
      <c r="K2377" s="92"/>
      <c r="L2377" s="113"/>
      <c r="M2377" s="92"/>
      <c r="N2377" s="92"/>
      <c r="O2377" s="92"/>
      <c r="P2377" s="92"/>
      <c r="Q2377" s="113"/>
      <c r="R2377" s="92"/>
      <c r="S2377" s="92"/>
      <c r="T2377" s="92"/>
      <c r="U2377" s="92"/>
      <c r="V2377" s="113"/>
      <c r="W2377" s="114"/>
      <c r="X2377" s="92"/>
      <c r="Y2377" s="92"/>
      <c r="Z2377" s="92"/>
    </row>
    <row r="2378" spans="1:26" s="5" customFormat="1">
      <c r="A2378" s="92"/>
      <c r="B2378" s="92"/>
      <c r="C2378" s="92"/>
      <c r="D2378" s="92"/>
      <c r="E2378" s="92"/>
      <c r="F2378" s="92"/>
      <c r="G2378" s="92"/>
      <c r="H2378" s="113"/>
      <c r="I2378" s="92"/>
      <c r="J2378" s="92"/>
      <c r="K2378" s="92"/>
      <c r="L2378" s="113"/>
      <c r="M2378" s="92"/>
      <c r="N2378" s="92"/>
      <c r="O2378" s="92"/>
      <c r="P2378" s="92"/>
      <c r="Q2378" s="113"/>
      <c r="R2378" s="92"/>
      <c r="S2378" s="92"/>
      <c r="T2378" s="92"/>
      <c r="U2378" s="92"/>
      <c r="V2378" s="113"/>
      <c r="W2378" s="114"/>
      <c r="X2378" s="92"/>
      <c r="Y2378" s="92"/>
      <c r="Z2378" s="92"/>
    </row>
    <row r="2379" spans="1:26" s="5" customFormat="1">
      <c r="A2379" s="92"/>
      <c r="B2379" s="92"/>
      <c r="C2379" s="92"/>
      <c r="D2379" s="92"/>
      <c r="E2379" s="92"/>
      <c r="F2379" s="92"/>
      <c r="G2379" s="92"/>
      <c r="H2379" s="113"/>
      <c r="I2379" s="92"/>
      <c r="J2379" s="92"/>
      <c r="K2379" s="92"/>
      <c r="L2379" s="113"/>
      <c r="M2379" s="92"/>
      <c r="N2379" s="92"/>
      <c r="O2379" s="92"/>
      <c r="P2379" s="92"/>
      <c r="Q2379" s="113"/>
      <c r="R2379" s="92"/>
      <c r="S2379" s="92"/>
      <c r="T2379" s="92"/>
      <c r="U2379" s="92"/>
      <c r="V2379" s="113"/>
      <c r="W2379" s="114"/>
      <c r="X2379" s="92"/>
      <c r="Y2379" s="92"/>
      <c r="Z2379" s="92"/>
    </row>
    <row r="2380" spans="1:26" s="5" customFormat="1">
      <c r="A2380" s="92"/>
      <c r="B2380" s="92"/>
      <c r="C2380" s="92"/>
      <c r="D2380" s="92"/>
      <c r="E2380" s="92"/>
      <c r="F2380" s="92"/>
      <c r="G2380" s="92"/>
      <c r="H2380" s="113"/>
      <c r="I2380" s="92"/>
      <c r="J2380" s="92"/>
      <c r="K2380" s="92"/>
      <c r="L2380" s="113"/>
      <c r="M2380" s="92"/>
      <c r="N2380" s="92"/>
      <c r="O2380" s="92"/>
      <c r="P2380" s="92"/>
      <c r="Q2380" s="113"/>
      <c r="R2380" s="92"/>
      <c r="S2380" s="92"/>
      <c r="T2380" s="92"/>
      <c r="U2380" s="92"/>
      <c r="V2380" s="113"/>
      <c r="W2380" s="114"/>
      <c r="X2380" s="92"/>
      <c r="Y2380" s="92"/>
      <c r="Z2380" s="92"/>
    </row>
    <row r="2381" spans="1:26" s="5" customFormat="1">
      <c r="A2381" s="92"/>
      <c r="B2381" s="92"/>
      <c r="C2381" s="92"/>
      <c r="D2381" s="92"/>
      <c r="E2381" s="92"/>
      <c r="F2381" s="92"/>
      <c r="G2381" s="92"/>
      <c r="H2381" s="113"/>
      <c r="I2381" s="92"/>
      <c r="J2381" s="92"/>
      <c r="K2381" s="92"/>
      <c r="L2381" s="113"/>
      <c r="M2381" s="92"/>
      <c r="N2381" s="92"/>
      <c r="O2381" s="92"/>
      <c r="P2381" s="92"/>
      <c r="Q2381" s="113"/>
      <c r="R2381" s="92"/>
      <c r="S2381" s="92"/>
      <c r="T2381" s="92"/>
      <c r="U2381" s="92"/>
      <c r="V2381" s="113"/>
      <c r="W2381" s="114"/>
      <c r="X2381" s="92"/>
      <c r="Y2381" s="92"/>
      <c r="Z2381" s="92"/>
    </row>
    <row r="2382" spans="1:26" s="5" customFormat="1">
      <c r="A2382" s="92"/>
      <c r="B2382" s="92"/>
      <c r="C2382" s="92"/>
      <c r="D2382" s="92"/>
      <c r="E2382" s="92"/>
      <c r="F2382" s="92"/>
      <c r="G2382" s="92"/>
      <c r="H2382" s="113"/>
      <c r="I2382" s="92"/>
      <c r="J2382" s="92"/>
      <c r="K2382" s="92"/>
      <c r="L2382" s="113"/>
      <c r="M2382" s="92"/>
      <c r="N2382" s="92"/>
      <c r="O2382" s="92"/>
      <c r="P2382" s="92"/>
      <c r="Q2382" s="113"/>
      <c r="R2382" s="92"/>
      <c r="S2382" s="92"/>
      <c r="T2382" s="92"/>
      <c r="U2382" s="92"/>
      <c r="V2382" s="113"/>
      <c r="W2382" s="114"/>
      <c r="X2382" s="92"/>
      <c r="Y2382" s="92"/>
      <c r="Z2382" s="92"/>
    </row>
    <row r="2383" spans="1:26" s="5" customFormat="1">
      <c r="A2383" s="92"/>
      <c r="B2383" s="92"/>
      <c r="C2383" s="92"/>
      <c r="D2383" s="92"/>
      <c r="E2383" s="92"/>
      <c r="F2383" s="92"/>
      <c r="G2383" s="92"/>
      <c r="H2383" s="113"/>
      <c r="I2383" s="92"/>
      <c r="J2383" s="92"/>
      <c r="K2383" s="92"/>
      <c r="L2383" s="113"/>
      <c r="M2383" s="92"/>
      <c r="N2383" s="92"/>
      <c r="O2383" s="92"/>
      <c r="P2383" s="92"/>
      <c r="Q2383" s="113"/>
      <c r="R2383" s="92"/>
      <c r="S2383" s="92"/>
      <c r="T2383" s="92"/>
      <c r="U2383" s="92"/>
      <c r="V2383" s="113"/>
      <c r="W2383" s="114"/>
      <c r="X2383" s="92"/>
      <c r="Y2383" s="92"/>
      <c r="Z2383" s="92"/>
    </row>
    <row r="2384" spans="1:26" s="5" customFormat="1">
      <c r="A2384" s="92"/>
      <c r="B2384" s="92"/>
      <c r="C2384" s="92"/>
      <c r="D2384" s="92"/>
      <c r="E2384" s="92"/>
      <c r="F2384" s="92"/>
      <c r="G2384" s="92"/>
      <c r="H2384" s="113"/>
      <c r="I2384" s="92"/>
      <c r="J2384" s="92"/>
      <c r="K2384" s="92"/>
      <c r="L2384" s="113"/>
      <c r="M2384" s="92"/>
      <c r="N2384" s="92"/>
      <c r="O2384" s="92"/>
      <c r="P2384" s="92"/>
      <c r="Q2384" s="113"/>
      <c r="R2384" s="92"/>
      <c r="S2384" s="92"/>
      <c r="T2384" s="92"/>
      <c r="U2384" s="92"/>
      <c r="V2384" s="113"/>
      <c r="W2384" s="114"/>
      <c r="X2384" s="92"/>
      <c r="Y2384" s="92"/>
      <c r="Z2384" s="92"/>
    </row>
    <row r="2385" spans="1:26" s="5" customFormat="1">
      <c r="A2385" s="92"/>
      <c r="B2385" s="92"/>
      <c r="C2385" s="92"/>
      <c r="D2385" s="92"/>
      <c r="E2385" s="92"/>
      <c r="F2385" s="92"/>
      <c r="G2385" s="92"/>
      <c r="H2385" s="113"/>
      <c r="I2385" s="92"/>
      <c r="J2385" s="92"/>
      <c r="K2385" s="92"/>
      <c r="L2385" s="113"/>
      <c r="M2385" s="92"/>
      <c r="N2385" s="92"/>
      <c r="O2385" s="92"/>
      <c r="P2385" s="92"/>
      <c r="Q2385" s="113"/>
      <c r="R2385" s="92"/>
      <c r="S2385" s="92"/>
      <c r="T2385" s="92"/>
      <c r="U2385" s="92"/>
      <c r="V2385" s="113"/>
      <c r="W2385" s="114"/>
      <c r="X2385" s="92"/>
      <c r="Y2385" s="92"/>
      <c r="Z2385" s="92"/>
    </row>
    <row r="2386" spans="1:26" s="5" customFormat="1">
      <c r="A2386" s="92"/>
      <c r="B2386" s="92"/>
      <c r="C2386" s="92"/>
      <c r="D2386" s="92"/>
      <c r="E2386" s="92"/>
      <c r="F2386" s="92"/>
      <c r="G2386" s="92"/>
      <c r="H2386" s="113"/>
      <c r="I2386" s="92"/>
      <c r="J2386" s="92"/>
      <c r="K2386" s="92"/>
      <c r="L2386" s="113"/>
      <c r="M2386" s="92"/>
      <c r="N2386" s="92"/>
      <c r="O2386" s="92"/>
      <c r="P2386" s="92"/>
      <c r="Q2386" s="113"/>
      <c r="R2386" s="92"/>
      <c r="S2386" s="92"/>
      <c r="T2386" s="92"/>
      <c r="U2386" s="92"/>
      <c r="V2386" s="113"/>
      <c r="W2386" s="114"/>
      <c r="X2386" s="92"/>
      <c r="Y2386" s="92"/>
      <c r="Z2386" s="92"/>
    </row>
    <row r="2387" spans="1:26" s="5" customFormat="1">
      <c r="A2387" s="92"/>
      <c r="B2387" s="92"/>
      <c r="C2387" s="92"/>
      <c r="D2387" s="92"/>
      <c r="E2387" s="92"/>
      <c r="F2387" s="92"/>
      <c r="G2387" s="92"/>
      <c r="H2387" s="113"/>
      <c r="I2387" s="92"/>
      <c r="J2387" s="92"/>
      <c r="K2387" s="92"/>
      <c r="L2387" s="113"/>
      <c r="M2387" s="92"/>
      <c r="N2387" s="92"/>
      <c r="O2387" s="92"/>
      <c r="P2387" s="92"/>
      <c r="Q2387" s="113"/>
      <c r="R2387" s="92"/>
      <c r="S2387" s="92"/>
      <c r="T2387" s="92"/>
      <c r="U2387" s="92"/>
      <c r="V2387" s="113"/>
      <c r="W2387" s="114"/>
      <c r="X2387" s="92"/>
      <c r="Y2387" s="92"/>
      <c r="Z2387" s="92"/>
    </row>
    <row r="2388" spans="1:26" s="5" customFormat="1">
      <c r="A2388" s="92"/>
      <c r="B2388" s="92"/>
      <c r="C2388" s="92"/>
      <c r="D2388" s="92"/>
      <c r="E2388" s="92"/>
      <c r="F2388" s="92"/>
      <c r="G2388" s="92"/>
      <c r="H2388" s="113"/>
      <c r="I2388" s="92"/>
      <c r="J2388" s="92"/>
      <c r="K2388" s="92"/>
      <c r="L2388" s="113"/>
      <c r="M2388" s="92"/>
      <c r="N2388" s="92"/>
      <c r="O2388" s="92"/>
      <c r="P2388" s="92"/>
      <c r="Q2388" s="113"/>
      <c r="R2388" s="92"/>
      <c r="S2388" s="92"/>
      <c r="T2388" s="92"/>
      <c r="U2388" s="92"/>
      <c r="V2388" s="113"/>
      <c r="W2388" s="114"/>
      <c r="X2388" s="92"/>
      <c r="Y2388" s="92"/>
      <c r="Z2388" s="92"/>
    </row>
    <row r="2389" spans="1:26" s="5" customFormat="1">
      <c r="A2389" s="92"/>
      <c r="B2389" s="92"/>
      <c r="C2389" s="92"/>
      <c r="D2389" s="92"/>
      <c r="E2389" s="92"/>
      <c r="F2389" s="92"/>
      <c r="G2389" s="92"/>
      <c r="H2389" s="113"/>
      <c r="I2389" s="92"/>
      <c r="J2389" s="92"/>
      <c r="K2389" s="92"/>
      <c r="L2389" s="113"/>
      <c r="M2389" s="92"/>
      <c r="N2389" s="92"/>
      <c r="O2389" s="92"/>
      <c r="P2389" s="92"/>
      <c r="Q2389" s="113"/>
      <c r="R2389" s="92"/>
      <c r="S2389" s="92"/>
      <c r="T2389" s="92"/>
      <c r="U2389" s="92"/>
      <c r="V2389" s="113"/>
      <c r="W2389" s="114"/>
      <c r="X2389" s="92"/>
      <c r="Y2389" s="92"/>
      <c r="Z2389" s="92"/>
    </row>
    <row r="2390" spans="1:26" s="5" customFormat="1">
      <c r="A2390" s="92"/>
      <c r="B2390" s="92"/>
      <c r="C2390" s="92"/>
      <c r="D2390" s="92"/>
      <c r="E2390" s="92"/>
      <c r="F2390" s="92"/>
      <c r="G2390" s="92"/>
      <c r="H2390" s="113"/>
      <c r="I2390" s="92"/>
      <c r="J2390" s="92"/>
      <c r="K2390" s="92"/>
      <c r="L2390" s="113"/>
      <c r="M2390" s="92"/>
      <c r="N2390" s="92"/>
      <c r="O2390" s="92"/>
      <c r="P2390" s="92"/>
      <c r="Q2390" s="113"/>
      <c r="R2390" s="92"/>
      <c r="S2390" s="92"/>
      <c r="T2390" s="92"/>
      <c r="U2390" s="92"/>
      <c r="V2390" s="113"/>
      <c r="W2390" s="114"/>
      <c r="X2390" s="92"/>
      <c r="Y2390" s="92"/>
      <c r="Z2390" s="92"/>
    </row>
    <row r="2391" spans="1:26" s="5" customFormat="1">
      <c r="A2391" s="92"/>
      <c r="B2391" s="92"/>
      <c r="C2391" s="92"/>
      <c r="D2391" s="92"/>
      <c r="E2391" s="92"/>
      <c r="F2391" s="92"/>
      <c r="G2391" s="92"/>
      <c r="H2391" s="113"/>
      <c r="I2391" s="92"/>
      <c r="J2391" s="92"/>
      <c r="K2391" s="92"/>
      <c r="L2391" s="113"/>
      <c r="M2391" s="92"/>
      <c r="N2391" s="92"/>
      <c r="O2391" s="92"/>
      <c r="P2391" s="92"/>
      <c r="Q2391" s="113"/>
      <c r="R2391" s="92"/>
      <c r="S2391" s="92"/>
      <c r="T2391" s="92"/>
      <c r="U2391" s="92"/>
      <c r="V2391" s="113"/>
      <c r="W2391" s="114"/>
      <c r="X2391" s="92"/>
      <c r="Y2391" s="92"/>
      <c r="Z2391" s="92"/>
    </row>
    <row r="2392" spans="1:26" s="5" customFormat="1">
      <c r="A2392" s="92"/>
      <c r="B2392" s="92"/>
      <c r="C2392" s="92"/>
      <c r="D2392" s="92"/>
      <c r="E2392" s="92"/>
      <c r="F2392" s="92"/>
      <c r="G2392" s="92"/>
      <c r="H2392" s="113"/>
      <c r="I2392" s="92"/>
      <c r="J2392" s="92"/>
      <c r="K2392" s="92"/>
      <c r="L2392" s="113"/>
      <c r="M2392" s="92"/>
      <c r="N2392" s="92"/>
      <c r="O2392" s="92"/>
      <c r="P2392" s="92"/>
      <c r="Q2392" s="113"/>
      <c r="R2392" s="92"/>
      <c r="S2392" s="92"/>
      <c r="T2392" s="92"/>
      <c r="U2392" s="92"/>
      <c r="V2392" s="113"/>
      <c r="W2392" s="114"/>
      <c r="X2392" s="92"/>
      <c r="Y2392" s="92"/>
      <c r="Z2392" s="92"/>
    </row>
    <row r="2393" spans="1:26" s="5" customFormat="1">
      <c r="A2393" s="92"/>
      <c r="B2393" s="92"/>
      <c r="C2393" s="92"/>
      <c r="D2393" s="92"/>
      <c r="E2393" s="92"/>
      <c r="F2393" s="92"/>
      <c r="G2393" s="92"/>
      <c r="H2393" s="113"/>
      <c r="I2393" s="92"/>
      <c r="J2393" s="92"/>
      <c r="K2393" s="92"/>
      <c r="L2393" s="113"/>
      <c r="M2393" s="92"/>
      <c r="N2393" s="92"/>
      <c r="O2393" s="92"/>
      <c r="P2393" s="92"/>
      <c r="Q2393" s="113"/>
      <c r="R2393" s="92"/>
      <c r="S2393" s="92"/>
      <c r="T2393" s="92"/>
      <c r="U2393" s="92"/>
      <c r="V2393" s="113"/>
      <c r="W2393" s="114"/>
      <c r="X2393" s="92"/>
      <c r="Y2393" s="92"/>
      <c r="Z2393" s="92"/>
    </row>
    <row r="2394" spans="1:26" s="5" customFormat="1">
      <c r="A2394" s="92"/>
      <c r="B2394" s="92"/>
      <c r="C2394" s="92"/>
      <c r="D2394" s="92"/>
      <c r="E2394" s="92"/>
      <c r="F2394" s="92"/>
      <c r="G2394" s="92"/>
      <c r="H2394" s="113"/>
      <c r="I2394" s="92"/>
      <c r="J2394" s="92"/>
      <c r="K2394" s="92"/>
      <c r="L2394" s="113"/>
      <c r="M2394" s="92"/>
      <c r="N2394" s="92"/>
      <c r="O2394" s="92"/>
      <c r="P2394" s="92"/>
      <c r="Q2394" s="113"/>
      <c r="R2394" s="92"/>
      <c r="S2394" s="92"/>
      <c r="T2394" s="92"/>
      <c r="U2394" s="92"/>
      <c r="V2394" s="113"/>
      <c r="W2394" s="114"/>
      <c r="X2394" s="92"/>
      <c r="Y2394" s="92"/>
      <c r="Z2394" s="92"/>
    </row>
    <row r="2395" spans="1:26" s="5" customFormat="1">
      <c r="A2395" s="92"/>
      <c r="B2395" s="92"/>
      <c r="C2395" s="92"/>
      <c r="D2395" s="92"/>
      <c r="E2395" s="92"/>
      <c r="F2395" s="92"/>
      <c r="G2395" s="92"/>
      <c r="H2395" s="113"/>
      <c r="I2395" s="92"/>
      <c r="J2395" s="92"/>
      <c r="K2395" s="92"/>
      <c r="L2395" s="113"/>
      <c r="M2395" s="92"/>
      <c r="N2395" s="92"/>
      <c r="O2395" s="92"/>
      <c r="P2395" s="92"/>
      <c r="Q2395" s="113"/>
      <c r="R2395" s="92"/>
      <c r="S2395" s="92"/>
      <c r="T2395" s="92"/>
      <c r="U2395" s="92"/>
      <c r="V2395" s="113"/>
      <c r="W2395" s="114"/>
      <c r="X2395" s="92"/>
      <c r="Y2395" s="92"/>
      <c r="Z2395" s="92"/>
    </row>
    <row r="2396" spans="1:26" s="5" customFormat="1">
      <c r="A2396" s="92"/>
      <c r="B2396" s="92"/>
      <c r="C2396" s="92"/>
      <c r="D2396" s="92"/>
      <c r="E2396" s="92"/>
      <c r="F2396" s="92"/>
      <c r="G2396" s="92"/>
      <c r="H2396" s="113"/>
      <c r="I2396" s="92"/>
      <c r="J2396" s="92"/>
      <c r="K2396" s="92"/>
      <c r="L2396" s="113"/>
      <c r="M2396" s="92"/>
      <c r="N2396" s="92"/>
      <c r="O2396" s="92"/>
      <c r="P2396" s="92"/>
      <c r="Q2396" s="113"/>
      <c r="R2396" s="92"/>
      <c r="S2396" s="92"/>
      <c r="T2396" s="92"/>
      <c r="U2396" s="92"/>
      <c r="V2396" s="113"/>
      <c r="W2396" s="114"/>
      <c r="X2396" s="92"/>
      <c r="Y2396" s="92"/>
      <c r="Z2396" s="92"/>
    </row>
    <row r="2397" spans="1:26" s="5" customFormat="1">
      <c r="A2397" s="92"/>
      <c r="B2397" s="92"/>
      <c r="C2397" s="92"/>
      <c r="D2397" s="92"/>
      <c r="E2397" s="92"/>
      <c r="F2397" s="92"/>
      <c r="G2397" s="92"/>
      <c r="H2397" s="113"/>
      <c r="I2397" s="92"/>
      <c r="J2397" s="92"/>
      <c r="K2397" s="92"/>
      <c r="L2397" s="113"/>
      <c r="M2397" s="92"/>
      <c r="N2397" s="92"/>
      <c r="O2397" s="92"/>
      <c r="P2397" s="92"/>
      <c r="Q2397" s="113"/>
      <c r="R2397" s="92"/>
      <c r="S2397" s="92"/>
      <c r="T2397" s="92"/>
      <c r="U2397" s="92"/>
      <c r="V2397" s="113"/>
      <c r="W2397" s="114"/>
      <c r="X2397" s="92"/>
      <c r="Y2397" s="92"/>
      <c r="Z2397" s="92"/>
    </row>
    <row r="2398" spans="1:26" s="5" customFormat="1">
      <c r="A2398" s="92"/>
      <c r="B2398" s="92"/>
      <c r="C2398" s="92"/>
      <c r="D2398" s="92"/>
      <c r="E2398" s="92"/>
      <c r="F2398" s="92"/>
      <c r="G2398" s="92"/>
      <c r="H2398" s="113"/>
      <c r="I2398" s="92"/>
      <c r="J2398" s="92"/>
      <c r="K2398" s="92"/>
      <c r="L2398" s="113"/>
      <c r="M2398" s="92"/>
      <c r="N2398" s="92"/>
      <c r="O2398" s="92"/>
      <c r="P2398" s="92"/>
      <c r="Q2398" s="113"/>
      <c r="R2398" s="92"/>
      <c r="S2398" s="92"/>
      <c r="T2398" s="92"/>
      <c r="U2398" s="92"/>
      <c r="V2398" s="113"/>
      <c r="W2398" s="114"/>
      <c r="X2398" s="92"/>
      <c r="Y2398" s="92"/>
      <c r="Z2398" s="92"/>
    </row>
    <row r="2399" spans="1:26" s="5" customFormat="1">
      <c r="A2399" s="92"/>
      <c r="B2399" s="92"/>
      <c r="C2399" s="92"/>
      <c r="D2399" s="92"/>
      <c r="E2399" s="92"/>
      <c r="F2399" s="92"/>
      <c r="G2399" s="92"/>
      <c r="H2399" s="113"/>
      <c r="I2399" s="92"/>
      <c r="J2399" s="92"/>
      <c r="K2399" s="92"/>
      <c r="L2399" s="113"/>
      <c r="M2399" s="92"/>
      <c r="N2399" s="92"/>
      <c r="O2399" s="92"/>
      <c r="P2399" s="92"/>
      <c r="Q2399" s="113"/>
      <c r="R2399" s="92"/>
      <c r="S2399" s="92"/>
      <c r="T2399" s="92"/>
      <c r="U2399" s="92"/>
      <c r="V2399" s="113"/>
      <c r="W2399" s="114"/>
      <c r="X2399" s="92"/>
      <c r="Y2399" s="92"/>
      <c r="Z2399" s="92"/>
    </row>
    <row r="2400" spans="1:26" s="5" customFormat="1">
      <c r="A2400" s="92"/>
      <c r="B2400" s="92"/>
      <c r="C2400" s="92"/>
      <c r="D2400" s="92"/>
      <c r="E2400" s="92"/>
      <c r="F2400" s="92"/>
      <c r="G2400" s="92"/>
      <c r="H2400" s="113"/>
      <c r="I2400" s="92"/>
      <c r="J2400" s="92"/>
      <c r="K2400" s="92"/>
      <c r="L2400" s="113"/>
      <c r="M2400" s="92"/>
      <c r="N2400" s="92"/>
      <c r="O2400" s="92"/>
      <c r="P2400" s="92"/>
      <c r="Q2400" s="113"/>
      <c r="R2400" s="92"/>
      <c r="S2400" s="92"/>
      <c r="T2400" s="92"/>
      <c r="U2400" s="92"/>
      <c r="V2400" s="113"/>
      <c r="W2400" s="114"/>
      <c r="X2400" s="92"/>
      <c r="Y2400" s="92"/>
      <c r="Z2400" s="92"/>
    </row>
    <row r="2401" spans="1:26" s="5" customFormat="1">
      <c r="A2401" s="92"/>
      <c r="B2401" s="92"/>
      <c r="C2401" s="92"/>
      <c r="D2401" s="92"/>
      <c r="E2401" s="92"/>
      <c r="F2401" s="92"/>
      <c r="G2401" s="92"/>
      <c r="H2401" s="113"/>
      <c r="I2401" s="92"/>
      <c r="J2401" s="92"/>
      <c r="K2401" s="92"/>
      <c r="L2401" s="113"/>
      <c r="M2401" s="92"/>
      <c r="N2401" s="92"/>
      <c r="O2401" s="92"/>
      <c r="P2401" s="92"/>
      <c r="Q2401" s="113"/>
      <c r="R2401" s="92"/>
      <c r="S2401" s="92"/>
      <c r="T2401" s="92"/>
      <c r="U2401" s="92"/>
      <c r="V2401" s="113"/>
      <c r="W2401" s="114"/>
      <c r="X2401" s="92"/>
      <c r="Y2401" s="92"/>
      <c r="Z2401" s="92"/>
    </row>
    <row r="2402" spans="1:26" s="5" customFormat="1">
      <c r="A2402" s="92"/>
      <c r="B2402" s="92"/>
      <c r="C2402" s="92"/>
      <c r="D2402" s="92"/>
      <c r="E2402" s="92"/>
      <c r="F2402" s="92"/>
      <c r="G2402" s="92"/>
      <c r="H2402" s="113"/>
      <c r="I2402" s="92"/>
      <c r="J2402" s="92"/>
      <c r="K2402" s="92"/>
      <c r="L2402" s="113"/>
      <c r="M2402" s="92"/>
      <c r="N2402" s="92"/>
      <c r="O2402" s="92"/>
      <c r="P2402" s="92"/>
      <c r="Q2402" s="113"/>
      <c r="R2402" s="92"/>
      <c r="S2402" s="92"/>
      <c r="T2402" s="92"/>
      <c r="U2402" s="92"/>
      <c r="V2402" s="113"/>
      <c r="W2402" s="114"/>
      <c r="X2402" s="92"/>
      <c r="Y2402" s="92"/>
      <c r="Z2402" s="92"/>
    </row>
    <row r="2403" spans="1:26" s="5" customFormat="1">
      <c r="A2403" s="92"/>
      <c r="B2403" s="92"/>
      <c r="C2403" s="92"/>
      <c r="D2403" s="92"/>
      <c r="E2403" s="92"/>
      <c r="F2403" s="92"/>
      <c r="G2403" s="92"/>
      <c r="H2403" s="113"/>
      <c r="I2403" s="92"/>
      <c r="J2403" s="92"/>
      <c r="K2403" s="92"/>
      <c r="L2403" s="113"/>
      <c r="M2403" s="92"/>
      <c r="N2403" s="92"/>
      <c r="O2403" s="92"/>
      <c r="P2403" s="92"/>
      <c r="Q2403" s="113"/>
      <c r="R2403" s="92"/>
      <c r="S2403" s="92"/>
      <c r="T2403" s="92"/>
      <c r="U2403" s="92"/>
      <c r="V2403" s="113"/>
      <c r="W2403" s="114"/>
      <c r="X2403" s="92"/>
      <c r="Y2403" s="92"/>
      <c r="Z2403" s="92"/>
    </row>
    <row r="2404" spans="1:26" s="5" customFormat="1">
      <c r="A2404" s="92"/>
      <c r="B2404" s="92"/>
      <c r="C2404" s="92"/>
      <c r="D2404" s="92"/>
      <c r="E2404" s="92"/>
      <c r="F2404" s="92"/>
      <c r="G2404" s="92"/>
      <c r="H2404" s="113"/>
      <c r="I2404" s="92"/>
      <c r="J2404" s="92"/>
      <c r="K2404" s="92"/>
      <c r="L2404" s="113"/>
      <c r="M2404" s="92"/>
      <c r="N2404" s="92"/>
      <c r="O2404" s="92"/>
      <c r="P2404" s="92"/>
      <c r="Q2404" s="113"/>
      <c r="R2404" s="92"/>
      <c r="S2404" s="92"/>
      <c r="T2404" s="92"/>
      <c r="U2404" s="92"/>
      <c r="V2404" s="113"/>
      <c r="W2404" s="114"/>
      <c r="X2404" s="92"/>
      <c r="Y2404" s="92"/>
      <c r="Z2404" s="92"/>
    </row>
    <row r="2405" spans="1:26" s="5" customFormat="1">
      <c r="A2405" s="92"/>
      <c r="B2405" s="92"/>
      <c r="C2405" s="92"/>
      <c r="D2405" s="92"/>
      <c r="E2405" s="92"/>
      <c r="F2405" s="92"/>
      <c r="G2405" s="92"/>
      <c r="H2405" s="113"/>
      <c r="I2405" s="92"/>
      <c r="J2405" s="92"/>
      <c r="K2405" s="92"/>
      <c r="L2405" s="113"/>
      <c r="M2405" s="92"/>
      <c r="N2405" s="92"/>
      <c r="O2405" s="92"/>
      <c r="P2405" s="92"/>
      <c r="Q2405" s="113"/>
      <c r="R2405" s="92"/>
      <c r="S2405" s="92"/>
      <c r="T2405" s="92"/>
      <c r="U2405" s="92"/>
      <c r="V2405" s="113"/>
      <c r="W2405" s="114"/>
      <c r="X2405" s="92"/>
      <c r="Y2405" s="92"/>
      <c r="Z2405" s="92"/>
    </row>
    <row r="2406" spans="1:26" s="5" customFormat="1">
      <c r="A2406" s="92"/>
      <c r="B2406" s="92"/>
      <c r="C2406" s="92"/>
      <c r="D2406" s="92"/>
      <c r="E2406" s="92"/>
      <c r="F2406" s="92"/>
      <c r="G2406" s="92"/>
      <c r="H2406" s="113"/>
      <c r="I2406" s="92"/>
      <c r="J2406" s="92"/>
      <c r="K2406" s="92"/>
      <c r="L2406" s="113"/>
      <c r="M2406" s="92"/>
      <c r="N2406" s="92"/>
      <c r="O2406" s="92"/>
      <c r="P2406" s="92"/>
      <c r="Q2406" s="113"/>
      <c r="R2406" s="92"/>
      <c r="S2406" s="92"/>
      <c r="T2406" s="92"/>
      <c r="U2406" s="92"/>
      <c r="V2406" s="113"/>
      <c r="W2406" s="114"/>
      <c r="X2406" s="92"/>
      <c r="Y2406" s="92"/>
      <c r="Z2406" s="92"/>
    </row>
    <row r="2407" spans="1:26" s="5" customFormat="1">
      <c r="A2407" s="92"/>
      <c r="B2407" s="92"/>
      <c r="C2407" s="92"/>
      <c r="D2407" s="92"/>
      <c r="E2407" s="92"/>
      <c r="F2407" s="92"/>
      <c r="G2407" s="92"/>
      <c r="H2407" s="113"/>
      <c r="I2407" s="92"/>
      <c r="J2407" s="92"/>
      <c r="K2407" s="92"/>
      <c r="L2407" s="113"/>
      <c r="M2407" s="92"/>
      <c r="N2407" s="92"/>
      <c r="O2407" s="92"/>
      <c r="P2407" s="92"/>
      <c r="Q2407" s="113"/>
      <c r="R2407" s="92"/>
      <c r="S2407" s="92"/>
      <c r="T2407" s="92"/>
      <c r="U2407" s="92"/>
      <c r="V2407" s="113"/>
      <c r="W2407" s="114"/>
      <c r="X2407" s="92"/>
      <c r="Y2407" s="92"/>
      <c r="Z2407" s="92"/>
    </row>
    <row r="2408" spans="1:26" s="5" customFormat="1">
      <c r="A2408" s="92"/>
      <c r="B2408" s="92"/>
      <c r="C2408" s="92"/>
      <c r="D2408" s="92"/>
      <c r="E2408" s="92"/>
      <c r="F2408" s="92"/>
      <c r="G2408" s="92"/>
      <c r="H2408" s="113"/>
      <c r="I2408" s="92"/>
      <c r="J2408" s="92"/>
      <c r="K2408" s="92"/>
      <c r="L2408" s="113"/>
      <c r="M2408" s="92"/>
      <c r="N2408" s="92"/>
      <c r="O2408" s="92"/>
      <c r="P2408" s="92"/>
      <c r="Q2408" s="113"/>
      <c r="R2408" s="92"/>
      <c r="S2408" s="92"/>
      <c r="T2408" s="92"/>
      <c r="U2408" s="92"/>
      <c r="V2408" s="113"/>
      <c r="W2408" s="114"/>
      <c r="X2408" s="92"/>
      <c r="Y2408" s="92"/>
      <c r="Z2408" s="92"/>
    </row>
    <row r="2409" spans="1:26" s="5" customFormat="1">
      <c r="A2409" s="92"/>
      <c r="B2409" s="92"/>
      <c r="C2409" s="92"/>
      <c r="D2409" s="92"/>
      <c r="E2409" s="92"/>
      <c r="F2409" s="92"/>
      <c r="G2409" s="92"/>
      <c r="H2409" s="113"/>
      <c r="I2409" s="92"/>
      <c r="J2409" s="92"/>
      <c r="K2409" s="92"/>
      <c r="L2409" s="113"/>
      <c r="M2409" s="92"/>
      <c r="N2409" s="92"/>
      <c r="O2409" s="92"/>
      <c r="P2409" s="92"/>
      <c r="Q2409" s="113"/>
      <c r="R2409" s="92"/>
      <c r="S2409" s="92"/>
      <c r="T2409" s="92"/>
      <c r="U2409" s="92"/>
      <c r="V2409" s="113"/>
      <c r="W2409" s="114"/>
      <c r="X2409" s="92"/>
      <c r="Y2409" s="92"/>
      <c r="Z2409" s="92"/>
    </row>
    <row r="2410" spans="1:26" s="5" customFormat="1">
      <c r="A2410" s="92"/>
      <c r="B2410" s="92"/>
      <c r="C2410" s="92"/>
      <c r="D2410" s="92"/>
      <c r="E2410" s="92"/>
      <c r="F2410" s="92"/>
      <c r="G2410" s="92"/>
      <c r="H2410" s="113"/>
      <c r="I2410" s="92"/>
      <c r="J2410" s="92"/>
      <c r="K2410" s="92"/>
      <c r="L2410" s="113"/>
      <c r="M2410" s="92"/>
      <c r="N2410" s="92"/>
      <c r="O2410" s="92"/>
      <c r="P2410" s="92"/>
      <c r="Q2410" s="113"/>
      <c r="R2410" s="92"/>
      <c r="S2410" s="92"/>
      <c r="T2410" s="92"/>
      <c r="U2410" s="92"/>
      <c r="V2410" s="113"/>
      <c r="W2410" s="114"/>
      <c r="X2410" s="92"/>
      <c r="Y2410" s="92"/>
      <c r="Z2410" s="92"/>
    </row>
    <row r="2411" spans="1:26" s="5" customFormat="1">
      <c r="A2411" s="92"/>
      <c r="B2411" s="92"/>
      <c r="C2411" s="92"/>
      <c r="D2411" s="92"/>
      <c r="E2411" s="92"/>
      <c r="F2411" s="92"/>
      <c r="G2411" s="92"/>
      <c r="H2411" s="113"/>
      <c r="I2411" s="92"/>
      <c r="J2411" s="92"/>
      <c r="K2411" s="92"/>
      <c r="L2411" s="113"/>
      <c r="M2411" s="92"/>
      <c r="N2411" s="92"/>
      <c r="O2411" s="92"/>
      <c r="P2411" s="92"/>
      <c r="Q2411" s="113"/>
      <c r="R2411" s="92"/>
      <c r="S2411" s="92"/>
      <c r="T2411" s="92"/>
      <c r="U2411" s="92"/>
      <c r="V2411" s="113"/>
      <c r="W2411" s="114"/>
      <c r="X2411" s="92"/>
      <c r="Y2411" s="92"/>
      <c r="Z2411" s="92"/>
    </row>
    <row r="2412" spans="1:26" s="5" customFormat="1">
      <c r="A2412" s="92"/>
      <c r="B2412" s="92"/>
      <c r="C2412" s="92"/>
      <c r="D2412" s="92"/>
      <c r="E2412" s="92"/>
      <c r="F2412" s="92"/>
      <c r="G2412" s="92"/>
      <c r="H2412" s="113"/>
      <c r="I2412" s="92"/>
      <c r="J2412" s="92"/>
      <c r="K2412" s="92"/>
      <c r="L2412" s="113"/>
      <c r="M2412" s="92"/>
      <c r="N2412" s="92"/>
      <c r="O2412" s="92"/>
      <c r="P2412" s="92"/>
      <c r="Q2412" s="113"/>
      <c r="R2412" s="92"/>
      <c r="S2412" s="92"/>
      <c r="T2412" s="92"/>
      <c r="U2412" s="92"/>
      <c r="V2412" s="113"/>
      <c r="W2412" s="114"/>
      <c r="X2412" s="92"/>
      <c r="Y2412" s="92"/>
      <c r="Z2412" s="92"/>
    </row>
    <row r="2413" spans="1:26" s="5" customFormat="1">
      <c r="A2413" s="92"/>
      <c r="B2413" s="92"/>
      <c r="C2413" s="92"/>
      <c r="D2413" s="92"/>
      <c r="E2413" s="92"/>
      <c r="F2413" s="92"/>
      <c r="G2413" s="92"/>
      <c r="H2413" s="113"/>
      <c r="I2413" s="92"/>
      <c r="J2413" s="92"/>
      <c r="K2413" s="92"/>
      <c r="L2413" s="113"/>
      <c r="M2413" s="92"/>
      <c r="N2413" s="92"/>
      <c r="O2413" s="92"/>
      <c r="P2413" s="92"/>
      <c r="Q2413" s="113"/>
      <c r="R2413" s="92"/>
      <c r="S2413" s="92"/>
      <c r="T2413" s="92"/>
      <c r="U2413" s="92"/>
      <c r="V2413" s="113"/>
      <c r="W2413" s="114"/>
      <c r="X2413" s="92"/>
      <c r="Y2413" s="92"/>
      <c r="Z2413" s="92"/>
    </row>
    <row r="2414" spans="1:26" s="5" customFormat="1">
      <c r="A2414" s="92"/>
      <c r="B2414" s="92"/>
      <c r="C2414" s="92"/>
      <c r="D2414" s="92"/>
      <c r="E2414" s="92"/>
      <c r="F2414" s="92"/>
      <c r="G2414" s="92"/>
      <c r="H2414" s="113"/>
      <c r="I2414" s="92"/>
      <c r="J2414" s="92"/>
      <c r="K2414" s="92"/>
      <c r="L2414" s="113"/>
      <c r="M2414" s="92"/>
      <c r="N2414" s="92"/>
      <c r="O2414" s="92"/>
      <c r="P2414" s="92"/>
      <c r="Q2414" s="113"/>
      <c r="R2414" s="92"/>
      <c r="S2414" s="92"/>
      <c r="T2414" s="92"/>
      <c r="U2414" s="92"/>
      <c r="V2414" s="113"/>
      <c r="W2414" s="114"/>
      <c r="X2414" s="92"/>
      <c r="Y2414" s="92"/>
      <c r="Z2414" s="92"/>
    </row>
    <row r="2415" spans="1:26" s="5" customFormat="1">
      <c r="A2415" s="92"/>
      <c r="B2415" s="92"/>
      <c r="C2415" s="92"/>
      <c r="D2415" s="92"/>
      <c r="E2415" s="92"/>
      <c r="F2415" s="92"/>
      <c r="G2415" s="92"/>
      <c r="H2415" s="113"/>
      <c r="I2415" s="92"/>
      <c r="J2415" s="92"/>
      <c r="K2415" s="92"/>
      <c r="L2415" s="113"/>
      <c r="M2415" s="92"/>
      <c r="N2415" s="92"/>
      <c r="O2415" s="92"/>
      <c r="P2415" s="92"/>
      <c r="Q2415" s="113"/>
      <c r="R2415" s="92"/>
      <c r="S2415" s="92"/>
      <c r="T2415" s="92"/>
      <c r="U2415" s="92"/>
      <c r="V2415" s="113"/>
      <c r="W2415" s="114"/>
      <c r="X2415" s="92"/>
      <c r="Y2415" s="92"/>
      <c r="Z2415" s="92"/>
    </row>
    <row r="2416" spans="1:26" s="5" customFormat="1">
      <c r="A2416" s="92"/>
      <c r="B2416" s="92"/>
      <c r="C2416" s="92"/>
      <c r="D2416" s="92"/>
      <c r="E2416" s="92"/>
      <c r="F2416" s="92"/>
      <c r="G2416" s="92"/>
      <c r="H2416" s="113"/>
      <c r="I2416" s="92"/>
      <c r="J2416" s="92"/>
      <c r="K2416" s="92"/>
      <c r="L2416" s="113"/>
      <c r="M2416" s="92"/>
      <c r="N2416" s="92"/>
      <c r="O2416" s="92"/>
      <c r="P2416" s="92"/>
      <c r="Q2416" s="113"/>
      <c r="R2416" s="92"/>
      <c r="S2416" s="92"/>
      <c r="T2416" s="92"/>
      <c r="U2416" s="92"/>
      <c r="V2416" s="113"/>
      <c r="W2416" s="114"/>
      <c r="X2416" s="92"/>
      <c r="Y2416" s="92"/>
      <c r="Z2416" s="92"/>
    </row>
    <row r="2417" spans="1:26" s="5" customFormat="1">
      <c r="A2417" s="92"/>
      <c r="B2417" s="92"/>
      <c r="C2417" s="92"/>
      <c r="D2417" s="92"/>
      <c r="E2417" s="92"/>
      <c r="F2417" s="92"/>
      <c r="G2417" s="92"/>
      <c r="H2417" s="113"/>
      <c r="I2417" s="92"/>
      <c r="J2417" s="92"/>
      <c r="K2417" s="92"/>
      <c r="L2417" s="113"/>
      <c r="M2417" s="92"/>
      <c r="N2417" s="92"/>
      <c r="O2417" s="92"/>
      <c r="P2417" s="92"/>
      <c r="Q2417" s="113"/>
      <c r="R2417" s="92"/>
      <c r="S2417" s="92"/>
      <c r="T2417" s="92"/>
      <c r="U2417" s="92"/>
      <c r="V2417" s="113"/>
      <c r="W2417" s="114"/>
      <c r="X2417" s="92"/>
      <c r="Y2417" s="92"/>
      <c r="Z2417" s="92"/>
    </row>
    <row r="2418" spans="1:26" s="5" customFormat="1">
      <c r="A2418" s="92"/>
      <c r="B2418" s="92"/>
      <c r="C2418" s="92"/>
      <c r="D2418" s="92"/>
      <c r="E2418" s="92"/>
      <c r="F2418" s="92"/>
      <c r="G2418" s="92"/>
      <c r="H2418" s="113"/>
      <c r="I2418" s="92"/>
      <c r="J2418" s="92"/>
      <c r="K2418" s="92"/>
      <c r="L2418" s="113"/>
      <c r="M2418" s="92"/>
      <c r="N2418" s="92"/>
      <c r="O2418" s="92"/>
      <c r="P2418" s="92"/>
      <c r="Q2418" s="113"/>
      <c r="R2418" s="92"/>
      <c r="S2418" s="92"/>
      <c r="T2418" s="92"/>
      <c r="U2418" s="92"/>
      <c r="V2418" s="113"/>
      <c r="W2418" s="114"/>
      <c r="X2418" s="92"/>
      <c r="Y2418" s="92"/>
      <c r="Z2418" s="92"/>
    </row>
    <row r="2419" spans="1:26" s="5" customFormat="1">
      <c r="A2419" s="92"/>
      <c r="B2419" s="92"/>
      <c r="C2419" s="92"/>
      <c r="D2419" s="92"/>
      <c r="E2419" s="92"/>
      <c r="F2419" s="92"/>
      <c r="G2419" s="92"/>
      <c r="H2419" s="113"/>
      <c r="I2419" s="92"/>
      <c r="J2419" s="92"/>
      <c r="K2419" s="92"/>
      <c r="L2419" s="113"/>
      <c r="M2419" s="92"/>
      <c r="N2419" s="92"/>
      <c r="O2419" s="92"/>
      <c r="P2419" s="92"/>
      <c r="Q2419" s="113"/>
      <c r="R2419" s="92"/>
      <c r="S2419" s="92"/>
      <c r="T2419" s="92"/>
      <c r="U2419" s="92"/>
      <c r="V2419" s="113"/>
      <c r="W2419" s="114"/>
      <c r="X2419" s="92"/>
      <c r="Y2419" s="92"/>
      <c r="Z2419" s="92"/>
    </row>
    <row r="2420" spans="1:26" s="5" customFormat="1">
      <c r="A2420" s="92"/>
      <c r="B2420" s="92"/>
      <c r="C2420" s="92"/>
      <c r="D2420" s="92"/>
      <c r="E2420" s="92"/>
      <c r="F2420" s="92"/>
      <c r="G2420" s="92"/>
      <c r="H2420" s="113"/>
      <c r="I2420" s="92"/>
      <c r="J2420" s="92"/>
      <c r="K2420" s="92"/>
      <c r="L2420" s="113"/>
      <c r="M2420" s="92"/>
      <c r="N2420" s="92"/>
      <c r="O2420" s="92"/>
      <c r="P2420" s="92"/>
      <c r="Q2420" s="113"/>
      <c r="R2420" s="92"/>
      <c r="S2420" s="92"/>
      <c r="T2420" s="92"/>
      <c r="U2420" s="92"/>
      <c r="V2420" s="113"/>
      <c r="W2420" s="114"/>
      <c r="X2420" s="92"/>
      <c r="Y2420" s="92"/>
      <c r="Z2420" s="92"/>
    </row>
    <row r="2421" spans="1:26" s="5" customFormat="1">
      <c r="A2421" s="92"/>
      <c r="B2421" s="92"/>
      <c r="C2421" s="92"/>
      <c r="D2421" s="92"/>
      <c r="E2421" s="92"/>
      <c r="F2421" s="92"/>
      <c r="G2421" s="92"/>
      <c r="H2421" s="113"/>
      <c r="I2421" s="92"/>
      <c r="J2421" s="92"/>
      <c r="K2421" s="92"/>
      <c r="L2421" s="113"/>
      <c r="M2421" s="92"/>
      <c r="N2421" s="92"/>
      <c r="O2421" s="92"/>
      <c r="P2421" s="92"/>
      <c r="Q2421" s="113"/>
      <c r="R2421" s="92"/>
      <c r="S2421" s="92"/>
      <c r="T2421" s="92"/>
      <c r="U2421" s="92"/>
      <c r="V2421" s="113"/>
      <c r="W2421" s="114"/>
      <c r="X2421" s="92"/>
      <c r="Y2421" s="92"/>
      <c r="Z2421" s="92"/>
    </row>
    <row r="2422" spans="1:26" s="5" customFormat="1">
      <c r="A2422" s="92"/>
      <c r="B2422" s="92"/>
      <c r="C2422" s="92"/>
      <c r="D2422" s="92"/>
      <c r="E2422" s="92"/>
      <c r="F2422" s="92"/>
      <c r="G2422" s="92"/>
      <c r="H2422" s="113"/>
      <c r="I2422" s="92"/>
      <c r="J2422" s="92"/>
      <c r="K2422" s="92"/>
      <c r="L2422" s="113"/>
      <c r="M2422" s="92"/>
      <c r="N2422" s="92"/>
      <c r="O2422" s="92"/>
      <c r="P2422" s="92"/>
      <c r="Q2422" s="113"/>
      <c r="R2422" s="92"/>
      <c r="S2422" s="92"/>
      <c r="T2422" s="92"/>
      <c r="U2422" s="92"/>
      <c r="V2422" s="113"/>
      <c r="W2422" s="114"/>
      <c r="X2422" s="92"/>
      <c r="Y2422" s="92"/>
      <c r="Z2422" s="92"/>
    </row>
    <row r="2423" spans="1:26" s="5" customFormat="1">
      <c r="A2423" s="92"/>
      <c r="B2423" s="92"/>
      <c r="C2423" s="92"/>
      <c r="D2423" s="92"/>
      <c r="E2423" s="92"/>
      <c r="F2423" s="92"/>
      <c r="G2423" s="92"/>
      <c r="H2423" s="113"/>
      <c r="I2423" s="92"/>
      <c r="J2423" s="92"/>
      <c r="K2423" s="92"/>
      <c r="L2423" s="113"/>
      <c r="M2423" s="92"/>
      <c r="N2423" s="92"/>
      <c r="O2423" s="92"/>
      <c r="P2423" s="92"/>
      <c r="Q2423" s="113"/>
      <c r="R2423" s="92"/>
      <c r="S2423" s="92"/>
      <c r="T2423" s="92"/>
      <c r="U2423" s="92"/>
      <c r="V2423" s="113"/>
      <c r="W2423" s="114"/>
      <c r="X2423" s="92"/>
      <c r="Y2423" s="92"/>
      <c r="Z2423" s="92"/>
    </row>
    <row r="2424" spans="1:26" s="5" customFormat="1">
      <c r="A2424" s="92"/>
      <c r="B2424" s="92"/>
      <c r="C2424" s="92"/>
      <c r="D2424" s="92"/>
      <c r="E2424" s="92"/>
      <c r="F2424" s="92"/>
      <c r="G2424" s="92"/>
      <c r="H2424" s="113"/>
      <c r="I2424" s="92"/>
      <c r="J2424" s="92"/>
      <c r="K2424" s="92"/>
      <c r="L2424" s="113"/>
      <c r="M2424" s="92"/>
      <c r="N2424" s="92"/>
      <c r="O2424" s="92"/>
      <c r="P2424" s="92"/>
      <c r="Q2424" s="113"/>
      <c r="R2424" s="92"/>
      <c r="S2424" s="92"/>
      <c r="T2424" s="92"/>
      <c r="U2424" s="92"/>
      <c r="V2424" s="113"/>
      <c r="W2424" s="114"/>
      <c r="X2424" s="92"/>
      <c r="Y2424" s="92"/>
      <c r="Z2424" s="92"/>
    </row>
    <row r="2425" spans="1:26" s="5" customFormat="1">
      <c r="A2425" s="92"/>
      <c r="B2425" s="92"/>
      <c r="C2425" s="92"/>
      <c r="D2425" s="92"/>
      <c r="E2425" s="92"/>
      <c r="F2425" s="92"/>
      <c r="G2425" s="92"/>
      <c r="H2425" s="113"/>
      <c r="I2425" s="92"/>
      <c r="J2425" s="92"/>
      <c r="K2425" s="92"/>
      <c r="L2425" s="113"/>
      <c r="M2425" s="92"/>
      <c r="N2425" s="92"/>
      <c r="O2425" s="92"/>
      <c r="P2425" s="92"/>
      <c r="Q2425" s="113"/>
      <c r="R2425" s="92"/>
      <c r="S2425" s="92"/>
      <c r="T2425" s="92"/>
      <c r="U2425" s="92"/>
      <c r="V2425" s="113"/>
      <c r="W2425" s="114"/>
      <c r="X2425" s="92"/>
      <c r="Y2425" s="92"/>
      <c r="Z2425" s="92"/>
    </row>
    <row r="2426" spans="1:26" s="5" customFormat="1">
      <c r="A2426" s="92"/>
      <c r="B2426" s="92"/>
      <c r="C2426" s="92"/>
      <c r="D2426" s="92"/>
      <c r="E2426" s="92"/>
      <c r="F2426" s="92"/>
      <c r="G2426" s="92"/>
      <c r="H2426" s="113"/>
      <c r="I2426" s="92"/>
      <c r="J2426" s="92"/>
      <c r="K2426" s="92"/>
      <c r="L2426" s="113"/>
      <c r="M2426" s="92"/>
      <c r="N2426" s="92"/>
      <c r="O2426" s="92"/>
      <c r="P2426" s="92"/>
      <c r="Q2426" s="113"/>
      <c r="R2426" s="92"/>
      <c r="S2426" s="92"/>
      <c r="T2426" s="92"/>
      <c r="U2426" s="92"/>
      <c r="V2426" s="113"/>
      <c r="W2426" s="114"/>
      <c r="X2426" s="92"/>
      <c r="Y2426" s="92"/>
      <c r="Z2426" s="92"/>
    </row>
    <row r="2427" spans="1:26" s="5" customFormat="1">
      <c r="A2427" s="92"/>
      <c r="B2427" s="92"/>
      <c r="C2427" s="92"/>
      <c r="D2427" s="92"/>
      <c r="E2427" s="92"/>
      <c r="F2427" s="92"/>
      <c r="G2427" s="92"/>
      <c r="H2427" s="113"/>
      <c r="I2427" s="92"/>
      <c r="J2427" s="92"/>
      <c r="K2427" s="92"/>
      <c r="L2427" s="113"/>
      <c r="M2427" s="92"/>
      <c r="N2427" s="92"/>
      <c r="O2427" s="92"/>
      <c r="P2427" s="92"/>
      <c r="Q2427" s="113"/>
      <c r="R2427" s="92"/>
      <c r="S2427" s="92"/>
      <c r="T2427" s="92"/>
      <c r="U2427" s="92"/>
      <c r="V2427" s="113"/>
      <c r="W2427" s="114"/>
      <c r="X2427" s="92"/>
      <c r="Y2427" s="92"/>
      <c r="Z2427" s="92"/>
    </row>
    <row r="2428" spans="1:26" s="5" customFormat="1">
      <c r="A2428" s="92"/>
      <c r="B2428" s="92"/>
      <c r="C2428" s="92"/>
      <c r="D2428" s="92"/>
      <c r="E2428" s="92"/>
      <c r="F2428" s="92"/>
      <c r="G2428" s="92"/>
      <c r="H2428" s="113"/>
      <c r="I2428" s="92"/>
      <c r="J2428" s="92"/>
      <c r="K2428" s="92"/>
      <c r="L2428" s="113"/>
      <c r="M2428" s="92"/>
      <c r="N2428" s="92"/>
      <c r="O2428" s="92"/>
      <c r="P2428" s="92"/>
      <c r="Q2428" s="113"/>
      <c r="R2428" s="92"/>
      <c r="S2428" s="92"/>
      <c r="T2428" s="92"/>
      <c r="U2428" s="92"/>
      <c r="V2428" s="113"/>
      <c r="W2428" s="114"/>
      <c r="X2428" s="92"/>
      <c r="Y2428" s="92"/>
      <c r="Z2428" s="92"/>
    </row>
    <row r="2429" spans="1:26" s="5" customFormat="1">
      <c r="A2429" s="92"/>
      <c r="B2429" s="92"/>
      <c r="C2429" s="92"/>
      <c r="D2429" s="92"/>
      <c r="E2429" s="92"/>
      <c r="F2429" s="92"/>
      <c r="G2429" s="92"/>
      <c r="H2429" s="113"/>
      <c r="I2429" s="92"/>
      <c r="J2429" s="92"/>
      <c r="K2429" s="92"/>
      <c r="L2429" s="113"/>
      <c r="M2429" s="92"/>
      <c r="N2429" s="92"/>
      <c r="O2429" s="92"/>
      <c r="P2429" s="92"/>
      <c r="Q2429" s="113"/>
      <c r="R2429" s="92"/>
      <c r="S2429" s="92"/>
      <c r="T2429" s="92"/>
      <c r="U2429" s="92"/>
      <c r="V2429" s="113"/>
      <c r="W2429" s="114"/>
      <c r="X2429" s="92"/>
      <c r="Y2429" s="92"/>
      <c r="Z2429" s="92"/>
    </row>
    <row r="2430" spans="1:26" s="5" customFormat="1">
      <c r="A2430" s="92"/>
      <c r="B2430" s="92"/>
      <c r="C2430" s="92"/>
      <c r="D2430" s="92"/>
      <c r="E2430" s="92"/>
      <c r="F2430" s="92"/>
      <c r="G2430" s="92"/>
      <c r="H2430" s="113"/>
      <c r="I2430" s="92"/>
      <c r="J2430" s="92"/>
      <c r="K2430" s="92"/>
      <c r="L2430" s="113"/>
      <c r="M2430" s="92"/>
      <c r="N2430" s="92"/>
      <c r="O2430" s="92"/>
      <c r="P2430" s="92"/>
      <c r="Q2430" s="113"/>
      <c r="R2430" s="92"/>
      <c r="S2430" s="92"/>
      <c r="T2430" s="92"/>
      <c r="U2430" s="92"/>
      <c r="V2430" s="113"/>
      <c r="W2430" s="114"/>
      <c r="X2430" s="92"/>
      <c r="Y2430" s="92"/>
      <c r="Z2430" s="92"/>
    </row>
    <row r="2431" spans="1:26" s="5" customFormat="1">
      <c r="A2431" s="92"/>
      <c r="B2431" s="92"/>
      <c r="C2431" s="92"/>
      <c r="D2431" s="92"/>
      <c r="E2431" s="92"/>
      <c r="F2431" s="92"/>
      <c r="G2431" s="92"/>
      <c r="H2431" s="113"/>
      <c r="I2431" s="92"/>
      <c r="J2431" s="92"/>
      <c r="K2431" s="92"/>
      <c r="L2431" s="113"/>
      <c r="M2431" s="92"/>
      <c r="N2431" s="92"/>
      <c r="O2431" s="92"/>
      <c r="P2431" s="92"/>
      <c r="Q2431" s="113"/>
      <c r="R2431" s="92"/>
      <c r="S2431" s="92"/>
      <c r="T2431" s="92"/>
      <c r="U2431" s="92"/>
      <c r="V2431" s="113"/>
      <c r="W2431" s="114"/>
      <c r="X2431" s="92"/>
      <c r="Y2431" s="92"/>
      <c r="Z2431" s="92"/>
    </row>
    <row r="2432" spans="1:26" s="5" customFormat="1">
      <c r="A2432" s="92"/>
      <c r="B2432" s="92"/>
      <c r="C2432" s="92"/>
      <c r="D2432" s="92"/>
      <c r="E2432" s="92"/>
      <c r="F2432" s="92"/>
      <c r="G2432" s="92"/>
      <c r="H2432" s="113"/>
      <c r="I2432" s="92"/>
      <c r="J2432" s="92"/>
      <c r="K2432" s="92"/>
      <c r="L2432" s="113"/>
      <c r="M2432" s="92"/>
      <c r="N2432" s="92"/>
      <c r="O2432" s="92"/>
      <c r="P2432" s="92"/>
      <c r="Q2432" s="113"/>
      <c r="R2432" s="92"/>
      <c r="S2432" s="92"/>
      <c r="T2432" s="92"/>
      <c r="U2432" s="92"/>
      <c r="V2432" s="113"/>
      <c r="W2432" s="114"/>
      <c r="X2432" s="92"/>
      <c r="Y2432" s="92"/>
      <c r="Z2432" s="92"/>
    </row>
    <row r="2433" spans="1:26" s="5" customFormat="1">
      <c r="A2433" s="92"/>
      <c r="B2433" s="92"/>
      <c r="C2433" s="92"/>
      <c r="D2433" s="92"/>
      <c r="E2433" s="92"/>
      <c r="F2433" s="92"/>
      <c r="G2433" s="92"/>
      <c r="H2433" s="113"/>
      <c r="I2433" s="92"/>
      <c r="J2433" s="92"/>
      <c r="K2433" s="92"/>
      <c r="L2433" s="113"/>
      <c r="M2433" s="92"/>
      <c r="N2433" s="92"/>
      <c r="O2433" s="92"/>
      <c r="P2433" s="92"/>
      <c r="Q2433" s="113"/>
      <c r="R2433" s="92"/>
      <c r="S2433" s="92"/>
      <c r="T2433" s="92"/>
      <c r="U2433" s="92"/>
      <c r="V2433" s="113"/>
      <c r="W2433" s="114"/>
      <c r="X2433" s="92"/>
      <c r="Y2433" s="92"/>
      <c r="Z2433" s="92"/>
    </row>
    <row r="2434" spans="1:26" s="5" customFormat="1">
      <c r="A2434" s="92"/>
      <c r="B2434" s="92"/>
      <c r="C2434" s="92"/>
      <c r="D2434" s="92"/>
      <c r="E2434" s="92"/>
      <c r="F2434" s="92"/>
      <c r="G2434" s="92"/>
      <c r="H2434" s="113"/>
      <c r="I2434" s="92"/>
      <c r="J2434" s="92"/>
      <c r="K2434" s="92"/>
      <c r="L2434" s="113"/>
      <c r="M2434" s="92"/>
      <c r="N2434" s="92"/>
      <c r="O2434" s="92"/>
      <c r="P2434" s="92"/>
      <c r="Q2434" s="113"/>
      <c r="R2434" s="92"/>
      <c r="S2434" s="92"/>
      <c r="T2434" s="92"/>
      <c r="U2434" s="92"/>
      <c r="V2434" s="113"/>
      <c r="W2434" s="114"/>
      <c r="X2434" s="92"/>
      <c r="Y2434" s="92"/>
      <c r="Z2434" s="92"/>
    </row>
    <row r="2435" spans="1:26" s="5" customFormat="1">
      <c r="A2435" s="92"/>
      <c r="B2435" s="92"/>
      <c r="C2435" s="92"/>
      <c r="D2435" s="92"/>
      <c r="E2435" s="92"/>
      <c r="F2435" s="92"/>
      <c r="G2435" s="92"/>
      <c r="H2435" s="113"/>
      <c r="I2435" s="92"/>
      <c r="J2435" s="92"/>
      <c r="K2435" s="92"/>
      <c r="L2435" s="113"/>
      <c r="M2435" s="92"/>
      <c r="N2435" s="92"/>
      <c r="O2435" s="92"/>
      <c r="P2435" s="92"/>
      <c r="Q2435" s="113"/>
      <c r="R2435" s="92"/>
      <c r="S2435" s="92"/>
      <c r="T2435" s="92"/>
      <c r="U2435" s="92"/>
      <c r="V2435" s="113"/>
      <c r="W2435" s="114"/>
      <c r="X2435" s="92"/>
      <c r="Y2435" s="92"/>
      <c r="Z2435" s="92"/>
    </row>
    <row r="2436" spans="1:26" s="5" customFormat="1">
      <c r="A2436" s="92"/>
      <c r="B2436" s="92"/>
      <c r="C2436" s="92"/>
      <c r="D2436" s="92"/>
      <c r="E2436" s="92"/>
      <c r="F2436" s="92"/>
      <c r="G2436" s="92"/>
      <c r="H2436" s="113"/>
      <c r="I2436" s="92"/>
      <c r="J2436" s="92"/>
      <c r="K2436" s="92"/>
      <c r="L2436" s="113"/>
      <c r="M2436" s="92"/>
      <c r="N2436" s="92"/>
      <c r="O2436" s="92"/>
      <c r="P2436" s="92"/>
      <c r="Q2436" s="113"/>
      <c r="R2436" s="92"/>
      <c r="S2436" s="92"/>
      <c r="T2436" s="92"/>
      <c r="U2436" s="92"/>
      <c r="V2436" s="113"/>
      <c r="W2436" s="114"/>
      <c r="X2436" s="92"/>
      <c r="Y2436" s="92"/>
      <c r="Z2436" s="92"/>
    </row>
    <row r="2437" spans="1:26" s="5" customFormat="1">
      <c r="A2437" s="92"/>
      <c r="B2437" s="92"/>
      <c r="C2437" s="92"/>
      <c r="D2437" s="92"/>
      <c r="E2437" s="92"/>
      <c r="F2437" s="92"/>
      <c r="G2437" s="92"/>
      <c r="H2437" s="113"/>
      <c r="I2437" s="92"/>
      <c r="J2437" s="92"/>
      <c r="K2437" s="92"/>
      <c r="L2437" s="113"/>
      <c r="M2437" s="92"/>
      <c r="N2437" s="92"/>
      <c r="O2437" s="92"/>
      <c r="P2437" s="92"/>
      <c r="Q2437" s="113"/>
      <c r="R2437" s="92"/>
      <c r="S2437" s="92"/>
      <c r="T2437" s="92"/>
      <c r="U2437" s="92"/>
      <c r="V2437" s="113"/>
      <c r="W2437" s="114"/>
      <c r="X2437" s="92"/>
      <c r="Y2437" s="92"/>
      <c r="Z2437" s="92"/>
    </row>
    <row r="2438" spans="1:26" s="5" customFormat="1">
      <c r="A2438" s="92"/>
      <c r="B2438" s="92"/>
      <c r="C2438" s="92"/>
      <c r="D2438" s="92"/>
      <c r="E2438" s="92"/>
      <c r="F2438" s="92"/>
      <c r="G2438" s="92"/>
      <c r="H2438" s="113"/>
      <c r="I2438" s="92"/>
      <c r="J2438" s="92"/>
      <c r="K2438" s="92"/>
      <c r="L2438" s="113"/>
      <c r="M2438" s="92"/>
      <c r="N2438" s="92"/>
      <c r="O2438" s="92"/>
      <c r="P2438" s="92"/>
      <c r="Q2438" s="113"/>
      <c r="R2438" s="92"/>
      <c r="S2438" s="92"/>
      <c r="T2438" s="92"/>
      <c r="U2438" s="92"/>
      <c r="V2438" s="113"/>
      <c r="W2438" s="114"/>
      <c r="X2438" s="92"/>
      <c r="Y2438" s="92"/>
      <c r="Z2438" s="92"/>
    </row>
    <row r="2439" spans="1:26" s="5" customFormat="1">
      <c r="A2439" s="92"/>
      <c r="B2439" s="92"/>
      <c r="C2439" s="92"/>
      <c r="D2439" s="92"/>
      <c r="E2439" s="92"/>
      <c r="F2439" s="92"/>
      <c r="G2439" s="92"/>
      <c r="H2439" s="113"/>
      <c r="I2439" s="92"/>
      <c r="J2439" s="92"/>
      <c r="K2439" s="92"/>
      <c r="L2439" s="113"/>
      <c r="M2439" s="92"/>
      <c r="N2439" s="92"/>
      <c r="O2439" s="92"/>
      <c r="P2439" s="92"/>
      <c r="Q2439" s="113"/>
      <c r="R2439" s="92"/>
      <c r="S2439" s="92"/>
      <c r="T2439" s="92"/>
      <c r="U2439" s="92"/>
      <c r="V2439" s="113"/>
      <c r="W2439" s="114"/>
      <c r="X2439" s="92"/>
      <c r="Y2439" s="92"/>
      <c r="Z2439" s="92"/>
    </row>
    <row r="2440" spans="1:26" s="5" customFormat="1">
      <c r="A2440" s="92"/>
      <c r="B2440" s="92"/>
      <c r="C2440" s="92"/>
      <c r="D2440" s="92"/>
      <c r="E2440" s="92"/>
      <c r="F2440" s="92"/>
      <c r="G2440" s="92"/>
      <c r="H2440" s="113"/>
      <c r="I2440" s="92"/>
      <c r="J2440" s="92"/>
      <c r="K2440" s="92"/>
      <c r="L2440" s="113"/>
      <c r="M2440" s="92"/>
      <c r="N2440" s="92"/>
      <c r="O2440" s="92"/>
      <c r="P2440" s="92"/>
      <c r="Q2440" s="113"/>
      <c r="R2440" s="92"/>
      <c r="S2440" s="92"/>
      <c r="T2440" s="92"/>
      <c r="U2440" s="92"/>
      <c r="V2440" s="113"/>
      <c r="W2440" s="114"/>
      <c r="X2440" s="92"/>
      <c r="Y2440" s="92"/>
      <c r="Z2440" s="92"/>
    </row>
    <row r="2441" spans="1:26" s="5" customFormat="1">
      <c r="A2441" s="92"/>
      <c r="B2441" s="92"/>
      <c r="C2441" s="92"/>
      <c r="D2441" s="92"/>
      <c r="E2441" s="92"/>
      <c r="F2441" s="92"/>
      <c r="G2441" s="92"/>
      <c r="H2441" s="113"/>
      <c r="I2441" s="92"/>
      <c r="J2441" s="92"/>
      <c r="K2441" s="92"/>
      <c r="L2441" s="113"/>
      <c r="M2441" s="92"/>
      <c r="N2441" s="92"/>
      <c r="O2441" s="92"/>
      <c r="P2441" s="92"/>
      <c r="Q2441" s="113"/>
      <c r="R2441" s="92"/>
      <c r="S2441" s="92"/>
      <c r="T2441" s="92"/>
      <c r="U2441" s="92"/>
      <c r="V2441" s="113"/>
      <c r="W2441" s="114"/>
      <c r="X2441" s="92"/>
      <c r="Y2441" s="92"/>
      <c r="Z2441" s="92"/>
    </row>
    <row r="2442" spans="1:26" s="5" customFormat="1">
      <c r="A2442" s="92"/>
      <c r="B2442" s="92"/>
      <c r="C2442" s="92"/>
      <c r="D2442" s="92"/>
      <c r="E2442" s="92"/>
      <c r="F2442" s="92"/>
      <c r="G2442" s="92"/>
      <c r="H2442" s="113"/>
      <c r="I2442" s="92"/>
      <c r="J2442" s="92"/>
      <c r="K2442" s="92"/>
      <c r="L2442" s="113"/>
      <c r="M2442" s="92"/>
      <c r="N2442" s="92"/>
      <c r="O2442" s="92"/>
      <c r="P2442" s="92"/>
      <c r="Q2442" s="113"/>
      <c r="R2442" s="92"/>
      <c r="S2442" s="92"/>
      <c r="T2442" s="92"/>
      <c r="U2442" s="92"/>
      <c r="V2442" s="113"/>
      <c r="W2442" s="114"/>
      <c r="X2442" s="92"/>
      <c r="Y2442" s="92"/>
      <c r="Z2442" s="92"/>
    </row>
    <row r="2443" spans="1:26" s="5" customFormat="1">
      <c r="A2443" s="92"/>
      <c r="B2443" s="92"/>
      <c r="C2443" s="92"/>
      <c r="D2443" s="92"/>
      <c r="E2443" s="92"/>
      <c r="F2443" s="92"/>
      <c r="G2443" s="92"/>
      <c r="H2443" s="113"/>
      <c r="I2443" s="92"/>
      <c r="J2443" s="92"/>
      <c r="K2443" s="92"/>
      <c r="L2443" s="113"/>
      <c r="M2443" s="92"/>
      <c r="N2443" s="92"/>
      <c r="O2443" s="92"/>
      <c r="P2443" s="92"/>
      <c r="Q2443" s="113"/>
      <c r="R2443" s="92"/>
      <c r="S2443" s="92"/>
      <c r="T2443" s="92"/>
      <c r="U2443" s="92"/>
      <c r="V2443" s="113"/>
      <c r="W2443" s="114"/>
      <c r="X2443" s="92"/>
      <c r="Y2443" s="92"/>
      <c r="Z2443" s="92"/>
    </row>
    <row r="2444" spans="1:26" s="5" customFormat="1">
      <c r="A2444" s="92"/>
      <c r="B2444" s="92"/>
      <c r="C2444" s="92"/>
      <c r="D2444" s="92"/>
      <c r="E2444" s="92"/>
      <c r="F2444" s="92"/>
      <c r="G2444" s="92"/>
      <c r="H2444" s="113"/>
      <c r="I2444" s="92"/>
      <c r="J2444" s="92"/>
      <c r="K2444" s="92"/>
      <c r="L2444" s="113"/>
      <c r="M2444" s="92"/>
      <c r="N2444" s="92"/>
      <c r="O2444" s="92"/>
      <c r="P2444" s="92"/>
      <c r="Q2444" s="113"/>
      <c r="R2444" s="92"/>
      <c r="S2444" s="92"/>
      <c r="T2444" s="92"/>
      <c r="U2444" s="92"/>
      <c r="V2444" s="113"/>
      <c r="W2444" s="114"/>
      <c r="X2444" s="92"/>
      <c r="Y2444" s="92"/>
      <c r="Z2444" s="92"/>
    </row>
    <row r="2445" spans="1:26" s="5" customFormat="1">
      <c r="A2445" s="92"/>
      <c r="B2445" s="92"/>
      <c r="C2445" s="92"/>
      <c r="D2445" s="92"/>
      <c r="E2445" s="92"/>
      <c r="F2445" s="92"/>
      <c r="G2445" s="92"/>
      <c r="H2445" s="113"/>
      <c r="I2445" s="92"/>
      <c r="J2445" s="92"/>
      <c r="K2445" s="92"/>
      <c r="L2445" s="113"/>
      <c r="M2445" s="92"/>
      <c r="N2445" s="92"/>
      <c r="O2445" s="92"/>
      <c r="P2445" s="92"/>
      <c r="Q2445" s="113"/>
      <c r="R2445" s="92"/>
      <c r="S2445" s="92"/>
      <c r="T2445" s="92"/>
      <c r="U2445" s="92"/>
      <c r="V2445" s="113"/>
      <c r="W2445" s="114"/>
      <c r="X2445" s="92"/>
      <c r="Y2445" s="92"/>
      <c r="Z2445" s="92"/>
    </row>
    <row r="2446" spans="1:26" s="5" customFormat="1">
      <c r="A2446" s="92"/>
      <c r="B2446" s="92"/>
      <c r="C2446" s="92"/>
      <c r="D2446" s="92"/>
      <c r="E2446" s="92"/>
      <c r="F2446" s="92"/>
      <c r="G2446" s="92"/>
      <c r="H2446" s="113"/>
      <c r="I2446" s="92"/>
      <c r="J2446" s="92"/>
      <c r="K2446" s="92"/>
      <c r="L2446" s="113"/>
      <c r="M2446" s="92"/>
      <c r="N2446" s="92"/>
      <c r="O2446" s="92"/>
      <c r="P2446" s="92"/>
      <c r="Q2446" s="113"/>
      <c r="R2446" s="92"/>
      <c r="S2446" s="92"/>
      <c r="T2446" s="92"/>
      <c r="U2446" s="92"/>
      <c r="V2446" s="113"/>
      <c r="W2446" s="114"/>
      <c r="X2446" s="92"/>
      <c r="Y2446" s="92"/>
      <c r="Z2446" s="92"/>
    </row>
    <row r="2447" spans="1:26" s="5" customFormat="1">
      <c r="A2447" s="92"/>
      <c r="B2447" s="92"/>
      <c r="C2447" s="92"/>
      <c r="D2447" s="92"/>
      <c r="E2447" s="92"/>
      <c r="F2447" s="92"/>
      <c r="G2447" s="92"/>
      <c r="H2447" s="113"/>
      <c r="I2447" s="92"/>
      <c r="J2447" s="92"/>
      <c r="K2447" s="92"/>
      <c r="L2447" s="113"/>
      <c r="M2447" s="92"/>
      <c r="N2447" s="92"/>
      <c r="O2447" s="92"/>
      <c r="P2447" s="92"/>
      <c r="Q2447" s="113"/>
      <c r="R2447" s="92"/>
      <c r="S2447" s="92"/>
      <c r="T2447" s="92"/>
      <c r="U2447" s="92"/>
      <c r="V2447" s="113"/>
      <c r="W2447" s="114"/>
      <c r="X2447" s="92"/>
      <c r="Y2447" s="92"/>
      <c r="Z2447" s="92"/>
    </row>
    <row r="2448" spans="1:26" s="5" customFormat="1">
      <c r="A2448" s="92"/>
      <c r="B2448" s="92"/>
      <c r="C2448" s="92"/>
      <c r="D2448" s="92"/>
      <c r="E2448" s="92"/>
      <c r="F2448" s="92"/>
      <c r="G2448" s="92"/>
      <c r="H2448" s="113"/>
      <c r="I2448" s="92"/>
      <c r="J2448" s="92"/>
      <c r="K2448" s="92"/>
      <c r="L2448" s="113"/>
      <c r="M2448" s="92"/>
      <c r="N2448" s="92"/>
      <c r="O2448" s="92"/>
      <c r="P2448" s="92"/>
      <c r="Q2448" s="113"/>
      <c r="R2448" s="92"/>
      <c r="S2448" s="92"/>
      <c r="T2448" s="92"/>
      <c r="U2448" s="92"/>
      <c r="V2448" s="113"/>
      <c r="W2448" s="114"/>
      <c r="X2448" s="92"/>
      <c r="Y2448" s="92"/>
      <c r="Z2448" s="92"/>
    </row>
    <row r="2449" spans="1:26" s="5" customFormat="1">
      <c r="A2449" s="92"/>
      <c r="B2449" s="92"/>
      <c r="C2449" s="92"/>
      <c r="D2449" s="92"/>
      <c r="E2449" s="92"/>
      <c r="F2449" s="92"/>
      <c r="G2449" s="92"/>
      <c r="H2449" s="113"/>
      <c r="I2449" s="92"/>
      <c r="J2449" s="92"/>
      <c r="K2449" s="92"/>
      <c r="L2449" s="113"/>
      <c r="M2449" s="92"/>
      <c r="N2449" s="92"/>
      <c r="O2449" s="92"/>
      <c r="P2449" s="92"/>
      <c r="Q2449" s="113"/>
      <c r="R2449" s="92"/>
      <c r="S2449" s="92"/>
      <c r="T2449" s="92"/>
      <c r="U2449" s="92"/>
      <c r="V2449" s="113"/>
      <c r="W2449" s="114"/>
      <c r="X2449" s="92"/>
      <c r="Y2449" s="92"/>
      <c r="Z2449" s="92"/>
    </row>
    <row r="2450" spans="1:26" s="5" customFormat="1">
      <c r="A2450" s="92"/>
      <c r="B2450" s="92"/>
      <c r="C2450" s="92"/>
      <c r="D2450" s="92"/>
      <c r="E2450" s="92"/>
      <c r="F2450" s="92"/>
      <c r="G2450" s="92"/>
      <c r="H2450" s="113"/>
      <c r="I2450" s="92"/>
      <c r="J2450" s="92"/>
      <c r="K2450" s="92"/>
      <c r="L2450" s="113"/>
      <c r="M2450" s="92"/>
      <c r="N2450" s="92"/>
      <c r="O2450" s="92"/>
      <c r="P2450" s="92"/>
      <c r="Q2450" s="113"/>
      <c r="R2450" s="92"/>
      <c r="S2450" s="92"/>
      <c r="T2450" s="92"/>
      <c r="U2450" s="92"/>
      <c r="V2450" s="113"/>
      <c r="W2450" s="114"/>
      <c r="X2450" s="92"/>
      <c r="Y2450" s="92"/>
      <c r="Z2450" s="92"/>
    </row>
    <row r="2451" spans="1:26" s="5" customFormat="1">
      <c r="A2451" s="92"/>
      <c r="B2451" s="92"/>
      <c r="C2451" s="92"/>
      <c r="D2451" s="92"/>
      <c r="E2451" s="92"/>
      <c r="F2451" s="92"/>
      <c r="G2451" s="92"/>
      <c r="H2451" s="113"/>
      <c r="I2451" s="92"/>
      <c r="J2451" s="92"/>
      <c r="K2451" s="92"/>
      <c r="L2451" s="113"/>
      <c r="M2451" s="92"/>
      <c r="N2451" s="92"/>
      <c r="O2451" s="92"/>
      <c r="P2451" s="92"/>
      <c r="Q2451" s="113"/>
      <c r="R2451" s="92"/>
      <c r="S2451" s="92"/>
      <c r="T2451" s="92"/>
      <c r="U2451" s="92"/>
      <c r="V2451" s="113"/>
      <c r="W2451" s="114"/>
      <c r="X2451" s="92"/>
      <c r="Y2451" s="92"/>
      <c r="Z2451" s="92"/>
    </row>
    <row r="2452" spans="1:26" s="5" customFormat="1">
      <c r="A2452" s="92"/>
      <c r="B2452" s="92"/>
      <c r="C2452" s="92"/>
      <c r="D2452" s="92"/>
      <c r="E2452" s="92"/>
      <c r="F2452" s="92"/>
      <c r="G2452" s="92"/>
      <c r="H2452" s="113"/>
      <c r="I2452" s="92"/>
      <c r="J2452" s="92"/>
      <c r="K2452" s="92"/>
      <c r="L2452" s="113"/>
      <c r="M2452" s="92"/>
      <c r="N2452" s="92"/>
      <c r="O2452" s="92"/>
      <c r="P2452" s="92"/>
      <c r="Q2452" s="113"/>
      <c r="R2452" s="92"/>
      <c r="S2452" s="92"/>
      <c r="T2452" s="92"/>
      <c r="U2452" s="92"/>
      <c r="V2452" s="113"/>
      <c r="W2452" s="114"/>
      <c r="X2452" s="92"/>
      <c r="Y2452" s="92"/>
      <c r="Z2452" s="92"/>
    </row>
    <row r="2453" spans="1:26" s="5" customFormat="1">
      <c r="A2453" s="92"/>
      <c r="B2453" s="92"/>
      <c r="C2453" s="92"/>
      <c r="D2453" s="92"/>
      <c r="E2453" s="92"/>
      <c r="F2453" s="92"/>
      <c r="G2453" s="92"/>
      <c r="H2453" s="113"/>
      <c r="I2453" s="92"/>
      <c r="J2453" s="92"/>
      <c r="K2453" s="92"/>
      <c r="L2453" s="113"/>
      <c r="M2453" s="92"/>
      <c r="N2453" s="92"/>
      <c r="O2453" s="92"/>
      <c r="P2453" s="92"/>
      <c r="Q2453" s="113"/>
      <c r="R2453" s="92"/>
      <c r="S2453" s="92"/>
      <c r="T2453" s="92"/>
      <c r="U2453" s="92"/>
      <c r="V2453" s="113"/>
      <c r="W2453" s="114"/>
      <c r="X2453" s="92"/>
      <c r="Y2453" s="92"/>
      <c r="Z2453" s="92"/>
    </row>
    <row r="2454" spans="1:26" s="5" customFormat="1">
      <c r="A2454" s="92"/>
      <c r="B2454" s="92"/>
      <c r="C2454" s="92"/>
      <c r="D2454" s="92"/>
      <c r="E2454" s="92"/>
      <c r="F2454" s="92"/>
      <c r="G2454" s="92"/>
      <c r="H2454" s="113"/>
      <c r="I2454" s="92"/>
      <c r="J2454" s="92"/>
      <c r="K2454" s="92"/>
      <c r="L2454" s="113"/>
      <c r="M2454" s="92"/>
      <c r="N2454" s="92"/>
      <c r="O2454" s="92"/>
      <c r="P2454" s="92"/>
      <c r="Q2454" s="113"/>
      <c r="R2454" s="92"/>
      <c r="S2454" s="92"/>
      <c r="T2454" s="92"/>
      <c r="U2454" s="92"/>
      <c r="V2454" s="113"/>
      <c r="W2454" s="114"/>
      <c r="X2454" s="92"/>
      <c r="Y2454" s="92"/>
      <c r="Z2454" s="92"/>
    </row>
    <row r="2455" spans="1:26" s="5" customFormat="1">
      <c r="A2455" s="92"/>
      <c r="B2455" s="92"/>
      <c r="C2455" s="92"/>
      <c r="D2455" s="92"/>
      <c r="E2455" s="92"/>
      <c r="F2455" s="92"/>
      <c r="G2455" s="92"/>
      <c r="H2455" s="113"/>
      <c r="I2455" s="92"/>
      <c r="J2455" s="92"/>
      <c r="K2455" s="92"/>
      <c r="L2455" s="113"/>
      <c r="M2455" s="92"/>
      <c r="N2455" s="92"/>
      <c r="O2455" s="92"/>
      <c r="P2455" s="92"/>
      <c r="Q2455" s="113"/>
      <c r="R2455" s="92"/>
      <c r="S2455" s="92"/>
      <c r="T2455" s="92"/>
      <c r="U2455" s="92"/>
      <c r="V2455" s="113"/>
      <c r="W2455" s="114"/>
      <c r="X2455" s="92"/>
      <c r="Y2455" s="92"/>
      <c r="Z2455" s="92"/>
    </row>
    <row r="2456" spans="1:26" s="5" customFormat="1">
      <c r="A2456" s="92"/>
      <c r="B2456" s="92"/>
      <c r="C2456" s="92"/>
      <c r="D2456" s="92"/>
      <c r="E2456" s="92"/>
      <c r="F2456" s="92"/>
      <c r="G2456" s="92"/>
      <c r="H2456" s="113"/>
      <c r="I2456" s="92"/>
      <c r="J2456" s="92"/>
      <c r="K2456" s="92"/>
      <c r="L2456" s="113"/>
      <c r="M2456" s="92"/>
      <c r="N2456" s="92"/>
      <c r="O2456" s="92"/>
      <c r="P2456" s="92"/>
      <c r="Q2456" s="113"/>
      <c r="R2456" s="92"/>
      <c r="S2456" s="92"/>
      <c r="T2456" s="92"/>
      <c r="U2456" s="92"/>
      <c r="V2456" s="113"/>
      <c r="W2456" s="114"/>
      <c r="X2456" s="92"/>
      <c r="Y2456" s="92"/>
      <c r="Z2456" s="92"/>
    </row>
    <row r="2457" spans="1:26" s="5" customFormat="1">
      <c r="A2457" s="92"/>
      <c r="B2457" s="92"/>
      <c r="C2457" s="92"/>
      <c r="D2457" s="92"/>
      <c r="E2457" s="92"/>
      <c r="F2457" s="92"/>
      <c r="G2457" s="92"/>
      <c r="H2457" s="113"/>
      <c r="I2457" s="92"/>
      <c r="J2457" s="92"/>
      <c r="K2457" s="92"/>
      <c r="L2457" s="113"/>
      <c r="M2457" s="92"/>
      <c r="N2457" s="92"/>
      <c r="O2457" s="92"/>
      <c r="P2457" s="92"/>
      <c r="Q2457" s="113"/>
      <c r="R2457" s="92"/>
      <c r="S2457" s="92"/>
      <c r="T2457" s="92"/>
      <c r="U2457" s="92"/>
      <c r="V2457" s="113"/>
      <c r="W2457" s="114"/>
      <c r="X2457" s="92"/>
      <c r="Y2457" s="92"/>
      <c r="Z2457" s="92"/>
    </row>
    <row r="2458" spans="1:26" s="5" customFormat="1">
      <c r="A2458" s="92"/>
      <c r="B2458" s="92"/>
      <c r="C2458" s="92"/>
      <c r="D2458" s="92"/>
      <c r="E2458" s="92"/>
      <c r="F2458" s="92"/>
      <c r="G2458" s="92"/>
      <c r="H2458" s="113"/>
      <c r="I2458" s="92"/>
      <c r="J2458" s="92"/>
      <c r="K2458" s="92"/>
      <c r="L2458" s="113"/>
      <c r="M2458" s="92"/>
      <c r="N2458" s="92"/>
      <c r="O2458" s="92"/>
      <c r="P2458" s="92"/>
      <c r="Q2458" s="113"/>
      <c r="R2458" s="92"/>
      <c r="S2458" s="92"/>
      <c r="T2458" s="92"/>
      <c r="U2458" s="92"/>
      <c r="V2458" s="113"/>
      <c r="W2458" s="114"/>
      <c r="X2458" s="92"/>
      <c r="Y2458" s="92"/>
      <c r="Z2458" s="92"/>
    </row>
    <row r="2459" spans="1:26" s="5" customFormat="1">
      <c r="A2459" s="92"/>
      <c r="B2459" s="92"/>
      <c r="C2459" s="92"/>
      <c r="D2459" s="92"/>
      <c r="E2459" s="92"/>
      <c r="F2459" s="92"/>
      <c r="G2459" s="92"/>
      <c r="H2459" s="113"/>
      <c r="I2459" s="92"/>
      <c r="J2459" s="92"/>
      <c r="K2459" s="92"/>
      <c r="L2459" s="113"/>
      <c r="M2459" s="92"/>
      <c r="N2459" s="92"/>
      <c r="O2459" s="92"/>
      <c r="P2459" s="92"/>
      <c r="Q2459" s="113"/>
      <c r="R2459" s="92"/>
      <c r="S2459" s="92"/>
      <c r="T2459" s="92"/>
      <c r="U2459" s="92"/>
      <c r="V2459" s="113"/>
      <c r="W2459" s="114"/>
      <c r="X2459" s="92"/>
      <c r="Y2459" s="92"/>
      <c r="Z2459" s="92"/>
    </row>
    <row r="2460" spans="1:26" s="5" customFormat="1">
      <c r="A2460" s="92"/>
      <c r="B2460" s="92"/>
      <c r="C2460" s="92"/>
      <c r="D2460" s="92"/>
      <c r="E2460" s="92"/>
      <c r="F2460" s="92"/>
      <c r="G2460" s="92"/>
      <c r="H2460" s="113"/>
      <c r="I2460" s="92"/>
      <c r="J2460" s="92"/>
      <c r="K2460" s="92"/>
      <c r="L2460" s="113"/>
      <c r="M2460" s="92"/>
      <c r="N2460" s="92"/>
      <c r="O2460" s="92"/>
      <c r="P2460" s="92"/>
      <c r="Q2460" s="113"/>
      <c r="R2460" s="92"/>
      <c r="S2460" s="92"/>
      <c r="T2460" s="92"/>
      <c r="U2460" s="92"/>
      <c r="V2460" s="113"/>
      <c r="W2460" s="114"/>
      <c r="X2460" s="92"/>
      <c r="Y2460" s="92"/>
      <c r="Z2460" s="92"/>
    </row>
    <row r="2461" spans="1:26" s="5" customFormat="1">
      <c r="A2461" s="92"/>
      <c r="B2461" s="92"/>
      <c r="C2461" s="92"/>
      <c r="D2461" s="92"/>
      <c r="E2461" s="92"/>
      <c r="F2461" s="92"/>
      <c r="G2461" s="92"/>
      <c r="H2461" s="113"/>
      <c r="I2461" s="92"/>
      <c r="J2461" s="92"/>
      <c r="K2461" s="92"/>
      <c r="L2461" s="113"/>
      <c r="M2461" s="92"/>
      <c r="N2461" s="92"/>
      <c r="O2461" s="92"/>
      <c r="P2461" s="92"/>
      <c r="Q2461" s="113"/>
      <c r="R2461" s="92"/>
      <c r="S2461" s="92"/>
      <c r="T2461" s="92"/>
      <c r="U2461" s="92"/>
      <c r="V2461" s="113"/>
      <c r="W2461" s="114"/>
      <c r="X2461" s="92"/>
      <c r="Y2461" s="92"/>
      <c r="Z2461" s="92"/>
    </row>
    <row r="2462" spans="1:26" s="5" customFormat="1">
      <c r="A2462" s="92"/>
      <c r="B2462" s="92"/>
      <c r="C2462" s="92"/>
      <c r="D2462" s="92"/>
      <c r="E2462" s="92"/>
      <c r="F2462" s="92"/>
      <c r="G2462" s="92"/>
      <c r="H2462" s="113"/>
      <c r="I2462" s="92"/>
      <c r="J2462" s="92"/>
      <c r="K2462" s="92"/>
      <c r="L2462" s="113"/>
      <c r="M2462" s="92"/>
      <c r="N2462" s="92"/>
      <c r="O2462" s="92"/>
      <c r="P2462" s="92"/>
      <c r="Q2462" s="113"/>
      <c r="R2462" s="92"/>
      <c r="S2462" s="92"/>
      <c r="T2462" s="92"/>
      <c r="U2462" s="92"/>
      <c r="V2462" s="113"/>
      <c r="W2462" s="114"/>
      <c r="X2462" s="92"/>
      <c r="Y2462" s="92"/>
      <c r="Z2462" s="92"/>
    </row>
    <row r="2463" spans="1:26" s="5" customFormat="1">
      <c r="A2463" s="92"/>
      <c r="B2463" s="92"/>
      <c r="C2463" s="92"/>
      <c r="D2463" s="92"/>
      <c r="E2463" s="92"/>
      <c r="F2463" s="92"/>
      <c r="G2463" s="92"/>
      <c r="H2463" s="113"/>
      <c r="I2463" s="92"/>
      <c r="J2463" s="92"/>
      <c r="K2463" s="92"/>
      <c r="L2463" s="113"/>
      <c r="M2463" s="92"/>
      <c r="N2463" s="92"/>
      <c r="O2463" s="92"/>
      <c r="P2463" s="92"/>
      <c r="Q2463" s="113"/>
      <c r="R2463" s="92"/>
      <c r="S2463" s="92"/>
      <c r="T2463" s="92"/>
      <c r="U2463" s="92"/>
      <c r="V2463" s="113"/>
      <c r="W2463" s="114"/>
      <c r="X2463" s="92"/>
      <c r="Y2463" s="92"/>
      <c r="Z2463" s="92"/>
    </row>
    <row r="2464" spans="1:26" s="5" customFormat="1">
      <c r="A2464" s="92"/>
      <c r="B2464" s="92"/>
      <c r="C2464" s="92"/>
      <c r="D2464" s="92"/>
      <c r="E2464" s="92"/>
      <c r="F2464" s="92"/>
      <c r="G2464" s="92"/>
      <c r="H2464" s="113"/>
      <c r="I2464" s="92"/>
      <c r="J2464" s="92"/>
      <c r="K2464" s="92"/>
      <c r="L2464" s="113"/>
      <c r="M2464" s="92"/>
      <c r="N2464" s="92"/>
      <c r="O2464" s="92"/>
      <c r="P2464" s="92"/>
      <c r="Q2464" s="113"/>
      <c r="R2464" s="92"/>
      <c r="S2464" s="92"/>
      <c r="T2464" s="92"/>
      <c r="U2464" s="92"/>
      <c r="V2464" s="113"/>
      <c r="W2464" s="114"/>
      <c r="X2464" s="92"/>
      <c r="Y2464" s="92"/>
      <c r="Z2464" s="92"/>
    </row>
    <row r="2465" spans="1:26" s="5" customFormat="1">
      <c r="A2465" s="92"/>
      <c r="B2465" s="92"/>
      <c r="C2465" s="92"/>
      <c r="D2465" s="92"/>
      <c r="E2465" s="92"/>
      <c r="F2465" s="92"/>
      <c r="G2465" s="92"/>
      <c r="H2465" s="113"/>
      <c r="I2465" s="92"/>
      <c r="J2465" s="92"/>
      <c r="K2465" s="92"/>
      <c r="L2465" s="113"/>
      <c r="M2465" s="92"/>
      <c r="N2465" s="92"/>
      <c r="O2465" s="92"/>
      <c r="P2465" s="92"/>
      <c r="Q2465" s="113"/>
      <c r="R2465" s="92"/>
      <c r="S2465" s="92"/>
      <c r="T2465" s="92"/>
      <c r="U2465" s="92"/>
      <c r="V2465" s="113"/>
      <c r="W2465" s="114"/>
      <c r="X2465" s="92"/>
      <c r="Y2465" s="92"/>
      <c r="Z2465" s="92"/>
    </row>
    <row r="2466" spans="1:26" s="5" customFormat="1">
      <c r="A2466" s="92"/>
      <c r="B2466" s="92"/>
      <c r="C2466" s="92"/>
      <c r="D2466" s="92"/>
      <c r="E2466" s="92"/>
      <c r="F2466" s="92"/>
      <c r="G2466" s="92"/>
      <c r="H2466" s="113"/>
      <c r="I2466" s="92"/>
      <c r="J2466" s="92"/>
      <c r="K2466" s="92"/>
      <c r="L2466" s="113"/>
      <c r="M2466" s="92"/>
      <c r="N2466" s="92"/>
      <c r="O2466" s="92"/>
      <c r="P2466" s="92"/>
      <c r="Q2466" s="113"/>
      <c r="R2466" s="92"/>
      <c r="S2466" s="92"/>
      <c r="T2466" s="92"/>
      <c r="U2466" s="92"/>
      <c r="V2466" s="113"/>
      <c r="W2466" s="114"/>
      <c r="X2466" s="92"/>
      <c r="Y2466" s="92"/>
      <c r="Z2466" s="92"/>
    </row>
    <row r="2467" spans="1:26" s="5" customFormat="1">
      <c r="A2467" s="92"/>
      <c r="B2467" s="92"/>
      <c r="C2467" s="92"/>
      <c r="D2467" s="92"/>
      <c r="E2467" s="92"/>
      <c r="F2467" s="92"/>
      <c r="G2467" s="92"/>
      <c r="H2467" s="113"/>
      <c r="I2467" s="92"/>
      <c r="J2467" s="92"/>
      <c r="K2467" s="92"/>
      <c r="L2467" s="113"/>
      <c r="M2467" s="92"/>
      <c r="N2467" s="92"/>
      <c r="O2467" s="92"/>
      <c r="P2467" s="92"/>
      <c r="Q2467" s="113"/>
      <c r="R2467" s="92"/>
      <c r="S2467" s="92"/>
      <c r="T2467" s="92"/>
      <c r="U2467" s="92"/>
      <c r="V2467" s="113"/>
      <c r="W2467" s="114"/>
      <c r="X2467" s="92"/>
      <c r="Y2467" s="92"/>
      <c r="Z2467" s="92"/>
    </row>
    <row r="2468" spans="1:26" s="5" customFormat="1">
      <c r="A2468" s="92"/>
      <c r="B2468" s="92"/>
      <c r="C2468" s="92"/>
      <c r="D2468" s="92"/>
      <c r="E2468" s="92"/>
      <c r="F2468" s="92"/>
      <c r="G2468" s="92"/>
      <c r="H2468" s="113"/>
      <c r="I2468" s="92"/>
      <c r="J2468" s="92"/>
      <c r="K2468" s="92"/>
      <c r="L2468" s="113"/>
      <c r="M2468" s="92"/>
      <c r="N2468" s="92"/>
      <c r="O2468" s="92"/>
      <c r="P2468" s="92"/>
      <c r="Q2468" s="113"/>
      <c r="R2468" s="92"/>
      <c r="S2468" s="92"/>
      <c r="T2468" s="92"/>
      <c r="U2468" s="92"/>
      <c r="V2468" s="113"/>
      <c r="W2468" s="114"/>
      <c r="X2468" s="92"/>
      <c r="Y2468" s="92"/>
      <c r="Z2468" s="92"/>
    </row>
    <row r="2469" spans="1:26" s="5" customFormat="1">
      <c r="A2469" s="92"/>
      <c r="B2469" s="92"/>
      <c r="C2469" s="92"/>
      <c r="D2469" s="92"/>
      <c r="E2469" s="92"/>
      <c r="F2469" s="92"/>
      <c r="G2469" s="92"/>
      <c r="H2469" s="113"/>
      <c r="I2469" s="92"/>
      <c r="J2469" s="92"/>
      <c r="K2469" s="92"/>
      <c r="L2469" s="113"/>
      <c r="M2469" s="92"/>
      <c r="N2469" s="92"/>
      <c r="O2469" s="92"/>
      <c r="P2469" s="92"/>
      <c r="Q2469" s="113"/>
      <c r="R2469" s="92"/>
      <c r="S2469" s="92"/>
      <c r="T2469" s="92"/>
      <c r="U2469" s="92"/>
      <c r="V2469" s="113"/>
      <c r="W2469" s="114"/>
      <c r="X2469" s="92"/>
      <c r="Y2469" s="92"/>
      <c r="Z2469" s="92"/>
    </row>
    <row r="2470" spans="1:26" s="5" customFormat="1">
      <c r="A2470" s="92"/>
      <c r="B2470" s="92"/>
      <c r="C2470" s="92"/>
      <c r="D2470" s="92"/>
      <c r="E2470" s="92"/>
      <c r="F2470" s="92"/>
      <c r="G2470" s="92"/>
      <c r="H2470" s="113"/>
      <c r="I2470" s="92"/>
      <c r="J2470" s="92"/>
      <c r="K2470" s="92"/>
      <c r="L2470" s="113"/>
      <c r="M2470" s="92"/>
      <c r="N2470" s="92"/>
      <c r="O2470" s="92"/>
      <c r="P2470" s="92"/>
      <c r="Q2470" s="113"/>
      <c r="R2470" s="92"/>
      <c r="S2470" s="92"/>
      <c r="T2470" s="92"/>
      <c r="U2470" s="92"/>
      <c r="V2470" s="113"/>
      <c r="W2470" s="114"/>
      <c r="X2470" s="92"/>
      <c r="Y2470" s="92"/>
      <c r="Z2470" s="92"/>
    </row>
    <row r="2471" spans="1:26" s="5" customFormat="1">
      <c r="A2471" s="92"/>
      <c r="B2471" s="92"/>
      <c r="C2471" s="92"/>
      <c r="D2471" s="92"/>
      <c r="E2471" s="92"/>
      <c r="F2471" s="92"/>
      <c r="G2471" s="92"/>
      <c r="H2471" s="113"/>
      <c r="I2471" s="92"/>
      <c r="J2471" s="92"/>
      <c r="K2471" s="92"/>
      <c r="L2471" s="113"/>
      <c r="M2471" s="92"/>
      <c r="N2471" s="92"/>
      <c r="O2471" s="92"/>
      <c r="P2471" s="92"/>
      <c r="Q2471" s="113"/>
      <c r="R2471" s="92"/>
      <c r="S2471" s="92"/>
      <c r="T2471" s="92"/>
      <c r="U2471" s="92"/>
      <c r="V2471" s="113"/>
      <c r="W2471" s="114"/>
      <c r="X2471" s="92"/>
      <c r="Y2471" s="92"/>
      <c r="Z2471" s="92"/>
    </row>
    <row r="2472" spans="1:26" s="5" customFormat="1">
      <c r="A2472" s="92"/>
      <c r="B2472" s="92"/>
      <c r="C2472" s="92"/>
      <c r="D2472" s="92"/>
      <c r="E2472" s="92"/>
      <c r="F2472" s="92"/>
      <c r="G2472" s="92"/>
      <c r="H2472" s="113"/>
      <c r="I2472" s="92"/>
      <c r="J2472" s="92"/>
      <c r="K2472" s="92"/>
      <c r="L2472" s="113"/>
      <c r="M2472" s="92"/>
      <c r="N2472" s="92"/>
      <c r="O2472" s="92"/>
      <c r="P2472" s="92"/>
      <c r="Q2472" s="113"/>
      <c r="R2472" s="92"/>
      <c r="S2472" s="92"/>
      <c r="T2472" s="92"/>
      <c r="U2472" s="92"/>
      <c r="V2472" s="113"/>
      <c r="W2472" s="114"/>
      <c r="X2472" s="92"/>
      <c r="Y2472" s="92"/>
      <c r="Z2472" s="92"/>
    </row>
    <row r="2473" spans="1:26" s="5" customFormat="1">
      <c r="A2473" s="92"/>
      <c r="B2473" s="92"/>
      <c r="C2473" s="92"/>
      <c r="D2473" s="92"/>
      <c r="E2473" s="92"/>
      <c r="F2473" s="92"/>
      <c r="G2473" s="92"/>
      <c r="H2473" s="113"/>
      <c r="I2473" s="92"/>
      <c r="J2473" s="92"/>
      <c r="K2473" s="92"/>
      <c r="L2473" s="113"/>
      <c r="M2473" s="92"/>
      <c r="N2473" s="92"/>
      <c r="O2473" s="92"/>
      <c r="P2473" s="92"/>
      <c r="Q2473" s="113"/>
      <c r="R2473" s="92"/>
      <c r="S2473" s="92"/>
      <c r="T2473" s="92"/>
      <c r="U2473" s="92"/>
      <c r="V2473" s="113"/>
      <c r="W2473" s="114"/>
      <c r="X2473" s="92"/>
      <c r="Y2473" s="92"/>
      <c r="Z2473" s="92"/>
    </row>
    <row r="2474" spans="1:26" s="5" customFormat="1">
      <c r="A2474" s="92"/>
      <c r="B2474" s="92"/>
      <c r="C2474" s="92"/>
      <c r="D2474" s="92"/>
      <c r="E2474" s="92"/>
      <c r="F2474" s="92"/>
      <c r="G2474" s="92"/>
      <c r="H2474" s="113"/>
      <c r="I2474" s="92"/>
      <c r="J2474" s="92"/>
      <c r="K2474" s="92"/>
      <c r="L2474" s="113"/>
      <c r="M2474" s="92"/>
      <c r="N2474" s="92"/>
      <c r="O2474" s="92"/>
      <c r="P2474" s="92"/>
      <c r="Q2474" s="113"/>
      <c r="R2474" s="92"/>
      <c r="S2474" s="92"/>
      <c r="T2474" s="92"/>
      <c r="U2474" s="92"/>
      <c r="V2474" s="113"/>
      <c r="W2474" s="114"/>
      <c r="X2474" s="92"/>
      <c r="Y2474" s="92"/>
      <c r="Z2474" s="92"/>
    </row>
    <row r="2475" spans="1:26" s="5" customFormat="1">
      <c r="A2475" s="92"/>
      <c r="B2475" s="92"/>
      <c r="C2475" s="92"/>
      <c r="D2475" s="92"/>
      <c r="E2475" s="92"/>
      <c r="F2475" s="92"/>
      <c r="G2475" s="92"/>
      <c r="H2475" s="113"/>
      <c r="I2475" s="92"/>
      <c r="J2475" s="92"/>
      <c r="K2475" s="92"/>
      <c r="L2475" s="113"/>
      <c r="M2475" s="92"/>
      <c r="N2475" s="92"/>
      <c r="O2475" s="92"/>
      <c r="P2475" s="92"/>
      <c r="Q2475" s="113"/>
      <c r="R2475" s="92"/>
      <c r="S2475" s="92"/>
      <c r="T2475" s="92"/>
      <c r="U2475" s="92"/>
      <c r="V2475" s="113"/>
      <c r="W2475" s="114"/>
      <c r="X2475" s="92"/>
      <c r="Y2475" s="92"/>
      <c r="Z2475" s="92"/>
    </row>
    <row r="2476" spans="1:26" s="5" customFormat="1">
      <c r="A2476" s="92"/>
      <c r="B2476" s="92"/>
      <c r="C2476" s="92"/>
      <c r="D2476" s="92"/>
      <c r="E2476" s="92"/>
      <c r="F2476" s="92"/>
      <c r="G2476" s="92"/>
      <c r="H2476" s="113"/>
      <c r="I2476" s="92"/>
      <c r="J2476" s="92"/>
      <c r="K2476" s="92"/>
      <c r="L2476" s="113"/>
      <c r="M2476" s="92"/>
      <c r="N2476" s="92"/>
      <c r="O2476" s="92"/>
      <c r="P2476" s="92"/>
      <c r="Q2476" s="113"/>
      <c r="R2476" s="92"/>
      <c r="S2476" s="92"/>
      <c r="T2476" s="92"/>
      <c r="U2476" s="92"/>
      <c r="V2476" s="113"/>
      <c r="W2476" s="114"/>
      <c r="X2476" s="92"/>
      <c r="Y2476" s="92"/>
      <c r="Z2476" s="92"/>
    </row>
    <row r="2477" spans="1:26" s="5" customFormat="1">
      <c r="A2477" s="92"/>
      <c r="B2477" s="92"/>
      <c r="C2477" s="92"/>
      <c r="D2477" s="92"/>
      <c r="E2477" s="92"/>
      <c r="F2477" s="92"/>
      <c r="G2477" s="92"/>
      <c r="H2477" s="113"/>
      <c r="I2477" s="92"/>
      <c r="J2477" s="92"/>
      <c r="K2477" s="92"/>
      <c r="L2477" s="113"/>
      <c r="M2477" s="92"/>
      <c r="N2477" s="92"/>
      <c r="O2477" s="92"/>
      <c r="P2477" s="92"/>
      <c r="Q2477" s="113"/>
      <c r="R2477" s="92"/>
      <c r="S2477" s="92"/>
      <c r="T2477" s="92"/>
      <c r="U2477" s="92"/>
      <c r="V2477" s="113"/>
      <c r="W2477" s="114"/>
      <c r="X2477" s="92"/>
      <c r="Y2477" s="92"/>
      <c r="Z2477" s="92"/>
    </row>
    <row r="2478" spans="1:26" s="5" customFormat="1">
      <c r="A2478" s="92"/>
      <c r="B2478" s="92"/>
      <c r="C2478" s="92"/>
      <c r="D2478" s="92"/>
      <c r="E2478" s="92"/>
      <c r="F2478" s="92"/>
      <c r="G2478" s="92"/>
      <c r="H2478" s="113"/>
      <c r="I2478" s="92"/>
      <c r="J2478" s="92"/>
      <c r="K2478" s="92"/>
      <c r="L2478" s="113"/>
      <c r="M2478" s="92"/>
      <c r="N2478" s="92"/>
      <c r="O2478" s="92"/>
      <c r="P2478" s="92"/>
      <c r="Q2478" s="113"/>
      <c r="R2478" s="92"/>
      <c r="S2478" s="92"/>
      <c r="T2478" s="92"/>
      <c r="U2478" s="92"/>
      <c r="V2478" s="113"/>
      <c r="W2478" s="114"/>
      <c r="X2478" s="92"/>
      <c r="Y2478" s="92"/>
      <c r="Z2478" s="92"/>
    </row>
    <row r="2479" spans="1:26" s="5" customFormat="1">
      <c r="A2479" s="92"/>
      <c r="B2479" s="92"/>
      <c r="C2479" s="92"/>
      <c r="D2479" s="92"/>
      <c r="E2479" s="92"/>
      <c r="F2479" s="92"/>
      <c r="G2479" s="92"/>
      <c r="H2479" s="113"/>
      <c r="I2479" s="92"/>
      <c r="J2479" s="92"/>
      <c r="K2479" s="92"/>
      <c r="L2479" s="113"/>
      <c r="M2479" s="92"/>
      <c r="N2479" s="92"/>
      <c r="O2479" s="92"/>
      <c r="P2479" s="92"/>
      <c r="Q2479" s="113"/>
      <c r="R2479" s="92"/>
      <c r="S2479" s="92"/>
      <c r="T2479" s="92"/>
      <c r="U2479" s="92"/>
      <c r="V2479" s="113"/>
      <c r="W2479" s="114"/>
      <c r="X2479" s="92"/>
      <c r="Y2479" s="92"/>
      <c r="Z2479" s="92"/>
    </row>
    <row r="2480" spans="1:26" s="5" customFormat="1">
      <c r="A2480" s="92"/>
      <c r="B2480" s="92"/>
      <c r="C2480" s="92"/>
      <c r="D2480" s="92"/>
      <c r="E2480" s="92"/>
      <c r="F2480" s="92"/>
      <c r="G2480" s="92"/>
      <c r="H2480" s="113"/>
      <c r="I2480" s="92"/>
      <c r="J2480" s="92"/>
      <c r="K2480" s="92"/>
      <c r="L2480" s="113"/>
      <c r="M2480" s="92"/>
      <c r="N2480" s="92"/>
      <c r="O2480" s="92"/>
      <c r="P2480" s="92"/>
      <c r="Q2480" s="113"/>
      <c r="R2480" s="92"/>
      <c r="S2480" s="92"/>
      <c r="T2480" s="92"/>
      <c r="U2480" s="92"/>
      <c r="V2480" s="113"/>
      <c r="W2480" s="114"/>
      <c r="X2480" s="92"/>
      <c r="Y2480" s="92"/>
      <c r="Z2480" s="92"/>
    </row>
    <row r="2481" spans="1:26" s="5" customFormat="1">
      <c r="A2481" s="92"/>
      <c r="B2481" s="92"/>
      <c r="C2481" s="92"/>
      <c r="D2481" s="92"/>
      <c r="E2481" s="92"/>
      <c r="F2481" s="92"/>
      <c r="G2481" s="92"/>
      <c r="H2481" s="113"/>
      <c r="I2481" s="92"/>
      <c r="J2481" s="92"/>
      <c r="K2481" s="92"/>
      <c r="L2481" s="113"/>
      <c r="M2481" s="92"/>
      <c r="N2481" s="92"/>
      <c r="O2481" s="92"/>
      <c r="P2481" s="92"/>
      <c r="Q2481" s="113"/>
      <c r="R2481" s="92"/>
      <c r="S2481" s="92"/>
      <c r="T2481" s="92"/>
      <c r="U2481" s="92"/>
      <c r="V2481" s="113"/>
      <c r="W2481" s="114"/>
      <c r="X2481" s="92"/>
      <c r="Y2481" s="92"/>
      <c r="Z2481" s="92"/>
    </row>
    <row r="2482" spans="1:26" s="5" customFormat="1">
      <c r="A2482" s="92"/>
      <c r="B2482" s="92"/>
      <c r="C2482" s="92"/>
      <c r="D2482" s="92"/>
      <c r="E2482" s="92"/>
      <c r="F2482" s="92"/>
      <c r="G2482" s="92"/>
      <c r="H2482" s="113"/>
      <c r="I2482" s="92"/>
      <c r="J2482" s="92"/>
      <c r="K2482" s="92"/>
      <c r="L2482" s="113"/>
      <c r="M2482" s="92"/>
      <c r="N2482" s="92"/>
      <c r="O2482" s="92"/>
      <c r="P2482" s="92"/>
      <c r="Q2482" s="113"/>
      <c r="R2482" s="92"/>
      <c r="S2482" s="92"/>
      <c r="T2482" s="92"/>
      <c r="U2482" s="92"/>
      <c r="V2482" s="113"/>
      <c r="W2482" s="114"/>
      <c r="X2482" s="92"/>
      <c r="Y2482" s="92"/>
      <c r="Z2482" s="92"/>
    </row>
    <row r="2483" spans="1:26" s="5" customFormat="1">
      <c r="A2483" s="92"/>
      <c r="B2483" s="92"/>
      <c r="C2483" s="92"/>
      <c r="D2483" s="92"/>
      <c r="E2483" s="92"/>
      <c r="F2483" s="92"/>
      <c r="G2483" s="92"/>
      <c r="H2483" s="113"/>
      <c r="I2483" s="92"/>
      <c r="J2483" s="92"/>
      <c r="K2483" s="92"/>
      <c r="L2483" s="113"/>
      <c r="M2483" s="92"/>
      <c r="N2483" s="92"/>
      <c r="O2483" s="92"/>
      <c r="P2483" s="92"/>
      <c r="Q2483" s="113"/>
      <c r="R2483" s="92"/>
      <c r="S2483" s="92"/>
      <c r="T2483" s="92"/>
      <c r="U2483" s="92"/>
      <c r="V2483" s="113"/>
      <c r="W2483" s="114"/>
      <c r="X2483" s="92"/>
      <c r="Y2483" s="92"/>
      <c r="Z2483" s="92"/>
    </row>
    <row r="2484" spans="1:26" s="5" customFormat="1">
      <c r="A2484" s="92"/>
      <c r="B2484" s="92"/>
      <c r="C2484" s="92"/>
      <c r="D2484" s="92"/>
      <c r="E2484" s="92"/>
      <c r="F2484" s="92"/>
      <c r="G2484" s="92"/>
      <c r="H2484" s="113"/>
      <c r="I2484" s="92"/>
      <c r="J2484" s="92"/>
      <c r="K2484" s="92"/>
      <c r="L2484" s="113"/>
      <c r="M2484" s="92"/>
      <c r="N2484" s="92"/>
      <c r="O2484" s="92"/>
      <c r="P2484" s="92"/>
      <c r="Q2484" s="113"/>
      <c r="R2484" s="92"/>
      <c r="S2484" s="92"/>
      <c r="T2484" s="92"/>
      <c r="U2484" s="92"/>
      <c r="V2484" s="113"/>
      <c r="W2484" s="114"/>
      <c r="X2484" s="92"/>
      <c r="Y2484" s="92"/>
      <c r="Z2484" s="92"/>
    </row>
    <row r="2485" spans="1:26" s="5" customFormat="1">
      <c r="A2485" s="92"/>
      <c r="B2485" s="92"/>
      <c r="C2485" s="92"/>
      <c r="D2485" s="92"/>
      <c r="E2485" s="92"/>
      <c r="F2485" s="92"/>
      <c r="G2485" s="92"/>
      <c r="H2485" s="113"/>
      <c r="I2485" s="92"/>
      <c r="J2485" s="92"/>
      <c r="K2485" s="92"/>
      <c r="L2485" s="113"/>
      <c r="M2485" s="92"/>
      <c r="N2485" s="92"/>
      <c r="O2485" s="92"/>
      <c r="P2485" s="92"/>
      <c r="Q2485" s="113"/>
      <c r="R2485" s="92"/>
      <c r="S2485" s="92"/>
      <c r="T2485" s="92"/>
      <c r="U2485" s="92"/>
      <c r="V2485" s="113"/>
      <c r="W2485" s="114"/>
      <c r="X2485" s="92"/>
      <c r="Y2485" s="92"/>
      <c r="Z2485" s="92"/>
    </row>
    <row r="2486" spans="1:26" s="5" customFormat="1">
      <c r="A2486" s="92"/>
      <c r="B2486" s="92"/>
      <c r="C2486" s="92"/>
      <c r="D2486" s="92"/>
      <c r="E2486" s="92"/>
      <c r="F2486" s="92"/>
      <c r="G2486" s="92"/>
      <c r="H2486" s="113"/>
      <c r="I2486" s="92"/>
      <c r="J2486" s="92"/>
      <c r="K2486" s="92"/>
      <c r="L2486" s="113"/>
      <c r="M2486" s="92"/>
      <c r="N2486" s="92"/>
      <c r="O2486" s="92"/>
      <c r="P2486" s="92"/>
      <c r="Q2486" s="113"/>
      <c r="R2486" s="92"/>
      <c r="S2486" s="92"/>
      <c r="T2486" s="92"/>
      <c r="U2486" s="92"/>
      <c r="V2486" s="113"/>
      <c r="W2486" s="114"/>
      <c r="X2486" s="92"/>
      <c r="Y2486" s="92"/>
      <c r="Z2486" s="92"/>
    </row>
    <row r="2487" spans="1:26" s="5" customFormat="1">
      <c r="A2487" s="92"/>
      <c r="B2487" s="92"/>
      <c r="C2487" s="92"/>
      <c r="D2487" s="92"/>
      <c r="E2487" s="92"/>
      <c r="F2487" s="92"/>
      <c r="G2487" s="92"/>
      <c r="H2487" s="113"/>
      <c r="I2487" s="92"/>
      <c r="J2487" s="92"/>
      <c r="K2487" s="92"/>
      <c r="L2487" s="113"/>
      <c r="M2487" s="92"/>
      <c r="N2487" s="92"/>
      <c r="O2487" s="92"/>
      <c r="P2487" s="92"/>
      <c r="Q2487" s="113"/>
      <c r="R2487" s="92"/>
      <c r="S2487" s="92"/>
      <c r="T2487" s="92"/>
      <c r="U2487" s="92"/>
      <c r="V2487" s="113"/>
      <c r="W2487" s="114"/>
      <c r="X2487" s="92"/>
      <c r="Y2487" s="92"/>
      <c r="Z2487" s="92"/>
    </row>
    <row r="2488" spans="1:26" s="5" customFormat="1">
      <c r="A2488" s="92"/>
      <c r="B2488" s="92"/>
      <c r="C2488" s="92"/>
      <c r="D2488" s="92"/>
      <c r="E2488" s="92"/>
      <c r="F2488" s="92"/>
      <c r="G2488" s="92"/>
      <c r="H2488" s="113"/>
      <c r="I2488" s="92"/>
      <c r="J2488" s="92"/>
      <c r="K2488" s="92"/>
      <c r="L2488" s="113"/>
      <c r="M2488" s="92"/>
      <c r="N2488" s="92"/>
      <c r="O2488" s="92"/>
      <c r="P2488" s="92"/>
      <c r="Q2488" s="113"/>
      <c r="R2488" s="92"/>
      <c r="S2488" s="92"/>
      <c r="T2488" s="92"/>
      <c r="U2488" s="92"/>
      <c r="V2488" s="113"/>
      <c r="W2488" s="114"/>
      <c r="X2488" s="92"/>
      <c r="Y2488" s="92"/>
      <c r="Z2488" s="92"/>
    </row>
    <row r="2489" spans="1:26" s="5" customFormat="1">
      <c r="A2489" s="92"/>
      <c r="B2489" s="92"/>
      <c r="C2489" s="92"/>
      <c r="D2489" s="92"/>
      <c r="E2489" s="92"/>
      <c r="F2489" s="92"/>
      <c r="G2489" s="92"/>
      <c r="H2489" s="113"/>
      <c r="I2489" s="92"/>
      <c r="J2489" s="92"/>
      <c r="K2489" s="92"/>
      <c r="L2489" s="113"/>
      <c r="M2489" s="92"/>
      <c r="N2489" s="92"/>
      <c r="O2489" s="92"/>
      <c r="P2489" s="92"/>
      <c r="Q2489" s="113"/>
      <c r="R2489" s="92"/>
      <c r="S2489" s="92"/>
      <c r="T2489" s="92"/>
      <c r="U2489" s="92"/>
      <c r="V2489" s="113"/>
      <c r="W2489" s="114"/>
      <c r="X2489" s="92"/>
      <c r="Y2489" s="92"/>
      <c r="Z2489" s="92"/>
    </row>
    <row r="2490" spans="1:26" s="5" customFormat="1">
      <c r="A2490" s="92"/>
      <c r="B2490" s="92"/>
      <c r="C2490" s="92"/>
      <c r="D2490" s="92"/>
      <c r="E2490" s="92"/>
      <c r="F2490" s="92"/>
      <c r="G2490" s="92"/>
      <c r="H2490" s="113"/>
      <c r="I2490" s="92"/>
      <c r="J2490" s="92"/>
      <c r="K2490" s="92"/>
      <c r="L2490" s="113"/>
      <c r="M2490" s="92"/>
      <c r="N2490" s="92"/>
      <c r="O2490" s="92"/>
      <c r="P2490" s="92"/>
      <c r="Q2490" s="113"/>
      <c r="R2490" s="92"/>
      <c r="S2490" s="92"/>
      <c r="T2490" s="92"/>
      <c r="U2490" s="92"/>
      <c r="V2490" s="113"/>
      <c r="W2490" s="114"/>
      <c r="X2490" s="92"/>
      <c r="Y2490" s="92"/>
      <c r="Z2490" s="92"/>
    </row>
    <row r="2491" spans="1:26" s="5" customFormat="1">
      <c r="A2491" s="92"/>
      <c r="B2491" s="92"/>
      <c r="C2491" s="92"/>
      <c r="D2491" s="92"/>
      <c r="E2491" s="92"/>
      <c r="F2491" s="92"/>
      <c r="G2491" s="92"/>
      <c r="H2491" s="113"/>
      <c r="I2491" s="92"/>
      <c r="J2491" s="92"/>
      <c r="K2491" s="92"/>
      <c r="L2491" s="113"/>
      <c r="M2491" s="92"/>
      <c r="N2491" s="92"/>
      <c r="O2491" s="92"/>
      <c r="P2491" s="92"/>
      <c r="Q2491" s="113"/>
      <c r="R2491" s="92"/>
      <c r="S2491" s="92"/>
      <c r="T2491" s="92"/>
      <c r="U2491" s="92"/>
      <c r="V2491" s="113"/>
      <c r="W2491" s="114"/>
      <c r="X2491" s="92"/>
      <c r="Y2491" s="92"/>
      <c r="Z2491" s="92"/>
    </row>
    <row r="2492" spans="1:26" s="5" customFormat="1">
      <c r="A2492" s="92"/>
      <c r="B2492" s="92"/>
      <c r="C2492" s="92"/>
      <c r="D2492" s="92"/>
      <c r="E2492" s="92"/>
      <c r="F2492" s="92"/>
      <c r="G2492" s="92"/>
      <c r="H2492" s="113"/>
      <c r="I2492" s="92"/>
      <c r="J2492" s="92"/>
      <c r="K2492" s="92"/>
      <c r="L2492" s="113"/>
      <c r="M2492" s="92"/>
      <c r="N2492" s="92"/>
      <c r="O2492" s="92"/>
      <c r="P2492" s="92"/>
      <c r="Q2492" s="113"/>
      <c r="R2492" s="92"/>
      <c r="S2492" s="92"/>
      <c r="T2492" s="92"/>
      <c r="U2492" s="92"/>
      <c r="V2492" s="113"/>
      <c r="W2492" s="114"/>
      <c r="X2492" s="92"/>
      <c r="Y2492" s="92"/>
      <c r="Z2492" s="92"/>
    </row>
    <row r="2493" spans="1:26" s="5" customFormat="1">
      <c r="A2493" s="92"/>
      <c r="B2493" s="92"/>
      <c r="C2493" s="92"/>
      <c r="D2493" s="92"/>
      <c r="E2493" s="92"/>
      <c r="F2493" s="92"/>
      <c r="G2493" s="92"/>
      <c r="H2493" s="113"/>
      <c r="I2493" s="92"/>
      <c r="J2493" s="92"/>
      <c r="K2493" s="92"/>
      <c r="L2493" s="113"/>
      <c r="M2493" s="92"/>
      <c r="N2493" s="92"/>
      <c r="O2493" s="92"/>
      <c r="P2493" s="92"/>
      <c r="Q2493" s="113"/>
      <c r="R2493" s="92"/>
      <c r="S2493" s="92"/>
      <c r="T2493" s="92"/>
      <c r="U2493" s="92"/>
      <c r="V2493" s="113"/>
      <c r="W2493" s="114"/>
      <c r="X2493" s="92"/>
      <c r="Y2493" s="92"/>
      <c r="Z2493" s="92"/>
    </row>
    <row r="2494" spans="1:26" s="5" customFormat="1">
      <c r="A2494" s="92"/>
      <c r="B2494" s="92"/>
      <c r="C2494" s="92"/>
      <c r="D2494" s="92"/>
      <c r="E2494" s="92"/>
      <c r="F2494" s="92"/>
      <c r="G2494" s="92"/>
      <c r="H2494" s="113"/>
      <c r="I2494" s="92"/>
      <c r="J2494" s="92"/>
      <c r="K2494" s="92"/>
      <c r="L2494" s="113"/>
      <c r="M2494" s="92"/>
      <c r="N2494" s="92"/>
      <c r="O2494" s="92"/>
      <c r="P2494" s="92"/>
      <c r="Q2494" s="113"/>
      <c r="R2494" s="92"/>
      <c r="S2494" s="92"/>
      <c r="T2494" s="92"/>
      <c r="U2494" s="92"/>
      <c r="V2494" s="113"/>
      <c r="W2494" s="114"/>
      <c r="X2494" s="92"/>
      <c r="Y2494" s="92"/>
      <c r="Z2494" s="92"/>
    </row>
    <row r="2495" spans="1:26" s="5" customFormat="1">
      <c r="A2495" s="92"/>
      <c r="B2495" s="92"/>
      <c r="C2495" s="92"/>
      <c r="D2495" s="92"/>
      <c r="E2495" s="92"/>
      <c r="F2495" s="92"/>
      <c r="G2495" s="92"/>
      <c r="H2495" s="113"/>
      <c r="I2495" s="92"/>
      <c r="J2495" s="92"/>
      <c r="K2495" s="92"/>
      <c r="L2495" s="113"/>
      <c r="M2495" s="92"/>
      <c r="N2495" s="92"/>
      <c r="O2495" s="92"/>
      <c r="P2495" s="92"/>
      <c r="Q2495" s="113"/>
      <c r="R2495" s="92"/>
      <c r="S2495" s="92"/>
      <c r="T2495" s="92"/>
      <c r="U2495" s="92"/>
      <c r="V2495" s="113"/>
      <c r="W2495" s="114"/>
      <c r="X2495" s="92"/>
      <c r="Y2495" s="92"/>
      <c r="Z2495" s="92"/>
    </row>
    <row r="2496" spans="1:26" s="5" customFormat="1">
      <c r="A2496" s="92"/>
      <c r="B2496" s="92"/>
      <c r="C2496" s="92"/>
      <c r="D2496" s="92"/>
      <c r="E2496" s="92"/>
      <c r="F2496" s="92"/>
      <c r="G2496" s="92"/>
      <c r="H2496" s="113"/>
      <c r="I2496" s="92"/>
      <c r="J2496" s="92"/>
      <c r="K2496" s="92"/>
      <c r="L2496" s="113"/>
      <c r="M2496" s="92"/>
      <c r="N2496" s="92"/>
      <c r="O2496" s="92"/>
      <c r="P2496" s="92"/>
      <c r="Q2496" s="113"/>
      <c r="R2496" s="92"/>
      <c r="S2496" s="92"/>
      <c r="T2496" s="92"/>
      <c r="U2496" s="92"/>
      <c r="V2496" s="113"/>
      <c r="W2496" s="114"/>
      <c r="X2496" s="92"/>
      <c r="Y2496" s="92"/>
      <c r="Z2496" s="92"/>
    </row>
    <row r="2497" spans="1:26" s="5" customFormat="1">
      <c r="A2497" s="92"/>
      <c r="B2497" s="92"/>
      <c r="C2497" s="92"/>
      <c r="D2497" s="92"/>
      <c r="E2497" s="92"/>
      <c r="F2497" s="92"/>
      <c r="G2497" s="92"/>
      <c r="H2497" s="113"/>
      <c r="I2497" s="92"/>
      <c r="J2497" s="92"/>
      <c r="K2497" s="92"/>
      <c r="L2497" s="113"/>
      <c r="M2497" s="92"/>
      <c r="N2497" s="92"/>
      <c r="O2497" s="92"/>
      <c r="P2497" s="92"/>
      <c r="Q2497" s="113"/>
      <c r="R2497" s="92"/>
      <c r="S2497" s="92"/>
      <c r="T2497" s="92"/>
      <c r="U2497" s="92"/>
      <c r="V2497" s="113"/>
      <c r="W2497" s="114"/>
      <c r="X2497" s="92"/>
      <c r="Y2497" s="92"/>
      <c r="Z2497" s="92"/>
    </row>
    <row r="2498" spans="1:26" s="5" customFormat="1">
      <c r="A2498" s="92"/>
      <c r="B2498" s="92"/>
      <c r="C2498" s="92"/>
      <c r="D2498" s="92"/>
      <c r="E2498" s="92"/>
      <c r="F2498" s="92"/>
      <c r="G2498" s="92"/>
      <c r="H2498" s="113"/>
      <c r="I2498" s="92"/>
      <c r="J2498" s="92"/>
      <c r="K2498" s="92"/>
      <c r="L2498" s="113"/>
      <c r="M2498" s="92"/>
      <c r="N2498" s="92"/>
      <c r="O2498" s="92"/>
      <c r="P2498" s="92"/>
      <c r="Q2498" s="113"/>
      <c r="R2498" s="92"/>
      <c r="S2498" s="92"/>
      <c r="T2498" s="92"/>
      <c r="U2498" s="92"/>
      <c r="V2498" s="113"/>
      <c r="W2498" s="114"/>
      <c r="X2498" s="92"/>
      <c r="Y2498" s="92"/>
      <c r="Z2498" s="92"/>
    </row>
    <row r="2499" spans="1:26" s="5" customFormat="1">
      <c r="A2499" s="92"/>
      <c r="B2499" s="92"/>
      <c r="C2499" s="92"/>
      <c r="D2499" s="92"/>
      <c r="E2499" s="92"/>
      <c r="F2499" s="92"/>
      <c r="G2499" s="92"/>
      <c r="H2499" s="113"/>
      <c r="I2499" s="92"/>
      <c r="J2499" s="92"/>
      <c r="K2499" s="92"/>
      <c r="L2499" s="113"/>
      <c r="M2499" s="92"/>
      <c r="N2499" s="92"/>
      <c r="O2499" s="92"/>
      <c r="P2499" s="92"/>
      <c r="Q2499" s="113"/>
      <c r="R2499" s="92"/>
      <c r="S2499" s="92"/>
      <c r="T2499" s="92"/>
      <c r="U2499" s="92"/>
      <c r="V2499" s="113"/>
      <c r="W2499" s="114"/>
      <c r="X2499" s="92"/>
      <c r="Y2499" s="92"/>
      <c r="Z2499" s="92"/>
    </row>
    <row r="2500" spans="1:26" s="5" customFormat="1">
      <c r="A2500" s="92"/>
      <c r="B2500" s="92"/>
      <c r="C2500" s="92"/>
      <c r="D2500" s="92"/>
      <c r="E2500" s="92"/>
      <c r="F2500" s="92"/>
      <c r="G2500" s="92"/>
      <c r="H2500" s="113"/>
      <c r="I2500" s="92"/>
      <c r="J2500" s="92"/>
      <c r="K2500" s="92"/>
      <c r="L2500" s="113"/>
      <c r="M2500" s="92"/>
      <c r="N2500" s="92"/>
      <c r="O2500" s="92"/>
      <c r="P2500" s="92"/>
      <c r="Q2500" s="113"/>
      <c r="R2500" s="92"/>
      <c r="S2500" s="92"/>
      <c r="T2500" s="92"/>
      <c r="U2500" s="92"/>
      <c r="V2500" s="113"/>
      <c r="W2500" s="114"/>
      <c r="X2500" s="92"/>
      <c r="Y2500" s="92"/>
      <c r="Z2500" s="92"/>
    </row>
    <row r="2501" spans="1:26" s="5" customFormat="1">
      <c r="A2501" s="92"/>
      <c r="B2501" s="92"/>
      <c r="C2501" s="92"/>
      <c r="D2501" s="92"/>
      <c r="E2501" s="92"/>
      <c r="F2501" s="92"/>
      <c r="G2501" s="92"/>
      <c r="H2501" s="113"/>
      <c r="I2501" s="92"/>
      <c r="J2501" s="92"/>
      <c r="K2501" s="92"/>
      <c r="L2501" s="113"/>
      <c r="M2501" s="92"/>
      <c r="N2501" s="92"/>
      <c r="O2501" s="92"/>
      <c r="P2501" s="92"/>
      <c r="Q2501" s="113"/>
      <c r="R2501" s="92"/>
      <c r="S2501" s="92"/>
      <c r="T2501" s="92"/>
      <c r="U2501" s="92"/>
      <c r="V2501" s="113"/>
      <c r="W2501" s="114"/>
      <c r="X2501" s="92"/>
      <c r="Y2501" s="92"/>
      <c r="Z2501" s="92"/>
    </row>
    <row r="2502" spans="1:26" s="5" customFormat="1">
      <c r="A2502" s="92"/>
      <c r="B2502" s="92"/>
      <c r="C2502" s="92"/>
      <c r="D2502" s="92"/>
      <c r="E2502" s="92"/>
      <c r="F2502" s="92"/>
      <c r="G2502" s="92"/>
      <c r="H2502" s="113"/>
      <c r="I2502" s="92"/>
      <c r="J2502" s="92"/>
      <c r="K2502" s="92"/>
      <c r="L2502" s="113"/>
      <c r="M2502" s="92"/>
      <c r="N2502" s="92"/>
      <c r="O2502" s="92"/>
      <c r="P2502" s="92"/>
      <c r="Q2502" s="113"/>
      <c r="R2502" s="92"/>
      <c r="S2502" s="92"/>
      <c r="T2502" s="92"/>
      <c r="U2502" s="92"/>
      <c r="V2502" s="113"/>
      <c r="W2502" s="114"/>
      <c r="X2502" s="92"/>
      <c r="Y2502" s="92"/>
      <c r="Z2502" s="92"/>
    </row>
    <row r="2503" spans="1:26" s="5" customFormat="1">
      <c r="A2503" s="92"/>
      <c r="B2503" s="92"/>
      <c r="C2503" s="92"/>
      <c r="D2503" s="92"/>
      <c r="E2503" s="92"/>
      <c r="F2503" s="92"/>
      <c r="G2503" s="92"/>
      <c r="H2503" s="113"/>
      <c r="I2503" s="92"/>
      <c r="J2503" s="92"/>
      <c r="K2503" s="92"/>
      <c r="L2503" s="113"/>
      <c r="M2503" s="92"/>
      <c r="N2503" s="92"/>
      <c r="O2503" s="92"/>
      <c r="P2503" s="92"/>
      <c r="Q2503" s="113"/>
      <c r="R2503" s="92"/>
      <c r="S2503" s="92"/>
      <c r="T2503" s="92"/>
      <c r="U2503" s="92"/>
      <c r="V2503" s="113"/>
      <c r="W2503" s="114"/>
      <c r="X2503" s="92"/>
      <c r="Y2503" s="92"/>
      <c r="Z2503" s="92"/>
    </row>
    <row r="2504" spans="1:26" s="5" customFormat="1">
      <c r="A2504" s="92"/>
      <c r="B2504" s="92"/>
      <c r="C2504" s="92"/>
      <c r="D2504" s="92"/>
      <c r="E2504" s="92"/>
      <c r="F2504" s="92"/>
      <c r="G2504" s="92"/>
      <c r="H2504" s="113"/>
      <c r="I2504" s="92"/>
      <c r="J2504" s="92"/>
      <c r="K2504" s="92"/>
      <c r="L2504" s="113"/>
      <c r="M2504" s="92"/>
      <c r="N2504" s="92"/>
      <c r="O2504" s="92"/>
      <c r="P2504" s="92"/>
      <c r="Q2504" s="113"/>
      <c r="R2504" s="92"/>
      <c r="S2504" s="92"/>
      <c r="T2504" s="92"/>
      <c r="U2504" s="92"/>
      <c r="V2504" s="113"/>
      <c r="W2504" s="114"/>
      <c r="X2504" s="92"/>
      <c r="Y2504" s="92"/>
      <c r="Z2504" s="92"/>
    </row>
    <row r="2505" spans="1:26" s="5" customFormat="1">
      <c r="A2505" s="92"/>
      <c r="B2505" s="92"/>
      <c r="C2505" s="92"/>
      <c r="D2505" s="92"/>
      <c r="E2505" s="92"/>
      <c r="F2505" s="92"/>
      <c r="G2505" s="92"/>
      <c r="H2505" s="113"/>
      <c r="I2505" s="92"/>
      <c r="J2505" s="92"/>
      <c r="K2505" s="92"/>
      <c r="L2505" s="113"/>
      <c r="M2505" s="92"/>
      <c r="N2505" s="92"/>
      <c r="O2505" s="92"/>
      <c r="P2505" s="92"/>
      <c r="Q2505" s="113"/>
      <c r="R2505" s="92"/>
      <c r="S2505" s="92"/>
      <c r="T2505" s="92"/>
      <c r="U2505" s="92"/>
      <c r="V2505" s="113"/>
      <c r="W2505" s="114"/>
      <c r="X2505" s="92"/>
      <c r="Y2505" s="92"/>
      <c r="Z2505" s="92"/>
    </row>
    <row r="2506" spans="1:26" s="5" customFormat="1">
      <c r="A2506" s="92"/>
      <c r="B2506" s="92"/>
      <c r="C2506" s="92"/>
      <c r="D2506" s="92"/>
      <c r="E2506" s="92"/>
      <c r="F2506" s="92"/>
      <c r="G2506" s="92"/>
      <c r="H2506" s="113"/>
      <c r="I2506" s="92"/>
      <c r="J2506" s="92"/>
      <c r="K2506" s="92"/>
      <c r="L2506" s="113"/>
      <c r="M2506" s="92"/>
      <c r="N2506" s="92"/>
      <c r="O2506" s="92"/>
      <c r="P2506" s="92"/>
      <c r="Q2506" s="113"/>
      <c r="R2506" s="92"/>
      <c r="S2506" s="92"/>
      <c r="T2506" s="92"/>
      <c r="U2506" s="92"/>
      <c r="V2506" s="113"/>
      <c r="W2506" s="114"/>
      <c r="X2506" s="92"/>
      <c r="Y2506" s="92"/>
      <c r="Z2506" s="92"/>
    </row>
    <row r="2507" spans="1:26" s="5" customFormat="1">
      <c r="A2507" s="92"/>
      <c r="B2507" s="92"/>
      <c r="C2507" s="92"/>
      <c r="D2507" s="92"/>
      <c r="E2507" s="92"/>
      <c r="F2507" s="92"/>
      <c r="G2507" s="92"/>
      <c r="H2507" s="113"/>
      <c r="I2507" s="92"/>
      <c r="J2507" s="92"/>
      <c r="K2507" s="92"/>
      <c r="L2507" s="113"/>
      <c r="M2507" s="92"/>
      <c r="N2507" s="92"/>
      <c r="O2507" s="92"/>
      <c r="P2507" s="92"/>
      <c r="Q2507" s="113"/>
      <c r="R2507" s="92"/>
      <c r="S2507" s="92"/>
      <c r="T2507" s="92"/>
      <c r="U2507" s="92"/>
      <c r="V2507" s="113"/>
      <c r="W2507" s="114"/>
      <c r="X2507" s="92"/>
      <c r="Y2507" s="92"/>
      <c r="Z2507" s="92"/>
    </row>
    <row r="2508" spans="1:26" s="5" customFormat="1">
      <c r="A2508" s="92"/>
      <c r="B2508" s="92"/>
      <c r="C2508" s="92"/>
      <c r="D2508" s="92"/>
      <c r="E2508" s="92"/>
      <c r="F2508" s="92"/>
      <c r="G2508" s="92"/>
      <c r="H2508" s="113"/>
      <c r="I2508" s="92"/>
      <c r="J2508" s="92"/>
      <c r="K2508" s="92"/>
      <c r="L2508" s="113"/>
      <c r="M2508" s="92"/>
      <c r="N2508" s="92"/>
      <c r="O2508" s="92"/>
      <c r="P2508" s="92"/>
      <c r="Q2508" s="113"/>
      <c r="R2508" s="92"/>
      <c r="S2508" s="92"/>
      <c r="T2508" s="92"/>
      <c r="U2508" s="92"/>
      <c r="V2508" s="113"/>
      <c r="W2508" s="114"/>
      <c r="X2508" s="92"/>
      <c r="Y2508" s="92"/>
      <c r="Z2508" s="92"/>
    </row>
    <row r="2509" spans="1:26" s="5" customFormat="1">
      <c r="A2509" s="92"/>
      <c r="B2509" s="92"/>
      <c r="C2509" s="92"/>
      <c r="D2509" s="92"/>
      <c r="E2509" s="92"/>
      <c r="F2509" s="92"/>
      <c r="G2509" s="92"/>
      <c r="H2509" s="113"/>
      <c r="I2509" s="92"/>
      <c r="J2509" s="92"/>
      <c r="K2509" s="92"/>
      <c r="L2509" s="113"/>
      <c r="M2509" s="92"/>
      <c r="N2509" s="92"/>
      <c r="O2509" s="92"/>
      <c r="P2509" s="92"/>
      <c r="Q2509" s="113"/>
      <c r="R2509" s="92"/>
      <c r="S2509" s="92"/>
      <c r="T2509" s="92"/>
      <c r="U2509" s="92"/>
      <c r="V2509" s="113"/>
      <c r="W2509" s="114"/>
      <c r="X2509" s="92"/>
      <c r="Y2509" s="92"/>
      <c r="Z2509" s="92"/>
    </row>
    <row r="2510" spans="1:26" s="5" customFormat="1">
      <c r="A2510" s="92"/>
      <c r="B2510" s="92"/>
      <c r="C2510" s="92"/>
      <c r="D2510" s="92"/>
      <c r="E2510" s="92"/>
      <c r="F2510" s="92"/>
      <c r="G2510" s="92"/>
      <c r="H2510" s="113"/>
      <c r="I2510" s="92"/>
      <c r="J2510" s="92"/>
      <c r="K2510" s="92"/>
      <c r="L2510" s="113"/>
      <c r="M2510" s="92"/>
      <c r="N2510" s="92"/>
      <c r="O2510" s="92"/>
      <c r="P2510" s="92"/>
      <c r="Q2510" s="113"/>
      <c r="R2510" s="92"/>
      <c r="S2510" s="92"/>
      <c r="T2510" s="92"/>
      <c r="U2510" s="92"/>
      <c r="V2510" s="113"/>
      <c r="W2510" s="114"/>
      <c r="X2510" s="92"/>
      <c r="Y2510" s="92"/>
      <c r="Z2510" s="92"/>
    </row>
    <row r="2511" spans="1:26" s="5" customFormat="1">
      <c r="A2511" s="92"/>
      <c r="B2511" s="92"/>
      <c r="C2511" s="92"/>
      <c r="D2511" s="92"/>
      <c r="E2511" s="92"/>
      <c r="F2511" s="92"/>
      <c r="G2511" s="92"/>
      <c r="H2511" s="113"/>
      <c r="I2511" s="92"/>
      <c r="J2511" s="92"/>
      <c r="K2511" s="92"/>
      <c r="L2511" s="113"/>
      <c r="M2511" s="92"/>
      <c r="N2511" s="92"/>
      <c r="O2511" s="92"/>
      <c r="P2511" s="92"/>
      <c r="Q2511" s="113"/>
      <c r="R2511" s="92"/>
      <c r="S2511" s="92"/>
      <c r="T2511" s="92"/>
      <c r="U2511" s="92"/>
      <c r="V2511" s="113"/>
      <c r="W2511" s="114"/>
      <c r="X2511" s="92"/>
      <c r="Y2511" s="92"/>
      <c r="Z2511" s="92"/>
    </row>
    <row r="2512" spans="1:26" s="5" customFormat="1">
      <c r="A2512" s="92"/>
      <c r="B2512" s="92"/>
      <c r="C2512" s="92"/>
      <c r="D2512" s="92"/>
      <c r="E2512" s="92"/>
      <c r="F2512" s="92"/>
      <c r="G2512" s="92"/>
      <c r="H2512" s="113"/>
      <c r="I2512" s="92"/>
      <c r="J2512" s="92"/>
      <c r="K2512" s="92"/>
      <c r="L2512" s="113"/>
      <c r="M2512" s="92"/>
      <c r="N2512" s="92"/>
      <c r="O2512" s="92"/>
      <c r="P2512" s="92"/>
      <c r="Q2512" s="113"/>
      <c r="R2512" s="92"/>
      <c r="S2512" s="92"/>
      <c r="T2512" s="92"/>
      <c r="U2512" s="92"/>
      <c r="V2512" s="113"/>
      <c r="W2512" s="114"/>
      <c r="X2512" s="92"/>
      <c r="Y2512" s="92"/>
      <c r="Z2512" s="92"/>
    </row>
    <row r="2513" spans="1:26" s="5" customFormat="1">
      <c r="A2513" s="92"/>
      <c r="B2513" s="92"/>
      <c r="C2513" s="92"/>
      <c r="D2513" s="92"/>
      <c r="E2513" s="92"/>
      <c r="F2513" s="92"/>
      <c r="G2513" s="92"/>
      <c r="H2513" s="113"/>
      <c r="I2513" s="92"/>
      <c r="J2513" s="92"/>
      <c r="K2513" s="92"/>
      <c r="L2513" s="113"/>
      <c r="M2513" s="92"/>
      <c r="N2513" s="92"/>
      <c r="O2513" s="92"/>
      <c r="P2513" s="92"/>
      <c r="Q2513" s="113"/>
      <c r="R2513" s="92"/>
      <c r="S2513" s="92"/>
      <c r="T2513" s="92"/>
      <c r="U2513" s="92"/>
      <c r="V2513" s="113"/>
      <c r="W2513" s="114"/>
      <c r="X2513" s="92"/>
      <c r="Y2513" s="92"/>
      <c r="Z2513" s="92"/>
    </row>
    <row r="2514" spans="1:26" s="5" customFormat="1">
      <c r="A2514" s="92"/>
      <c r="B2514" s="92"/>
      <c r="C2514" s="92"/>
      <c r="D2514" s="92"/>
      <c r="E2514" s="92"/>
      <c r="F2514" s="92"/>
      <c r="G2514" s="92"/>
      <c r="H2514" s="113"/>
      <c r="I2514" s="92"/>
      <c r="J2514" s="92"/>
      <c r="K2514" s="92"/>
      <c r="L2514" s="113"/>
      <c r="M2514" s="92"/>
      <c r="N2514" s="92"/>
      <c r="O2514" s="92"/>
      <c r="P2514" s="92"/>
      <c r="Q2514" s="113"/>
      <c r="R2514" s="92"/>
      <c r="S2514" s="92"/>
      <c r="T2514" s="92"/>
      <c r="U2514" s="92"/>
      <c r="V2514" s="113"/>
      <c r="W2514" s="114"/>
      <c r="X2514" s="92"/>
      <c r="Y2514" s="92"/>
      <c r="Z2514" s="92"/>
    </row>
    <row r="2515" spans="1:26" s="5" customFormat="1">
      <c r="A2515" s="92"/>
      <c r="B2515" s="92"/>
      <c r="C2515" s="92"/>
      <c r="D2515" s="92"/>
      <c r="E2515" s="92"/>
      <c r="F2515" s="92"/>
      <c r="G2515" s="92"/>
      <c r="H2515" s="113"/>
      <c r="I2515" s="92"/>
      <c r="J2515" s="92"/>
      <c r="K2515" s="92"/>
      <c r="L2515" s="113"/>
      <c r="M2515" s="92"/>
      <c r="N2515" s="92"/>
      <c r="O2515" s="92"/>
      <c r="P2515" s="92"/>
      <c r="Q2515" s="113"/>
      <c r="R2515" s="92"/>
      <c r="S2515" s="92"/>
      <c r="T2515" s="92"/>
      <c r="U2515" s="92"/>
      <c r="V2515" s="113"/>
      <c r="W2515" s="114"/>
      <c r="X2515" s="92"/>
      <c r="Y2515" s="92"/>
      <c r="Z2515" s="92"/>
    </row>
    <row r="2516" spans="1:26" s="5" customFormat="1">
      <c r="A2516" s="92"/>
      <c r="B2516" s="92"/>
      <c r="C2516" s="92"/>
      <c r="D2516" s="92"/>
      <c r="E2516" s="92"/>
      <c r="F2516" s="92"/>
      <c r="G2516" s="92"/>
      <c r="H2516" s="113"/>
      <c r="I2516" s="92"/>
      <c r="J2516" s="92"/>
      <c r="K2516" s="92"/>
      <c r="L2516" s="113"/>
      <c r="M2516" s="92"/>
      <c r="N2516" s="92"/>
      <c r="O2516" s="92"/>
      <c r="P2516" s="92"/>
      <c r="Q2516" s="113"/>
      <c r="R2516" s="92"/>
      <c r="S2516" s="92"/>
      <c r="T2516" s="92"/>
      <c r="U2516" s="92"/>
      <c r="V2516" s="113"/>
      <c r="W2516" s="114"/>
      <c r="X2516" s="92"/>
      <c r="Y2516" s="92"/>
      <c r="Z2516" s="92"/>
    </row>
    <row r="2517" spans="1:26" s="5" customFormat="1">
      <c r="A2517" s="92"/>
      <c r="B2517" s="92"/>
      <c r="C2517" s="92"/>
      <c r="D2517" s="92"/>
      <c r="E2517" s="92"/>
      <c r="F2517" s="92"/>
      <c r="G2517" s="92"/>
      <c r="H2517" s="113"/>
      <c r="I2517" s="92"/>
      <c r="J2517" s="92"/>
      <c r="K2517" s="92"/>
      <c r="L2517" s="113"/>
      <c r="M2517" s="92"/>
      <c r="N2517" s="92"/>
      <c r="O2517" s="92"/>
      <c r="P2517" s="92"/>
      <c r="Q2517" s="113"/>
      <c r="R2517" s="92"/>
      <c r="S2517" s="92"/>
      <c r="T2517" s="92"/>
      <c r="U2517" s="92"/>
      <c r="V2517" s="113"/>
      <c r="W2517" s="114"/>
      <c r="X2517" s="92"/>
      <c r="Y2517" s="92"/>
      <c r="Z2517" s="92"/>
    </row>
    <row r="2518" spans="1:26" s="5" customFormat="1">
      <c r="A2518" s="92"/>
      <c r="B2518" s="92"/>
      <c r="C2518" s="92"/>
      <c r="D2518" s="92"/>
      <c r="E2518" s="92"/>
      <c r="F2518" s="92"/>
      <c r="G2518" s="92"/>
      <c r="H2518" s="113"/>
      <c r="I2518" s="92"/>
      <c r="J2518" s="92"/>
      <c r="K2518" s="92"/>
      <c r="L2518" s="113"/>
      <c r="M2518" s="92"/>
      <c r="N2518" s="92"/>
      <c r="O2518" s="92"/>
      <c r="P2518" s="92"/>
      <c r="Q2518" s="113"/>
      <c r="R2518" s="92"/>
      <c r="S2518" s="92"/>
      <c r="T2518" s="92"/>
      <c r="U2518" s="92"/>
      <c r="V2518" s="113"/>
      <c r="W2518" s="114"/>
      <c r="X2518" s="92"/>
      <c r="Y2518" s="92"/>
      <c r="Z2518" s="92"/>
    </row>
    <row r="2519" spans="1:26" s="5" customFormat="1">
      <c r="A2519" s="92"/>
      <c r="B2519" s="92"/>
      <c r="C2519" s="92"/>
      <c r="D2519" s="92"/>
      <c r="E2519" s="92"/>
      <c r="F2519" s="92"/>
      <c r="G2519" s="92"/>
      <c r="H2519" s="113"/>
      <c r="I2519" s="92"/>
      <c r="J2519" s="92"/>
      <c r="K2519" s="92"/>
      <c r="L2519" s="113"/>
      <c r="M2519" s="92"/>
      <c r="N2519" s="92"/>
      <c r="O2519" s="92"/>
      <c r="P2519" s="92"/>
      <c r="Q2519" s="113"/>
      <c r="R2519" s="92"/>
      <c r="S2519" s="92"/>
      <c r="T2519" s="92"/>
      <c r="U2519" s="92"/>
      <c r="V2519" s="113"/>
      <c r="W2519" s="114"/>
      <c r="X2519" s="92"/>
      <c r="Y2519" s="92"/>
      <c r="Z2519" s="92"/>
    </row>
    <row r="2520" spans="1:26" s="5" customFormat="1">
      <c r="A2520" s="92"/>
      <c r="B2520" s="92"/>
      <c r="C2520" s="92"/>
      <c r="D2520" s="92"/>
      <c r="E2520" s="92"/>
      <c r="F2520" s="92"/>
      <c r="G2520" s="92"/>
      <c r="H2520" s="113"/>
      <c r="I2520" s="92"/>
      <c r="J2520" s="92"/>
      <c r="K2520" s="92"/>
      <c r="L2520" s="113"/>
      <c r="M2520" s="92"/>
      <c r="N2520" s="92"/>
      <c r="O2520" s="92"/>
      <c r="P2520" s="92"/>
      <c r="Q2520" s="113"/>
      <c r="R2520" s="92"/>
      <c r="S2520" s="92"/>
      <c r="T2520" s="92"/>
      <c r="U2520" s="92"/>
      <c r="V2520" s="113"/>
      <c r="W2520" s="114"/>
      <c r="X2520" s="92"/>
      <c r="Y2520" s="92"/>
      <c r="Z2520" s="92"/>
    </row>
    <row r="2521" spans="1:26" s="5" customFormat="1">
      <c r="A2521" s="92"/>
      <c r="B2521" s="92"/>
      <c r="C2521" s="92"/>
      <c r="D2521" s="92"/>
      <c r="E2521" s="92"/>
      <c r="F2521" s="92"/>
      <c r="G2521" s="92"/>
      <c r="H2521" s="113"/>
      <c r="I2521" s="92"/>
      <c r="J2521" s="92"/>
      <c r="K2521" s="92"/>
      <c r="L2521" s="113"/>
      <c r="M2521" s="92"/>
      <c r="N2521" s="92"/>
      <c r="O2521" s="92"/>
      <c r="P2521" s="92"/>
      <c r="Q2521" s="113"/>
      <c r="R2521" s="92"/>
      <c r="S2521" s="92"/>
      <c r="T2521" s="92"/>
      <c r="U2521" s="92"/>
      <c r="V2521" s="113"/>
      <c r="W2521" s="114"/>
      <c r="X2521" s="92"/>
      <c r="Y2521" s="92"/>
      <c r="Z2521" s="92"/>
    </row>
    <row r="2522" spans="1:26" s="5" customFormat="1">
      <c r="A2522" s="92"/>
      <c r="B2522" s="92"/>
      <c r="C2522" s="92"/>
      <c r="D2522" s="92"/>
      <c r="E2522" s="92"/>
      <c r="F2522" s="92"/>
      <c r="G2522" s="92"/>
      <c r="H2522" s="113"/>
      <c r="I2522" s="92"/>
      <c r="J2522" s="92"/>
      <c r="K2522" s="92"/>
      <c r="L2522" s="113"/>
      <c r="M2522" s="92"/>
      <c r="N2522" s="92"/>
      <c r="O2522" s="92"/>
      <c r="P2522" s="92"/>
      <c r="Q2522" s="113"/>
      <c r="R2522" s="92"/>
      <c r="S2522" s="92"/>
      <c r="T2522" s="92"/>
      <c r="U2522" s="92"/>
      <c r="V2522" s="113"/>
      <c r="W2522" s="114"/>
      <c r="X2522" s="92"/>
      <c r="Y2522" s="92"/>
      <c r="Z2522" s="92"/>
    </row>
    <row r="2523" spans="1:26" s="5" customFormat="1">
      <c r="A2523" s="92"/>
      <c r="B2523" s="92"/>
      <c r="C2523" s="92"/>
      <c r="D2523" s="92"/>
      <c r="E2523" s="92"/>
      <c r="F2523" s="92"/>
      <c r="G2523" s="92"/>
      <c r="H2523" s="113"/>
      <c r="I2523" s="92"/>
      <c r="J2523" s="92"/>
      <c r="K2523" s="92"/>
      <c r="L2523" s="113"/>
      <c r="M2523" s="92"/>
      <c r="N2523" s="92"/>
      <c r="O2523" s="92"/>
      <c r="P2523" s="92"/>
      <c r="Q2523" s="113"/>
      <c r="R2523" s="92"/>
      <c r="S2523" s="92"/>
      <c r="T2523" s="92"/>
      <c r="U2523" s="92"/>
      <c r="V2523" s="113"/>
      <c r="W2523" s="114"/>
      <c r="X2523" s="92"/>
      <c r="Y2523" s="92"/>
      <c r="Z2523" s="92"/>
    </row>
    <row r="2524" spans="1:26" s="5" customFormat="1">
      <c r="A2524" s="92"/>
      <c r="B2524" s="92"/>
      <c r="C2524" s="92"/>
      <c r="D2524" s="92"/>
      <c r="E2524" s="92"/>
      <c r="F2524" s="92"/>
      <c r="G2524" s="92"/>
      <c r="H2524" s="113"/>
      <c r="I2524" s="92"/>
      <c r="J2524" s="92"/>
      <c r="K2524" s="92"/>
      <c r="L2524" s="113"/>
      <c r="M2524" s="92"/>
      <c r="N2524" s="92"/>
      <c r="O2524" s="92"/>
      <c r="P2524" s="92"/>
      <c r="Q2524" s="113"/>
      <c r="R2524" s="92"/>
      <c r="S2524" s="92"/>
      <c r="T2524" s="92"/>
      <c r="U2524" s="92"/>
      <c r="V2524" s="113"/>
      <c r="W2524" s="114"/>
      <c r="X2524" s="92"/>
      <c r="Y2524" s="92"/>
      <c r="Z2524" s="92"/>
    </row>
    <row r="2525" spans="1:26" s="5" customFormat="1">
      <c r="A2525" s="92"/>
      <c r="B2525" s="92"/>
      <c r="C2525" s="92"/>
      <c r="D2525" s="92"/>
      <c r="E2525" s="92"/>
      <c r="F2525" s="92"/>
      <c r="G2525" s="92"/>
      <c r="H2525" s="113"/>
      <c r="I2525" s="92"/>
      <c r="J2525" s="92"/>
      <c r="K2525" s="92"/>
      <c r="L2525" s="113"/>
      <c r="M2525" s="92"/>
      <c r="N2525" s="92"/>
      <c r="O2525" s="92"/>
      <c r="P2525" s="92"/>
      <c r="Q2525" s="113"/>
      <c r="R2525" s="92"/>
      <c r="S2525" s="92"/>
      <c r="T2525" s="92"/>
      <c r="U2525" s="92"/>
      <c r="V2525" s="113"/>
      <c r="W2525" s="114"/>
      <c r="X2525" s="92"/>
      <c r="Y2525" s="92"/>
      <c r="Z2525" s="92"/>
    </row>
    <row r="2526" spans="1:26" s="5" customFormat="1">
      <c r="A2526" s="92"/>
      <c r="B2526" s="92"/>
      <c r="C2526" s="92"/>
      <c r="D2526" s="92"/>
      <c r="E2526" s="92"/>
      <c r="F2526" s="92"/>
      <c r="G2526" s="92"/>
      <c r="H2526" s="113"/>
      <c r="I2526" s="92"/>
      <c r="J2526" s="92"/>
      <c r="K2526" s="92"/>
      <c r="L2526" s="113"/>
      <c r="M2526" s="92"/>
      <c r="N2526" s="92"/>
      <c r="O2526" s="92"/>
      <c r="P2526" s="92"/>
      <c r="Q2526" s="113"/>
      <c r="R2526" s="92"/>
      <c r="S2526" s="92"/>
      <c r="T2526" s="92"/>
      <c r="U2526" s="92"/>
      <c r="V2526" s="113"/>
      <c r="W2526" s="114"/>
      <c r="X2526" s="92"/>
      <c r="Y2526" s="92"/>
      <c r="Z2526" s="92"/>
    </row>
    <row r="2527" spans="1:26" s="5" customFormat="1">
      <c r="A2527" s="92"/>
      <c r="B2527" s="92"/>
      <c r="C2527" s="92"/>
      <c r="D2527" s="92"/>
      <c r="E2527" s="92"/>
      <c r="F2527" s="92"/>
      <c r="G2527" s="92"/>
      <c r="H2527" s="113"/>
      <c r="I2527" s="92"/>
      <c r="J2527" s="92"/>
      <c r="K2527" s="92"/>
      <c r="L2527" s="113"/>
      <c r="M2527" s="92"/>
      <c r="N2527" s="92"/>
      <c r="O2527" s="92"/>
      <c r="P2527" s="92"/>
      <c r="Q2527" s="113"/>
      <c r="R2527" s="92"/>
      <c r="S2527" s="92"/>
      <c r="T2527" s="92"/>
      <c r="U2527" s="92"/>
      <c r="V2527" s="113"/>
      <c r="W2527" s="114"/>
      <c r="X2527" s="92"/>
      <c r="Y2527" s="92"/>
      <c r="Z2527" s="92"/>
    </row>
    <row r="2528" spans="1:26" s="5" customFormat="1">
      <c r="A2528" s="92"/>
      <c r="B2528" s="92"/>
      <c r="C2528" s="92"/>
      <c r="D2528" s="92"/>
      <c r="E2528" s="92"/>
      <c r="F2528" s="92"/>
      <c r="G2528" s="92"/>
      <c r="H2528" s="113"/>
      <c r="I2528" s="92"/>
      <c r="J2528" s="92"/>
      <c r="K2528" s="92"/>
      <c r="L2528" s="113"/>
      <c r="M2528" s="92"/>
      <c r="N2528" s="92"/>
      <c r="O2528" s="92"/>
      <c r="P2528" s="92"/>
      <c r="Q2528" s="113"/>
      <c r="R2528" s="92"/>
      <c r="S2528" s="92"/>
      <c r="T2528" s="92"/>
      <c r="U2528" s="92"/>
      <c r="V2528" s="113"/>
      <c r="W2528" s="114"/>
      <c r="X2528" s="92"/>
      <c r="Y2528" s="92"/>
      <c r="Z2528" s="92"/>
    </row>
    <row r="2529" spans="1:26" s="5" customFormat="1">
      <c r="A2529" s="92"/>
      <c r="B2529" s="92"/>
      <c r="C2529" s="92"/>
      <c r="D2529" s="92"/>
      <c r="E2529" s="92"/>
      <c r="F2529" s="92"/>
      <c r="G2529" s="92"/>
      <c r="H2529" s="113"/>
      <c r="I2529" s="92"/>
      <c r="J2529" s="92"/>
      <c r="K2529" s="92"/>
      <c r="L2529" s="113"/>
      <c r="M2529" s="92"/>
      <c r="N2529" s="92"/>
      <c r="O2529" s="92"/>
      <c r="P2529" s="92"/>
      <c r="Q2529" s="113"/>
      <c r="R2529" s="92"/>
      <c r="S2529" s="92"/>
      <c r="T2529" s="92"/>
      <c r="U2529" s="92"/>
      <c r="V2529" s="113"/>
      <c r="W2529" s="114"/>
      <c r="X2529" s="92"/>
      <c r="Y2529" s="92"/>
      <c r="Z2529" s="92"/>
    </row>
    <row r="2530" spans="1:26" s="5" customFormat="1">
      <c r="A2530" s="92"/>
      <c r="B2530" s="92"/>
      <c r="C2530" s="92"/>
      <c r="D2530" s="92"/>
      <c r="E2530" s="92"/>
      <c r="F2530" s="92"/>
      <c r="G2530" s="92"/>
      <c r="H2530" s="113"/>
      <c r="I2530" s="92"/>
      <c r="J2530" s="92"/>
      <c r="K2530" s="92"/>
      <c r="L2530" s="113"/>
      <c r="M2530" s="92"/>
      <c r="N2530" s="92"/>
      <c r="O2530" s="92"/>
      <c r="P2530" s="92"/>
      <c r="Q2530" s="113"/>
      <c r="R2530" s="92"/>
      <c r="S2530" s="92"/>
      <c r="T2530" s="92"/>
      <c r="U2530" s="92"/>
      <c r="V2530" s="113"/>
      <c r="W2530" s="114"/>
      <c r="X2530" s="92"/>
      <c r="Y2530" s="92"/>
      <c r="Z2530" s="92"/>
    </row>
    <row r="2531" spans="1:26" s="5" customFormat="1">
      <c r="A2531" s="92"/>
      <c r="B2531" s="92"/>
      <c r="C2531" s="92"/>
      <c r="D2531" s="92"/>
      <c r="E2531" s="92"/>
      <c r="F2531" s="92"/>
      <c r="G2531" s="92"/>
      <c r="H2531" s="113"/>
      <c r="I2531" s="92"/>
      <c r="J2531" s="92"/>
      <c r="K2531" s="92"/>
      <c r="L2531" s="113"/>
      <c r="M2531" s="92"/>
      <c r="N2531" s="92"/>
      <c r="O2531" s="92"/>
      <c r="P2531" s="92"/>
      <c r="Q2531" s="113"/>
      <c r="R2531" s="92"/>
      <c r="S2531" s="92"/>
      <c r="T2531" s="92"/>
      <c r="U2531" s="92"/>
      <c r="V2531" s="113"/>
      <c r="W2531" s="114"/>
      <c r="X2531" s="92"/>
      <c r="Y2531" s="92"/>
      <c r="Z2531" s="92"/>
    </row>
    <row r="2532" spans="1:26" s="5" customFormat="1">
      <c r="A2532" s="92"/>
      <c r="B2532" s="92"/>
      <c r="C2532" s="92"/>
      <c r="D2532" s="92"/>
      <c r="E2532" s="92"/>
      <c r="F2532" s="92"/>
      <c r="G2532" s="92"/>
      <c r="H2532" s="113"/>
      <c r="I2532" s="92"/>
      <c r="J2532" s="92"/>
      <c r="K2532" s="92"/>
      <c r="L2532" s="113"/>
      <c r="M2532" s="92"/>
      <c r="N2532" s="92"/>
      <c r="O2532" s="92"/>
      <c r="P2532" s="92"/>
      <c r="Q2532" s="113"/>
      <c r="R2532" s="92"/>
      <c r="S2532" s="92"/>
      <c r="T2532" s="92"/>
      <c r="U2532" s="92"/>
      <c r="V2532" s="113"/>
      <c r="W2532" s="114"/>
      <c r="X2532" s="92"/>
      <c r="Y2532" s="92"/>
      <c r="Z2532" s="92"/>
    </row>
    <row r="2533" spans="1:26" s="5" customFormat="1">
      <c r="A2533" s="92"/>
      <c r="B2533" s="92"/>
      <c r="C2533" s="92"/>
      <c r="D2533" s="92"/>
      <c r="E2533" s="92"/>
      <c r="F2533" s="92"/>
      <c r="G2533" s="92"/>
      <c r="H2533" s="113"/>
      <c r="I2533" s="92"/>
      <c r="J2533" s="92"/>
      <c r="K2533" s="92"/>
      <c r="L2533" s="113"/>
      <c r="M2533" s="92"/>
      <c r="N2533" s="92"/>
      <c r="O2533" s="92"/>
      <c r="P2533" s="92"/>
      <c r="Q2533" s="113"/>
      <c r="R2533" s="92"/>
      <c r="S2533" s="92"/>
      <c r="T2533" s="92"/>
      <c r="U2533" s="92"/>
      <c r="V2533" s="113"/>
      <c r="W2533" s="114"/>
      <c r="X2533" s="92"/>
      <c r="Y2533" s="92"/>
      <c r="Z2533" s="92"/>
    </row>
    <row r="2534" spans="1:26" s="5" customFormat="1">
      <c r="A2534" s="92"/>
      <c r="B2534" s="92"/>
      <c r="C2534" s="92"/>
      <c r="D2534" s="92"/>
      <c r="E2534" s="92"/>
      <c r="F2534" s="92"/>
      <c r="G2534" s="92"/>
      <c r="H2534" s="113"/>
      <c r="I2534" s="92"/>
      <c r="J2534" s="92"/>
      <c r="K2534" s="92"/>
      <c r="L2534" s="113"/>
      <c r="M2534" s="92"/>
      <c r="N2534" s="92"/>
      <c r="O2534" s="92"/>
      <c r="P2534" s="92"/>
      <c r="Q2534" s="113"/>
      <c r="R2534" s="92"/>
      <c r="S2534" s="92"/>
      <c r="T2534" s="92"/>
      <c r="U2534" s="92"/>
      <c r="V2534" s="113"/>
      <c r="W2534" s="114"/>
      <c r="X2534" s="92"/>
      <c r="Y2534" s="92"/>
      <c r="Z2534" s="92"/>
    </row>
    <row r="2535" spans="1:26" s="5" customFormat="1">
      <c r="A2535" s="92"/>
      <c r="B2535" s="92"/>
      <c r="C2535" s="92"/>
      <c r="D2535" s="92"/>
      <c r="E2535" s="92"/>
      <c r="F2535" s="92"/>
      <c r="G2535" s="92"/>
      <c r="H2535" s="113"/>
      <c r="I2535" s="92"/>
      <c r="J2535" s="92"/>
      <c r="K2535" s="92"/>
      <c r="L2535" s="113"/>
      <c r="M2535" s="92"/>
      <c r="N2535" s="92"/>
      <c r="O2535" s="92"/>
      <c r="P2535" s="92"/>
      <c r="Q2535" s="113"/>
      <c r="R2535" s="92"/>
      <c r="S2535" s="92"/>
      <c r="T2535" s="92"/>
      <c r="U2535" s="92"/>
      <c r="V2535" s="113"/>
      <c r="W2535" s="114"/>
      <c r="X2535" s="92"/>
      <c r="Y2535" s="92"/>
      <c r="Z2535" s="92"/>
    </row>
    <row r="2536" spans="1:26" s="5" customFormat="1">
      <c r="A2536" s="92"/>
      <c r="B2536" s="92"/>
      <c r="C2536" s="92"/>
      <c r="D2536" s="92"/>
      <c r="E2536" s="92"/>
      <c r="F2536" s="92"/>
      <c r="G2536" s="92"/>
      <c r="H2536" s="113"/>
      <c r="I2536" s="92"/>
      <c r="J2536" s="92"/>
      <c r="K2536" s="92"/>
      <c r="L2536" s="113"/>
      <c r="M2536" s="92"/>
      <c r="N2536" s="92"/>
      <c r="O2536" s="92"/>
      <c r="P2536" s="92"/>
      <c r="Q2536" s="113"/>
      <c r="R2536" s="92"/>
      <c r="S2536" s="92"/>
      <c r="T2536" s="92"/>
      <c r="U2536" s="92"/>
      <c r="V2536" s="113"/>
      <c r="W2536" s="114"/>
      <c r="X2536" s="92"/>
      <c r="Y2536" s="92"/>
      <c r="Z2536" s="92"/>
    </row>
    <row r="2537" spans="1:26" s="5" customFormat="1">
      <c r="A2537" s="92"/>
      <c r="B2537" s="92"/>
      <c r="C2537" s="92"/>
      <c r="D2537" s="92"/>
      <c r="E2537" s="92"/>
      <c r="F2537" s="92"/>
      <c r="G2537" s="92"/>
      <c r="H2537" s="113"/>
      <c r="I2537" s="92"/>
      <c r="J2537" s="92"/>
      <c r="K2537" s="92"/>
      <c r="L2537" s="113"/>
      <c r="M2537" s="92"/>
      <c r="N2537" s="92"/>
      <c r="O2537" s="92"/>
      <c r="P2537" s="92"/>
      <c r="Q2537" s="113"/>
      <c r="R2537" s="92"/>
      <c r="S2537" s="92"/>
      <c r="T2537" s="92"/>
      <c r="U2537" s="92"/>
      <c r="V2537" s="113"/>
      <c r="W2537" s="114"/>
      <c r="X2537" s="92"/>
      <c r="Y2537" s="92"/>
      <c r="Z2537" s="92"/>
    </row>
    <row r="2538" spans="1:26" s="5" customFormat="1">
      <c r="A2538" s="92"/>
      <c r="B2538" s="92"/>
      <c r="C2538" s="92"/>
      <c r="D2538" s="92"/>
      <c r="E2538" s="92"/>
      <c r="F2538" s="92"/>
      <c r="G2538" s="92"/>
      <c r="H2538" s="113"/>
      <c r="I2538" s="92"/>
      <c r="J2538" s="92"/>
      <c r="K2538" s="92"/>
      <c r="L2538" s="113"/>
      <c r="M2538" s="92"/>
      <c r="N2538" s="92"/>
      <c r="O2538" s="92"/>
      <c r="P2538" s="92"/>
      <c r="Q2538" s="113"/>
      <c r="R2538" s="92"/>
      <c r="S2538" s="92"/>
      <c r="T2538" s="92"/>
      <c r="U2538" s="92"/>
      <c r="V2538" s="113"/>
      <c r="W2538" s="114"/>
      <c r="X2538" s="92"/>
      <c r="Y2538" s="92"/>
      <c r="Z2538" s="92"/>
    </row>
    <row r="2539" spans="1:26" s="5" customFormat="1">
      <c r="A2539" s="92"/>
      <c r="B2539" s="92"/>
      <c r="C2539" s="92"/>
      <c r="D2539" s="92"/>
      <c r="E2539" s="92"/>
      <c r="F2539" s="92"/>
      <c r="G2539" s="92"/>
      <c r="H2539" s="113"/>
      <c r="I2539" s="92"/>
      <c r="J2539" s="92"/>
      <c r="K2539" s="92"/>
      <c r="L2539" s="113"/>
      <c r="M2539" s="92"/>
      <c r="N2539" s="92"/>
      <c r="O2539" s="92"/>
      <c r="P2539" s="92"/>
      <c r="Q2539" s="113"/>
      <c r="R2539" s="92"/>
      <c r="S2539" s="92"/>
      <c r="T2539" s="92"/>
      <c r="U2539" s="92"/>
      <c r="V2539" s="113"/>
      <c r="W2539" s="114"/>
      <c r="X2539" s="92"/>
      <c r="Y2539" s="92"/>
      <c r="Z2539" s="92"/>
    </row>
    <row r="2540" spans="1:26" s="5" customFormat="1">
      <c r="A2540" s="92"/>
      <c r="B2540" s="92"/>
      <c r="C2540" s="92"/>
      <c r="D2540" s="92"/>
      <c r="E2540" s="92"/>
      <c r="F2540" s="92"/>
      <c r="G2540" s="92"/>
      <c r="H2540" s="113"/>
      <c r="I2540" s="92"/>
      <c r="J2540" s="92"/>
      <c r="K2540" s="92"/>
      <c r="L2540" s="113"/>
      <c r="M2540" s="92"/>
      <c r="N2540" s="92"/>
      <c r="O2540" s="92"/>
      <c r="P2540" s="92"/>
      <c r="Q2540" s="113"/>
      <c r="R2540" s="92"/>
      <c r="S2540" s="92"/>
      <c r="T2540" s="92"/>
      <c r="U2540" s="92"/>
      <c r="V2540" s="113"/>
      <c r="W2540" s="114"/>
      <c r="X2540" s="92"/>
      <c r="Y2540" s="92"/>
      <c r="Z2540" s="92"/>
    </row>
    <row r="2541" spans="1:26" s="5" customFormat="1">
      <c r="A2541" s="92"/>
      <c r="B2541" s="92"/>
      <c r="C2541" s="92"/>
      <c r="D2541" s="92"/>
      <c r="E2541" s="92"/>
      <c r="F2541" s="92"/>
      <c r="G2541" s="92"/>
      <c r="H2541" s="113"/>
      <c r="I2541" s="92"/>
      <c r="J2541" s="92"/>
      <c r="K2541" s="92"/>
      <c r="L2541" s="113"/>
      <c r="M2541" s="92"/>
      <c r="N2541" s="92"/>
      <c r="O2541" s="92"/>
      <c r="P2541" s="92"/>
      <c r="Q2541" s="113"/>
      <c r="R2541" s="92"/>
      <c r="S2541" s="92"/>
      <c r="T2541" s="92"/>
      <c r="U2541" s="92"/>
      <c r="V2541" s="113"/>
      <c r="W2541" s="114"/>
      <c r="X2541" s="92"/>
      <c r="Y2541" s="92"/>
      <c r="Z2541" s="92"/>
    </row>
    <row r="2542" spans="1:26" s="5" customFormat="1">
      <c r="A2542" s="92"/>
      <c r="B2542" s="92"/>
      <c r="C2542" s="92"/>
      <c r="D2542" s="92"/>
      <c r="E2542" s="92"/>
      <c r="F2542" s="92"/>
      <c r="G2542" s="92"/>
      <c r="H2542" s="113"/>
      <c r="I2542" s="92"/>
      <c r="J2542" s="92"/>
      <c r="K2542" s="92"/>
      <c r="L2542" s="113"/>
      <c r="M2542" s="92"/>
      <c r="N2542" s="92"/>
      <c r="O2542" s="92"/>
      <c r="P2542" s="92"/>
      <c r="Q2542" s="113"/>
      <c r="R2542" s="92"/>
      <c r="S2542" s="92"/>
      <c r="T2542" s="92"/>
      <c r="U2542" s="92"/>
      <c r="V2542" s="113"/>
      <c r="W2542" s="114"/>
      <c r="X2542" s="92"/>
      <c r="Y2542" s="92"/>
      <c r="Z2542" s="92"/>
    </row>
    <row r="2543" spans="1:26" s="5" customFormat="1">
      <c r="A2543" s="92"/>
      <c r="B2543" s="92"/>
      <c r="C2543" s="92"/>
      <c r="D2543" s="92"/>
      <c r="E2543" s="92"/>
      <c r="F2543" s="92"/>
      <c r="G2543" s="92"/>
      <c r="H2543" s="113"/>
      <c r="I2543" s="92"/>
      <c r="J2543" s="92"/>
      <c r="K2543" s="92"/>
      <c r="L2543" s="113"/>
      <c r="M2543" s="92"/>
      <c r="N2543" s="92"/>
      <c r="O2543" s="92"/>
      <c r="P2543" s="92"/>
      <c r="Q2543" s="113"/>
      <c r="R2543" s="92"/>
      <c r="S2543" s="92"/>
      <c r="T2543" s="92"/>
      <c r="U2543" s="92"/>
      <c r="V2543" s="113"/>
      <c r="W2543" s="114"/>
      <c r="X2543" s="92"/>
      <c r="Y2543" s="92"/>
      <c r="Z2543" s="92"/>
    </row>
    <row r="2544" spans="1:26" s="5" customFormat="1">
      <c r="A2544" s="92"/>
      <c r="B2544" s="92"/>
      <c r="C2544" s="92"/>
      <c r="D2544" s="92"/>
      <c r="E2544" s="92"/>
      <c r="F2544" s="92"/>
      <c r="G2544" s="92"/>
      <c r="H2544" s="113"/>
      <c r="I2544" s="92"/>
      <c r="J2544" s="92"/>
      <c r="K2544" s="92"/>
      <c r="L2544" s="113"/>
      <c r="M2544" s="92"/>
      <c r="N2544" s="92"/>
      <c r="O2544" s="92"/>
      <c r="P2544" s="92"/>
      <c r="Q2544" s="113"/>
      <c r="R2544" s="92"/>
      <c r="S2544" s="92"/>
      <c r="T2544" s="92"/>
      <c r="U2544" s="92"/>
      <c r="V2544" s="113"/>
      <c r="W2544" s="114"/>
      <c r="X2544" s="92"/>
      <c r="Y2544" s="92"/>
      <c r="Z2544" s="92"/>
    </row>
    <row r="2545" spans="1:26" s="5" customFormat="1">
      <c r="A2545" s="92"/>
      <c r="B2545" s="92"/>
      <c r="C2545" s="92"/>
      <c r="D2545" s="92"/>
      <c r="E2545" s="92"/>
      <c r="F2545" s="92"/>
      <c r="G2545" s="92"/>
      <c r="H2545" s="113"/>
      <c r="I2545" s="92"/>
      <c r="J2545" s="92"/>
      <c r="K2545" s="92"/>
      <c r="L2545" s="113"/>
      <c r="M2545" s="92"/>
      <c r="N2545" s="92"/>
      <c r="O2545" s="92"/>
      <c r="P2545" s="92"/>
      <c r="Q2545" s="113"/>
      <c r="R2545" s="92"/>
      <c r="S2545" s="92"/>
      <c r="T2545" s="92"/>
      <c r="U2545" s="92"/>
      <c r="V2545" s="113"/>
      <c r="W2545" s="114"/>
      <c r="X2545" s="92"/>
      <c r="Y2545" s="92"/>
      <c r="Z2545" s="92"/>
    </row>
    <row r="2546" spans="1:26" s="5" customFormat="1">
      <c r="A2546" s="92"/>
      <c r="B2546" s="92"/>
      <c r="C2546" s="92"/>
      <c r="D2546" s="92"/>
      <c r="E2546" s="92"/>
      <c r="F2546" s="92"/>
      <c r="G2546" s="92"/>
      <c r="H2546" s="113"/>
      <c r="I2546" s="92"/>
      <c r="J2546" s="92"/>
      <c r="K2546" s="92"/>
      <c r="L2546" s="113"/>
      <c r="M2546" s="92"/>
      <c r="N2546" s="92"/>
      <c r="O2546" s="92"/>
      <c r="P2546" s="92"/>
      <c r="Q2546" s="113"/>
      <c r="R2546" s="92"/>
      <c r="S2546" s="92"/>
      <c r="T2546" s="92"/>
      <c r="U2546" s="92"/>
      <c r="V2546" s="113"/>
      <c r="W2546" s="114"/>
      <c r="X2546" s="92"/>
      <c r="Y2546" s="92"/>
      <c r="Z2546" s="92"/>
    </row>
    <row r="2547" spans="1:26" s="5" customFormat="1">
      <c r="A2547" s="92"/>
      <c r="B2547" s="92"/>
      <c r="C2547" s="92"/>
      <c r="D2547" s="92"/>
      <c r="E2547" s="92"/>
      <c r="F2547" s="92"/>
      <c r="G2547" s="92"/>
      <c r="H2547" s="113"/>
      <c r="I2547" s="92"/>
      <c r="J2547" s="92"/>
      <c r="K2547" s="92"/>
      <c r="L2547" s="113"/>
      <c r="M2547" s="92"/>
      <c r="N2547" s="92"/>
      <c r="O2547" s="92"/>
      <c r="P2547" s="92"/>
      <c r="Q2547" s="113"/>
      <c r="R2547" s="92"/>
      <c r="S2547" s="92"/>
      <c r="T2547" s="92"/>
      <c r="U2547" s="92"/>
      <c r="V2547" s="113"/>
      <c r="W2547" s="114"/>
      <c r="X2547" s="92"/>
      <c r="Y2547" s="92"/>
      <c r="Z2547" s="92"/>
    </row>
    <row r="2548" spans="1:26" s="5" customFormat="1">
      <c r="A2548" s="92"/>
      <c r="B2548" s="92"/>
      <c r="C2548" s="92"/>
      <c r="D2548" s="92"/>
      <c r="E2548" s="92"/>
      <c r="F2548" s="92"/>
      <c r="G2548" s="92"/>
      <c r="H2548" s="113"/>
      <c r="I2548" s="92"/>
      <c r="J2548" s="92"/>
      <c r="K2548" s="92"/>
      <c r="L2548" s="113"/>
      <c r="M2548" s="92"/>
      <c r="N2548" s="92"/>
      <c r="O2548" s="92"/>
      <c r="P2548" s="92"/>
      <c r="Q2548" s="113"/>
      <c r="R2548" s="92"/>
      <c r="S2548" s="92"/>
      <c r="T2548" s="92"/>
      <c r="U2548" s="92"/>
      <c r="V2548" s="113"/>
      <c r="W2548" s="114"/>
      <c r="X2548" s="92"/>
      <c r="Y2548" s="92"/>
      <c r="Z2548" s="92"/>
    </row>
    <row r="2549" spans="1:26" s="5" customFormat="1">
      <c r="A2549" s="92"/>
      <c r="B2549" s="92"/>
      <c r="C2549" s="92"/>
      <c r="D2549" s="92"/>
      <c r="E2549" s="92"/>
      <c r="F2549" s="92"/>
      <c r="G2549" s="92"/>
      <c r="H2549" s="113"/>
      <c r="I2549" s="92"/>
      <c r="J2549" s="92"/>
      <c r="K2549" s="92"/>
      <c r="L2549" s="113"/>
      <c r="M2549" s="92"/>
      <c r="N2549" s="92"/>
      <c r="O2549" s="92"/>
      <c r="P2549" s="92"/>
      <c r="Q2549" s="113"/>
      <c r="R2549" s="92"/>
      <c r="S2549" s="92"/>
      <c r="T2549" s="92"/>
      <c r="U2549" s="92"/>
      <c r="V2549" s="113"/>
      <c r="W2549" s="114"/>
      <c r="X2549" s="92"/>
      <c r="Y2549" s="92"/>
      <c r="Z2549" s="92"/>
    </row>
    <row r="2550" spans="1:26" s="5" customFormat="1">
      <c r="A2550" s="92"/>
      <c r="B2550" s="92"/>
      <c r="C2550" s="92"/>
      <c r="D2550" s="92"/>
      <c r="E2550" s="92"/>
      <c r="F2550" s="92"/>
      <c r="G2550" s="92"/>
      <c r="H2550" s="113"/>
      <c r="I2550" s="92"/>
      <c r="J2550" s="92"/>
      <c r="K2550" s="92"/>
      <c r="L2550" s="113"/>
      <c r="M2550" s="92"/>
      <c r="N2550" s="92"/>
      <c r="O2550" s="92"/>
      <c r="P2550" s="92"/>
      <c r="Q2550" s="113"/>
      <c r="R2550" s="92"/>
      <c r="S2550" s="92"/>
      <c r="T2550" s="92"/>
      <c r="U2550" s="92"/>
      <c r="V2550" s="113"/>
      <c r="W2550" s="114"/>
      <c r="X2550" s="92"/>
      <c r="Y2550" s="92"/>
      <c r="Z2550" s="92"/>
    </row>
    <row r="2551" spans="1:26" s="5" customFormat="1">
      <c r="A2551" s="92"/>
      <c r="B2551" s="92"/>
      <c r="C2551" s="92"/>
      <c r="D2551" s="92"/>
      <c r="E2551" s="92"/>
      <c r="F2551" s="92"/>
      <c r="G2551" s="92"/>
      <c r="H2551" s="113"/>
      <c r="I2551" s="92"/>
      <c r="J2551" s="92"/>
      <c r="K2551" s="92"/>
      <c r="L2551" s="113"/>
      <c r="M2551" s="92"/>
      <c r="N2551" s="92"/>
      <c r="O2551" s="92"/>
      <c r="P2551" s="92"/>
      <c r="Q2551" s="113"/>
      <c r="R2551" s="92"/>
      <c r="S2551" s="92"/>
      <c r="T2551" s="92"/>
      <c r="U2551" s="92"/>
      <c r="V2551" s="113"/>
      <c r="W2551" s="114"/>
      <c r="X2551" s="92"/>
      <c r="Y2551" s="92"/>
      <c r="Z2551" s="92"/>
    </row>
    <row r="2552" spans="1:26" s="5" customFormat="1">
      <c r="A2552" s="92"/>
      <c r="B2552" s="92"/>
      <c r="C2552" s="92"/>
      <c r="D2552" s="92"/>
      <c r="E2552" s="92"/>
      <c r="F2552" s="92"/>
      <c r="G2552" s="92"/>
      <c r="H2552" s="113"/>
      <c r="I2552" s="92"/>
      <c r="J2552" s="92"/>
      <c r="K2552" s="92"/>
      <c r="L2552" s="113"/>
      <c r="M2552" s="92"/>
      <c r="N2552" s="92"/>
      <c r="O2552" s="92"/>
      <c r="P2552" s="92"/>
      <c r="Q2552" s="113"/>
      <c r="R2552" s="92"/>
      <c r="S2552" s="92"/>
      <c r="T2552" s="92"/>
      <c r="U2552" s="92"/>
      <c r="V2552" s="113"/>
      <c r="W2552" s="114"/>
      <c r="X2552" s="92"/>
      <c r="Y2552" s="92"/>
      <c r="Z2552" s="92"/>
    </row>
    <row r="2553" spans="1:26" s="5" customFormat="1">
      <c r="A2553" s="92"/>
      <c r="B2553" s="92"/>
      <c r="C2553" s="92"/>
      <c r="D2553" s="92"/>
      <c r="E2553" s="92"/>
      <c r="F2553" s="92"/>
      <c r="G2553" s="92"/>
      <c r="H2553" s="113"/>
      <c r="I2553" s="92"/>
      <c r="J2553" s="92"/>
      <c r="K2553" s="92"/>
      <c r="L2553" s="113"/>
      <c r="M2553" s="92"/>
      <c r="N2553" s="92"/>
      <c r="O2553" s="92"/>
      <c r="P2553" s="92"/>
      <c r="Q2553" s="113"/>
      <c r="R2553" s="92"/>
      <c r="S2553" s="92"/>
      <c r="T2553" s="92"/>
      <c r="U2553" s="92"/>
      <c r="V2553" s="113"/>
      <c r="W2553" s="114"/>
      <c r="X2553" s="92"/>
      <c r="Y2553" s="92"/>
      <c r="Z2553" s="92"/>
    </row>
    <row r="2554" spans="1:26" s="5" customFormat="1">
      <c r="A2554" s="92"/>
      <c r="B2554" s="92"/>
      <c r="C2554" s="92"/>
      <c r="D2554" s="92"/>
      <c r="E2554" s="92"/>
      <c r="F2554" s="92"/>
      <c r="G2554" s="92"/>
      <c r="H2554" s="113"/>
      <c r="I2554" s="92"/>
      <c r="J2554" s="92"/>
      <c r="K2554" s="92"/>
      <c r="L2554" s="113"/>
      <c r="M2554" s="92"/>
      <c r="N2554" s="92"/>
      <c r="O2554" s="92"/>
      <c r="P2554" s="92"/>
      <c r="Q2554" s="113"/>
      <c r="R2554" s="92"/>
      <c r="S2554" s="92"/>
      <c r="T2554" s="92"/>
      <c r="U2554" s="92"/>
      <c r="V2554" s="113"/>
      <c r="W2554" s="114"/>
      <c r="X2554" s="92"/>
      <c r="Y2554" s="92"/>
      <c r="Z2554" s="92"/>
    </row>
    <row r="2555" spans="1:26" s="5" customFormat="1">
      <c r="A2555" s="92"/>
      <c r="B2555" s="92"/>
      <c r="C2555" s="92"/>
      <c r="D2555" s="92"/>
      <c r="E2555" s="92"/>
      <c r="F2555" s="92"/>
      <c r="G2555" s="92"/>
      <c r="H2555" s="113"/>
      <c r="I2555" s="92"/>
      <c r="J2555" s="92"/>
      <c r="K2555" s="92"/>
      <c r="L2555" s="113"/>
      <c r="M2555" s="92"/>
      <c r="N2555" s="92"/>
      <c r="O2555" s="92"/>
      <c r="P2555" s="92"/>
      <c r="Q2555" s="113"/>
      <c r="R2555" s="92"/>
      <c r="S2555" s="92"/>
      <c r="T2555" s="92"/>
      <c r="U2555" s="92"/>
      <c r="V2555" s="113"/>
      <c r="W2555" s="114"/>
      <c r="X2555" s="92"/>
      <c r="Y2555" s="92"/>
      <c r="Z2555" s="92"/>
    </row>
    <row r="2556" spans="1:26" s="5" customFormat="1">
      <c r="A2556" s="92"/>
      <c r="B2556" s="92"/>
      <c r="C2556" s="92"/>
      <c r="D2556" s="92"/>
      <c r="E2556" s="92"/>
      <c r="F2556" s="92"/>
      <c r="G2556" s="92"/>
      <c r="H2556" s="113"/>
      <c r="I2556" s="92"/>
      <c r="J2556" s="92"/>
      <c r="K2556" s="92"/>
      <c r="L2556" s="113"/>
      <c r="M2556" s="92"/>
      <c r="N2556" s="92"/>
      <c r="O2556" s="92"/>
      <c r="P2556" s="92"/>
      <c r="Q2556" s="113"/>
      <c r="R2556" s="92"/>
      <c r="S2556" s="92"/>
      <c r="T2556" s="92"/>
      <c r="U2556" s="92"/>
      <c r="V2556" s="113"/>
      <c r="W2556" s="114"/>
      <c r="X2556" s="92"/>
      <c r="Y2556" s="92"/>
      <c r="Z2556" s="92"/>
    </row>
    <row r="2557" spans="1:26" s="5" customFormat="1">
      <c r="A2557" s="92"/>
      <c r="B2557" s="92"/>
      <c r="C2557" s="92"/>
      <c r="D2557" s="92"/>
      <c r="E2557" s="92"/>
      <c r="F2557" s="92"/>
      <c r="G2557" s="92"/>
      <c r="H2557" s="113"/>
      <c r="I2557" s="92"/>
      <c r="J2557" s="92"/>
      <c r="K2557" s="92"/>
      <c r="L2557" s="113"/>
      <c r="M2557" s="92"/>
      <c r="N2557" s="92"/>
      <c r="O2557" s="92"/>
      <c r="P2557" s="92"/>
      <c r="Q2557" s="113"/>
      <c r="R2557" s="92"/>
      <c r="S2557" s="92"/>
      <c r="T2557" s="92"/>
      <c r="U2557" s="92"/>
      <c r="V2557" s="113"/>
      <c r="W2557" s="114"/>
      <c r="X2557" s="92"/>
      <c r="Y2557" s="92"/>
      <c r="Z2557" s="92"/>
    </row>
    <row r="2558" spans="1:26" s="5" customFormat="1">
      <c r="A2558" s="92"/>
      <c r="B2558" s="92"/>
      <c r="C2558" s="92"/>
      <c r="D2558" s="92"/>
      <c r="E2558" s="92"/>
      <c r="F2558" s="92"/>
      <c r="G2558" s="92"/>
      <c r="H2558" s="113"/>
      <c r="I2558" s="92"/>
      <c r="J2558" s="92"/>
      <c r="K2558" s="92"/>
      <c r="L2558" s="113"/>
      <c r="M2558" s="92"/>
      <c r="N2558" s="92"/>
      <c r="O2558" s="92"/>
      <c r="P2558" s="92"/>
      <c r="Q2558" s="113"/>
      <c r="R2558" s="92"/>
      <c r="S2558" s="92"/>
      <c r="T2558" s="92"/>
      <c r="U2558" s="92"/>
      <c r="V2558" s="113"/>
      <c r="W2558" s="114"/>
      <c r="X2558" s="92"/>
      <c r="Y2558" s="92"/>
      <c r="Z2558" s="92"/>
    </row>
    <row r="2559" spans="1:26" s="5" customFormat="1">
      <c r="A2559" s="92"/>
      <c r="B2559" s="92"/>
      <c r="C2559" s="92"/>
      <c r="D2559" s="92"/>
      <c r="E2559" s="92"/>
      <c r="F2559" s="92"/>
      <c r="G2559" s="92"/>
      <c r="H2559" s="113"/>
      <c r="I2559" s="92"/>
      <c r="J2559" s="92"/>
      <c r="K2559" s="92"/>
      <c r="L2559" s="113"/>
      <c r="M2559" s="92"/>
      <c r="N2559" s="92"/>
      <c r="O2559" s="92"/>
      <c r="P2559" s="92"/>
      <c r="Q2559" s="113"/>
      <c r="R2559" s="92"/>
      <c r="S2559" s="92"/>
      <c r="T2559" s="92"/>
      <c r="U2559" s="92"/>
      <c r="V2559" s="113"/>
      <c r="W2559" s="114"/>
      <c r="X2559" s="92"/>
      <c r="Y2559" s="92"/>
      <c r="Z2559" s="92"/>
    </row>
    <row r="2560" spans="1:26" s="5" customFormat="1">
      <c r="A2560" s="92"/>
      <c r="B2560" s="92"/>
      <c r="C2560" s="92"/>
      <c r="D2560" s="92"/>
      <c r="E2560" s="92"/>
      <c r="F2560" s="92"/>
      <c r="G2560" s="92"/>
      <c r="H2560" s="113"/>
      <c r="I2560" s="92"/>
      <c r="J2560" s="92"/>
      <c r="K2560" s="92"/>
      <c r="L2560" s="113"/>
      <c r="M2560" s="92"/>
      <c r="N2560" s="92"/>
      <c r="O2560" s="92"/>
      <c r="P2560" s="92"/>
      <c r="Q2560" s="113"/>
      <c r="R2560" s="92"/>
      <c r="S2560" s="92"/>
      <c r="T2560" s="92"/>
      <c r="U2560" s="92"/>
      <c r="V2560" s="113"/>
      <c r="W2560" s="114"/>
      <c r="X2560" s="92"/>
      <c r="Y2560" s="92"/>
      <c r="Z2560" s="92"/>
    </row>
    <row r="2561" spans="1:26" s="5" customFormat="1">
      <c r="A2561" s="92"/>
      <c r="B2561" s="92"/>
      <c r="C2561" s="92"/>
      <c r="D2561" s="92"/>
      <c r="E2561" s="92"/>
      <c r="F2561" s="92"/>
      <c r="G2561" s="92"/>
      <c r="H2561" s="113"/>
      <c r="I2561" s="92"/>
      <c r="J2561" s="92"/>
      <c r="K2561" s="92"/>
      <c r="L2561" s="113"/>
      <c r="M2561" s="92"/>
      <c r="N2561" s="92"/>
      <c r="O2561" s="92"/>
      <c r="P2561" s="92"/>
      <c r="Q2561" s="113"/>
      <c r="R2561" s="92"/>
      <c r="S2561" s="92"/>
      <c r="T2561" s="92"/>
      <c r="U2561" s="92"/>
      <c r="V2561" s="113"/>
      <c r="W2561" s="114"/>
      <c r="X2561" s="92"/>
      <c r="Y2561" s="92"/>
      <c r="Z2561" s="92"/>
    </row>
    <row r="2562" spans="1:26" s="5" customFormat="1">
      <c r="A2562" s="92"/>
      <c r="B2562" s="92"/>
      <c r="C2562" s="92"/>
      <c r="D2562" s="92"/>
      <c r="E2562" s="92"/>
      <c r="F2562" s="92"/>
      <c r="G2562" s="92"/>
      <c r="H2562" s="113"/>
      <c r="I2562" s="92"/>
      <c r="J2562" s="92"/>
      <c r="K2562" s="92"/>
      <c r="L2562" s="113"/>
      <c r="M2562" s="92"/>
      <c r="N2562" s="92"/>
      <c r="O2562" s="92"/>
      <c r="P2562" s="92"/>
      <c r="Q2562" s="113"/>
      <c r="R2562" s="92"/>
      <c r="S2562" s="92"/>
      <c r="T2562" s="92"/>
      <c r="U2562" s="92"/>
      <c r="V2562" s="113"/>
      <c r="W2562" s="114"/>
      <c r="X2562" s="92"/>
      <c r="Y2562" s="92"/>
      <c r="Z2562" s="92"/>
    </row>
    <row r="2563" spans="1:26" s="5" customFormat="1">
      <c r="A2563" s="92"/>
      <c r="B2563" s="92"/>
      <c r="C2563" s="92"/>
      <c r="D2563" s="92"/>
      <c r="E2563" s="92"/>
      <c r="F2563" s="92"/>
      <c r="G2563" s="92"/>
      <c r="H2563" s="113"/>
      <c r="I2563" s="92"/>
      <c r="J2563" s="92"/>
      <c r="K2563" s="92"/>
      <c r="L2563" s="113"/>
      <c r="M2563" s="92"/>
      <c r="N2563" s="92"/>
      <c r="O2563" s="92"/>
      <c r="P2563" s="92"/>
      <c r="Q2563" s="113"/>
      <c r="R2563" s="92"/>
      <c r="S2563" s="92"/>
      <c r="T2563" s="92"/>
      <c r="U2563" s="92"/>
      <c r="V2563" s="113"/>
      <c r="W2563" s="114"/>
      <c r="X2563" s="92"/>
      <c r="Y2563" s="92"/>
      <c r="Z2563" s="92"/>
    </row>
    <row r="2564" spans="1:26" s="5" customFormat="1">
      <c r="A2564" s="92"/>
      <c r="B2564" s="92"/>
      <c r="C2564" s="92"/>
      <c r="D2564" s="92"/>
      <c r="E2564" s="92"/>
      <c r="F2564" s="92"/>
      <c r="G2564" s="92"/>
      <c r="H2564" s="113"/>
      <c r="I2564" s="92"/>
      <c r="J2564" s="92"/>
      <c r="K2564" s="92"/>
      <c r="L2564" s="113"/>
      <c r="M2564" s="92"/>
      <c r="N2564" s="92"/>
      <c r="O2564" s="92"/>
      <c r="P2564" s="92"/>
      <c r="Q2564" s="113"/>
      <c r="R2564" s="92"/>
      <c r="S2564" s="92"/>
      <c r="T2564" s="92"/>
      <c r="U2564" s="92"/>
      <c r="V2564" s="113"/>
      <c r="W2564" s="114"/>
      <c r="X2564" s="92"/>
      <c r="Y2564" s="92"/>
      <c r="Z2564" s="92"/>
    </row>
    <row r="2565" spans="1:26" s="5" customFormat="1">
      <c r="A2565" s="92"/>
      <c r="B2565" s="92"/>
      <c r="C2565" s="92"/>
      <c r="D2565" s="92"/>
      <c r="E2565" s="92"/>
      <c r="F2565" s="92"/>
      <c r="G2565" s="92"/>
      <c r="H2565" s="113"/>
      <c r="I2565" s="92"/>
      <c r="J2565" s="92"/>
      <c r="K2565" s="92"/>
      <c r="L2565" s="113"/>
      <c r="M2565" s="92"/>
      <c r="N2565" s="92"/>
      <c r="O2565" s="92"/>
      <c r="P2565" s="92"/>
      <c r="Q2565" s="113"/>
      <c r="R2565" s="92"/>
      <c r="S2565" s="92"/>
      <c r="T2565" s="92"/>
      <c r="U2565" s="92"/>
      <c r="V2565" s="113"/>
      <c r="W2565" s="114"/>
      <c r="X2565" s="92"/>
      <c r="Y2565" s="92"/>
      <c r="Z2565" s="92"/>
    </row>
    <row r="2566" spans="1:26" s="5" customFormat="1">
      <c r="A2566" s="92"/>
      <c r="B2566" s="92"/>
      <c r="C2566" s="92"/>
      <c r="D2566" s="92"/>
      <c r="E2566" s="92"/>
      <c r="F2566" s="92"/>
      <c r="G2566" s="92"/>
      <c r="H2566" s="113"/>
      <c r="I2566" s="92"/>
      <c r="J2566" s="92"/>
      <c r="K2566" s="92"/>
      <c r="L2566" s="113"/>
      <c r="M2566" s="92"/>
      <c r="N2566" s="92"/>
      <c r="O2566" s="92"/>
      <c r="P2566" s="92"/>
      <c r="Q2566" s="113"/>
      <c r="R2566" s="92"/>
      <c r="S2566" s="92"/>
      <c r="T2566" s="92"/>
      <c r="U2566" s="92"/>
      <c r="V2566" s="113"/>
      <c r="W2566" s="114"/>
      <c r="X2566" s="92"/>
      <c r="Y2566" s="92"/>
      <c r="Z2566" s="92"/>
    </row>
    <row r="2567" spans="1:26" s="5" customFormat="1">
      <c r="A2567" s="92"/>
      <c r="B2567" s="92"/>
      <c r="C2567" s="92"/>
      <c r="D2567" s="92"/>
      <c r="E2567" s="92"/>
      <c r="F2567" s="92"/>
      <c r="G2567" s="92"/>
      <c r="H2567" s="113"/>
      <c r="I2567" s="92"/>
      <c r="J2567" s="92"/>
      <c r="K2567" s="92"/>
      <c r="L2567" s="113"/>
      <c r="M2567" s="92"/>
      <c r="N2567" s="92"/>
      <c r="O2567" s="92"/>
      <c r="P2567" s="92"/>
      <c r="Q2567" s="113"/>
      <c r="R2567" s="92"/>
      <c r="S2567" s="92"/>
      <c r="T2567" s="92"/>
      <c r="U2567" s="92"/>
      <c r="V2567" s="113"/>
      <c r="W2567" s="114"/>
      <c r="X2567" s="92"/>
      <c r="Y2567" s="92"/>
      <c r="Z2567" s="92"/>
    </row>
    <row r="2568" spans="1:26" s="5" customFormat="1">
      <c r="A2568" s="92"/>
      <c r="B2568" s="92"/>
      <c r="C2568" s="92"/>
      <c r="D2568" s="92"/>
      <c r="E2568" s="92"/>
      <c r="F2568" s="92"/>
      <c r="G2568" s="92"/>
      <c r="H2568" s="113"/>
      <c r="I2568" s="92"/>
      <c r="J2568" s="92"/>
      <c r="K2568" s="92"/>
      <c r="L2568" s="113"/>
      <c r="M2568" s="92"/>
      <c r="N2568" s="92"/>
      <c r="O2568" s="92"/>
      <c r="P2568" s="92"/>
      <c r="Q2568" s="113"/>
      <c r="R2568" s="92"/>
      <c r="S2568" s="92"/>
      <c r="T2568" s="92"/>
      <c r="U2568" s="92"/>
      <c r="V2568" s="113"/>
      <c r="W2568" s="114"/>
      <c r="X2568" s="92"/>
      <c r="Y2568" s="92"/>
      <c r="Z2568" s="92"/>
    </row>
    <row r="2569" spans="1:26" s="5" customFormat="1">
      <c r="A2569" s="92"/>
      <c r="B2569" s="92"/>
      <c r="C2569" s="92"/>
      <c r="D2569" s="92"/>
      <c r="E2569" s="92"/>
      <c r="F2569" s="92"/>
      <c r="G2569" s="92"/>
      <c r="H2569" s="113"/>
      <c r="I2569" s="92"/>
      <c r="J2569" s="92"/>
      <c r="K2569" s="92"/>
      <c r="L2569" s="113"/>
      <c r="M2569" s="92"/>
      <c r="N2569" s="92"/>
      <c r="O2569" s="92"/>
      <c r="P2569" s="92"/>
      <c r="Q2569" s="113"/>
      <c r="R2569" s="92"/>
      <c r="S2569" s="92"/>
      <c r="T2569" s="92"/>
      <c r="U2569" s="92"/>
      <c r="V2569" s="113"/>
      <c r="W2569" s="114"/>
      <c r="X2569" s="92"/>
      <c r="Y2569" s="92"/>
      <c r="Z2569" s="92"/>
    </row>
    <row r="2570" spans="1:26" s="5" customFormat="1">
      <c r="A2570" s="92"/>
      <c r="B2570" s="92"/>
      <c r="C2570" s="92"/>
      <c r="D2570" s="92"/>
      <c r="E2570" s="92"/>
      <c r="F2570" s="92"/>
      <c r="G2570" s="92"/>
      <c r="H2570" s="113"/>
      <c r="I2570" s="92"/>
      <c r="J2570" s="92"/>
      <c r="K2570" s="92"/>
      <c r="L2570" s="113"/>
      <c r="M2570" s="92"/>
      <c r="N2570" s="92"/>
      <c r="O2570" s="92"/>
      <c r="P2570" s="92"/>
      <c r="Q2570" s="113"/>
      <c r="R2570" s="92"/>
      <c r="S2570" s="92"/>
      <c r="T2570" s="92"/>
      <c r="U2570" s="92"/>
      <c r="V2570" s="113"/>
      <c r="W2570" s="114"/>
      <c r="X2570" s="92"/>
      <c r="Y2570" s="92"/>
      <c r="Z2570" s="92"/>
    </row>
    <row r="2571" spans="1:26" s="5" customFormat="1">
      <c r="A2571" s="92"/>
      <c r="B2571" s="92"/>
      <c r="C2571" s="92"/>
      <c r="D2571" s="92"/>
      <c r="E2571" s="92"/>
      <c r="F2571" s="92"/>
      <c r="G2571" s="92"/>
      <c r="H2571" s="113"/>
      <c r="I2571" s="92"/>
      <c r="J2571" s="92"/>
      <c r="K2571" s="92"/>
      <c r="L2571" s="113"/>
      <c r="M2571" s="92"/>
      <c r="N2571" s="92"/>
      <c r="O2571" s="92"/>
      <c r="P2571" s="92"/>
      <c r="Q2571" s="113"/>
      <c r="R2571" s="92"/>
      <c r="S2571" s="92"/>
      <c r="T2571" s="92"/>
      <c r="U2571" s="92"/>
      <c r="V2571" s="113"/>
      <c r="W2571" s="114"/>
      <c r="X2571" s="92"/>
      <c r="Y2571" s="92"/>
      <c r="Z2571" s="92"/>
    </row>
    <row r="2572" spans="1:26" s="5" customFormat="1">
      <c r="A2572" s="92"/>
      <c r="B2572" s="92"/>
      <c r="C2572" s="92"/>
      <c r="D2572" s="92"/>
      <c r="E2572" s="92"/>
      <c r="F2572" s="92"/>
      <c r="G2572" s="92"/>
      <c r="H2572" s="113"/>
      <c r="I2572" s="92"/>
      <c r="J2572" s="92"/>
      <c r="K2572" s="92"/>
      <c r="L2572" s="113"/>
      <c r="M2572" s="92"/>
      <c r="N2572" s="92"/>
      <c r="O2572" s="92"/>
      <c r="P2572" s="92"/>
      <c r="Q2572" s="113"/>
      <c r="R2572" s="92"/>
      <c r="S2572" s="92"/>
      <c r="T2572" s="92"/>
      <c r="U2572" s="92"/>
      <c r="V2572" s="113"/>
      <c r="W2572" s="114"/>
      <c r="X2572" s="92"/>
      <c r="Y2572" s="92"/>
      <c r="Z2572" s="92"/>
    </row>
    <row r="2573" spans="1:26" s="5" customFormat="1">
      <c r="A2573" s="92"/>
      <c r="B2573" s="92"/>
      <c r="C2573" s="92"/>
      <c r="D2573" s="92"/>
      <c r="E2573" s="92"/>
      <c r="F2573" s="92"/>
      <c r="G2573" s="92"/>
      <c r="H2573" s="113"/>
      <c r="I2573" s="92"/>
      <c r="J2573" s="92"/>
      <c r="K2573" s="92"/>
      <c r="L2573" s="113"/>
      <c r="M2573" s="92"/>
      <c r="N2573" s="92"/>
      <c r="O2573" s="92"/>
      <c r="P2573" s="92"/>
      <c r="Q2573" s="113"/>
      <c r="R2573" s="92"/>
      <c r="S2573" s="92"/>
      <c r="T2573" s="92"/>
      <c r="U2573" s="92"/>
      <c r="V2573" s="113"/>
      <c r="W2573" s="114"/>
      <c r="X2573" s="92"/>
      <c r="Y2573" s="92"/>
      <c r="Z2573" s="92"/>
    </row>
    <row r="2574" spans="1:26" s="5" customFormat="1">
      <c r="A2574" s="92"/>
      <c r="B2574" s="92"/>
      <c r="C2574" s="92"/>
      <c r="D2574" s="92"/>
      <c r="E2574" s="92"/>
      <c r="F2574" s="92"/>
      <c r="G2574" s="92"/>
      <c r="H2574" s="113"/>
      <c r="I2574" s="92"/>
      <c r="J2574" s="92"/>
      <c r="K2574" s="92"/>
      <c r="L2574" s="113"/>
      <c r="M2574" s="92"/>
      <c r="N2574" s="92"/>
      <c r="O2574" s="92"/>
      <c r="P2574" s="92"/>
      <c r="Q2574" s="113"/>
      <c r="R2574" s="92"/>
      <c r="S2574" s="92"/>
      <c r="T2574" s="92"/>
      <c r="U2574" s="92"/>
      <c r="V2574" s="113"/>
      <c r="W2574" s="114"/>
      <c r="X2574" s="92"/>
      <c r="Y2574" s="92"/>
      <c r="Z2574" s="92"/>
    </row>
    <row r="2575" spans="1:26" s="5" customFormat="1">
      <c r="A2575" s="92"/>
      <c r="B2575" s="92"/>
      <c r="C2575" s="92"/>
      <c r="D2575" s="92"/>
      <c r="E2575" s="92"/>
      <c r="F2575" s="92"/>
      <c r="G2575" s="92"/>
      <c r="H2575" s="113"/>
      <c r="I2575" s="92"/>
      <c r="J2575" s="92"/>
      <c r="K2575" s="92"/>
      <c r="L2575" s="113"/>
      <c r="M2575" s="92"/>
      <c r="N2575" s="92"/>
      <c r="O2575" s="92"/>
      <c r="P2575" s="92"/>
      <c r="Q2575" s="113"/>
      <c r="R2575" s="92"/>
      <c r="S2575" s="92"/>
      <c r="T2575" s="92"/>
      <c r="U2575" s="92"/>
      <c r="V2575" s="113"/>
      <c r="W2575" s="114"/>
      <c r="X2575" s="92"/>
      <c r="Y2575" s="92"/>
      <c r="Z2575" s="92"/>
    </row>
    <row r="2576" spans="1:26" s="5" customFormat="1">
      <c r="A2576" s="92"/>
      <c r="B2576" s="92"/>
      <c r="C2576" s="92"/>
      <c r="D2576" s="92"/>
      <c r="E2576" s="92"/>
      <c r="F2576" s="92"/>
      <c r="G2576" s="92"/>
      <c r="H2576" s="113"/>
      <c r="I2576" s="92"/>
      <c r="J2576" s="92"/>
      <c r="K2576" s="92"/>
      <c r="L2576" s="113"/>
      <c r="M2576" s="92"/>
      <c r="N2576" s="92"/>
      <c r="O2576" s="92"/>
      <c r="P2576" s="92"/>
      <c r="Q2576" s="113"/>
      <c r="R2576" s="92"/>
      <c r="S2576" s="92"/>
      <c r="T2576" s="92"/>
      <c r="U2576" s="92"/>
      <c r="V2576" s="113"/>
      <c r="W2576" s="114"/>
      <c r="X2576" s="92"/>
      <c r="Y2576" s="92"/>
      <c r="Z2576" s="92"/>
    </row>
    <row r="2577" spans="1:26" s="5" customFormat="1">
      <c r="A2577" s="92"/>
      <c r="B2577" s="92"/>
      <c r="C2577" s="92"/>
      <c r="D2577" s="92"/>
      <c r="E2577" s="92"/>
      <c r="F2577" s="92"/>
      <c r="G2577" s="92"/>
      <c r="H2577" s="113"/>
      <c r="I2577" s="92"/>
      <c r="J2577" s="92"/>
      <c r="K2577" s="92"/>
      <c r="L2577" s="113"/>
      <c r="M2577" s="92"/>
      <c r="N2577" s="92"/>
      <c r="O2577" s="92"/>
      <c r="P2577" s="92"/>
      <c r="Q2577" s="113"/>
      <c r="R2577" s="92"/>
      <c r="S2577" s="92"/>
      <c r="T2577" s="92"/>
      <c r="U2577" s="92"/>
      <c r="V2577" s="113"/>
      <c r="W2577" s="114"/>
      <c r="X2577" s="92"/>
      <c r="Y2577" s="92"/>
      <c r="Z2577" s="92"/>
    </row>
    <row r="2578" spans="1:26" s="5" customFormat="1">
      <c r="A2578" s="92"/>
      <c r="B2578" s="92"/>
      <c r="C2578" s="92"/>
      <c r="D2578" s="92"/>
      <c r="E2578" s="92"/>
      <c r="F2578" s="92"/>
      <c r="G2578" s="92"/>
      <c r="H2578" s="113"/>
      <c r="I2578" s="92"/>
      <c r="J2578" s="92"/>
      <c r="K2578" s="92"/>
      <c r="L2578" s="113"/>
      <c r="M2578" s="92"/>
      <c r="N2578" s="92"/>
      <c r="O2578" s="92"/>
      <c r="P2578" s="92"/>
      <c r="Q2578" s="113"/>
      <c r="R2578" s="92"/>
      <c r="S2578" s="92"/>
      <c r="T2578" s="92"/>
      <c r="U2578" s="92"/>
      <c r="V2578" s="113"/>
      <c r="W2578" s="114"/>
      <c r="X2578" s="92"/>
      <c r="Y2578" s="92"/>
      <c r="Z2578" s="92"/>
    </row>
    <row r="2579" spans="1:26" s="5" customFormat="1">
      <c r="A2579" s="92"/>
      <c r="B2579" s="92"/>
      <c r="C2579" s="92"/>
      <c r="D2579" s="92"/>
      <c r="E2579" s="92"/>
      <c r="F2579" s="92"/>
      <c r="G2579" s="92"/>
      <c r="H2579" s="113"/>
      <c r="I2579" s="92"/>
      <c r="J2579" s="92"/>
      <c r="K2579" s="92"/>
      <c r="L2579" s="113"/>
      <c r="M2579" s="92"/>
      <c r="N2579" s="92"/>
      <c r="O2579" s="92"/>
      <c r="P2579" s="92"/>
      <c r="Q2579" s="113"/>
      <c r="R2579" s="92"/>
      <c r="S2579" s="92"/>
      <c r="T2579" s="92"/>
      <c r="U2579" s="92"/>
      <c r="V2579" s="113"/>
      <c r="W2579" s="114"/>
      <c r="X2579" s="92"/>
      <c r="Y2579" s="92"/>
      <c r="Z2579" s="92"/>
    </row>
    <row r="2580" spans="1:26" s="5" customFormat="1">
      <c r="A2580" s="92"/>
      <c r="B2580" s="92"/>
      <c r="C2580" s="92"/>
      <c r="D2580" s="92"/>
      <c r="E2580" s="92"/>
      <c r="F2580" s="92"/>
      <c r="G2580" s="92"/>
      <c r="H2580" s="113"/>
      <c r="I2580" s="92"/>
      <c r="J2580" s="92"/>
      <c r="K2580" s="92"/>
      <c r="L2580" s="113"/>
      <c r="M2580" s="92"/>
      <c r="N2580" s="92"/>
      <c r="O2580" s="92"/>
      <c r="P2580" s="92"/>
      <c r="Q2580" s="113"/>
      <c r="R2580" s="92"/>
      <c r="S2580" s="92"/>
      <c r="T2580" s="92"/>
      <c r="U2580" s="92"/>
      <c r="V2580" s="113"/>
      <c r="W2580" s="114"/>
      <c r="X2580" s="92"/>
      <c r="Y2580" s="92"/>
      <c r="Z2580" s="92"/>
    </row>
    <row r="2581" spans="1:26" s="5" customFormat="1">
      <c r="A2581" s="92"/>
      <c r="B2581" s="92"/>
      <c r="C2581" s="92"/>
      <c r="D2581" s="92"/>
      <c r="E2581" s="92"/>
      <c r="F2581" s="92"/>
      <c r="G2581" s="92"/>
      <c r="H2581" s="113"/>
      <c r="I2581" s="92"/>
      <c r="J2581" s="92"/>
      <c r="K2581" s="92"/>
      <c r="L2581" s="113"/>
      <c r="M2581" s="92"/>
      <c r="N2581" s="92"/>
      <c r="O2581" s="92"/>
      <c r="P2581" s="92"/>
      <c r="Q2581" s="113"/>
      <c r="R2581" s="92"/>
      <c r="S2581" s="92"/>
      <c r="T2581" s="92"/>
      <c r="U2581" s="92"/>
      <c r="V2581" s="113"/>
      <c r="W2581" s="114"/>
      <c r="X2581" s="92"/>
      <c r="Y2581" s="92"/>
      <c r="Z2581" s="92"/>
    </row>
    <row r="2582" spans="1:26" s="5" customFormat="1">
      <c r="A2582" s="92"/>
      <c r="B2582" s="92"/>
      <c r="C2582" s="92"/>
      <c r="D2582" s="92"/>
      <c r="E2582" s="92"/>
      <c r="F2582" s="92"/>
      <c r="G2582" s="92"/>
      <c r="H2582" s="113"/>
      <c r="I2582" s="92"/>
      <c r="J2582" s="92"/>
      <c r="K2582" s="92"/>
      <c r="L2582" s="113"/>
      <c r="M2582" s="92"/>
      <c r="N2582" s="92"/>
      <c r="O2582" s="92"/>
      <c r="P2582" s="92"/>
      <c r="Q2582" s="113"/>
      <c r="R2582" s="92"/>
      <c r="S2582" s="92"/>
      <c r="T2582" s="92"/>
      <c r="U2582" s="92"/>
      <c r="V2582" s="113"/>
      <c r="W2582" s="114"/>
      <c r="X2582" s="92"/>
      <c r="Y2582" s="92"/>
      <c r="Z2582" s="92"/>
    </row>
    <row r="2583" spans="1:26" s="5" customFormat="1">
      <c r="A2583" s="92"/>
      <c r="B2583" s="92"/>
      <c r="C2583" s="92"/>
      <c r="D2583" s="92"/>
      <c r="E2583" s="92"/>
      <c r="F2583" s="92"/>
      <c r="G2583" s="92"/>
      <c r="H2583" s="113"/>
      <c r="I2583" s="92"/>
      <c r="J2583" s="92"/>
      <c r="K2583" s="92"/>
      <c r="L2583" s="113"/>
      <c r="M2583" s="92"/>
      <c r="N2583" s="92"/>
      <c r="O2583" s="92"/>
      <c r="P2583" s="92"/>
      <c r="Q2583" s="113"/>
      <c r="R2583" s="92"/>
      <c r="S2583" s="92"/>
      <c r="T2583" s="92"/>
      <c r="U2583" s="92"/>
      <c r="V2583" s="113"/>
      <c r="W2583" s="114"/>
      <c r="X2583" s="92"/>
      <c r="Y2583" s="92"/>
      <c r="Z2583" s="92"/>
    </row>
    <row r="2584" spans="1:26" s="5" customFormat="1">
      <c r="A2584" s="92"/>
      <c r="B2584" s="92"/>
      <c r="C2584" s="92"/>
      <c r="D2584" s="92"/>
      <c r="E2584" s="92"/>
      <c r="F2584" s="92"/>
      <c r="G2584" s="92"/>
      <c r="H2584" s="113"/>
      <c r="I2584" s="92"/>
      <c r="J2584" s="92"/>
      <c r="K2584" s="92"/>
      <c r="L2584" s="113"/>
      <c r="M2584" s="92"/>
      <c r="N2584" s="92"/>
      <c r="O2584" s="92"/>
      <c r="P2584" s="92"/>
      <c r="Q2584" s="113"/>
      <c r="R2584" s="92"/>
      <c r="S2584" s="92"/>
      <c r="T2584" s="92"/>
      <c r="U2584" s="92"/>
      <c r="V2584" s="113"/>
      <c r="W2584" s="114"/>
      <c r="X2584" s="92"/>
      <c r="Y2584" s="92"/>
      <c r="Z2584" s="92"/>
    </row>
    <row r="2585" spans="1:26" s="5" customFormat="1">
      <c r="A2585" s="92"/>
      <c r="B2585" s="92"/>
      <c r="C2585" s="92"/>
      <c r="D2585" s="92"/>
      <c r="E2585" s="92"/>
      <c r="F2585" s="92"/>
      <c r="G2585" s="92"/>
      <c r="H2585" s="113"/>
      <c r="I2585" s="92"/>
      <c r="J2585" s="92"/>
      <c r="K2585" s="92"/>
      <c r="L2585" s="113"/>
      <c r="M2585" s="92"/>
      <c r="N2585" s="92"/>
      <c r="O2585" s="92"/>
      <c r="P2585" s="92"/>
      <c r="Q2585" s="113"/>
      <c r="R2585" s="92"/>
      <c r="S2585" s="92"/>
      <c r="T2585" s="92"/>
      <c r="U2585" s="92"/>
      <c r="V2585" s="113"/>
      <c r="W2585" s="114"/>
      <c r="X2585" s="92"/>
      <c r="Y2585" s="92"/>
      <c r="Z2585" s="92"/>
    </row>
    <row r="2586" spans="1:26" s="5" customFormat="1">
      <c r="A2586" s="92"/>
      <c r="B2586" s="92"/>
      <c r="C2586" s="92"/>
      <c r="D2586" s="92"/>
      <c r="E2586" s="92"/>
      <c r="F2586" s="92"/>
      <c r="G2586" s="92"/>
      <c r="H2586" s="113"/>
      <c r="I2586" s="92"/>
      <c r="J2586" s="92"/>
      <c r="K2586" s="92"/>
      <c r="L2586" s="113"/>
      <c r="M2586" s="92"/>
      <c r="N2586" s="92"/>
      <c r="O2586" s="92"/>
      <c r="P2586" s="92"/>
      <c r="Q2586" s="113"/>
      <c r="R2586" s="92"/>
      <c r="S2586" s="92"/>
      <c r="T2586" s="92"/>
      <c r="U2586" s="92"/>
      <c r="V2586" s="113"/>
      <c r="W2586" s="114"/>
      <c r="X2586" s="92"/>
      <c r="Y2586" s="92"/>
      <c r="Z2586" s="92"/>
    </row>
    <row r="2587" spans="1:26" s="5" customFormat="1">
      <c r="A2587" s="92"/>
      <c r="B2587" s="92"/>
      <c r="C2587" s="92"/>
      <c r="D2587" s="92"/>
      <c r="E2587" s="92"/>
      <c r="F2587" s="92"/>
      <c r="G2587" s="92"/>
      <c r="H2587" s="113"/>
      <c r="I2587" s="92"/>
      <c r="J2587" s="92"/>
      <c r="K2587" s="92"/>
      <c r="L2587" s="113"/>
      <c r="M2587" s="92"/>
      <c r="N2587" s="92"/>
      <c r="O2587" s="92"/>
      <c r="P2587" s="92"/>
      <c r="Q2587" s="113"/>
      <c r="R2587" s="92"/>
      <c r="S2587" s="92"/>
      <c r="T2587" s="92"/>
      <c r="U2587" s="92"/>
      <c r="V2587" s="113"/>
      <c r="W2587" s="114"/>
      <c r="X2587" s="92"/>
      <c r="Y2587" s="92"/>
      <c r="Z2587" s="92"/>
    </row>
    <row r="2588" spans="1:26" s="5" customFormat="1">
      <c r="A2588" s="92"/>
      <c r="B2588" s="92"/>
      <c r="C2588" s="92"/>
      <c r="D2588" s="92"/>
      <c r="E2588" s="92"/>
      <c r="F2588" s="92"/>
      <c r="G2588" s="92"/>
      <c r="H2588" s="113"/>
      <c r="I2588" s="92"/>
      <c r="J2588" s="92"/>
      <c r="K2588" s="92"/>
      <c r="L2588" s="113"/>
      <c r="M2588" s="92"/>
      <c r="N2588" s="92"/>
      <c r="O2588" s="92"/>
      <c r="P2588" s="92"/>
      <c r="Q2588" s="113"/>
      <c r="R2588" s="92"/>
      <c r="S2588" s="92"/>
      <c r="T2588" s="92"/>
      <c r="U2588" s="92"/>
      <c r="V2588" s="113"/>
      <c r="W2588" s="114"/>
      <c r="X2588" s="92"/>
      <c r="Y2588" s="92"/>
      <c r="Z2588" s="92"/>
    </row>
    <row r="2589" spans="1:26" s="5" customFormat="1">
      <c r="A2589" s="92"/>
      <c r="B2589" s="92"/>
      <c r="C2589" s="92"/>
      <c r="D2589" s="92"/>
      <c r="E2589" s="92"/>
      <c r="F2589" s="92"/>
      <c r="G2589" s="92"/>
      <c r="H2589" s="113"/>
      <c r="I2589" s="92"/>
      <c r="J2589" s="92"/>
      <c r="K2589" s="92"/>
      <c r="L2589" s="113"/>
      <c r="M2589" s="92"/>
      <c r="N2589" s="92"/>
      <c r="O2589" s="92"/>
      <c r="P2589" s="92"/>
      <c r="Q2589" s="113"/>
      <c r="R2589" s="92"/>
      <c r="S2589" s="92"/>
      <c r="T2589" s="92"/>
      <c r="U2589" s="92"/>
      <c r="V2589" s="113"/>
      <c r="W2589" s="114"/>
      <c r="X2589" s="92"/>
      <c r="Y2589" s="92"/>
      <c r="Z2589" s="92"/>
    </row>
    <row r="2590" spans="1:26" s="5" customFormat="1">
      <c r="A2590" s="92"/>
      <c r="B2590" s="92"/>
      <c r="C2590" s="92"/>
      <c r="D2590" s="92"/>
      <c r="E2590" s="92"/>
      <c r="F2590" s="92"/>
      <c r="G2590" s="92"/>
      <c r="H2590" s="113"/>
      <c r="I2590" s="92"/>
      <c r="J2590" s="92"/>
      <c r="K2590" s="92"/>
      <c r="L2590" s="113"/>
      <c r="M2590" s="92"/>
      <c r="N2590" s="92"/>
      <c r="O2590" s="92"/>
      <c r="P2590" s="92"/>
      <c r="Q2590" s="113"/>
      <c r="R2590" s="92"/>
      <c r="S2590" s="92"/>
      <c r="T2590" s="92"/>
      <c r="U2590" s="92"/>
      <c r="V2590" s="113"/>
      <c r="W2590" s="114"/>
      <c r="X2590" s="92"/>
      <c r="Y2590" s="92"/>
      <c r="Z2590" s="92"/>
    </row>
    <row r="2591" spans="1:26" s="5" customFormat="1">
      <c r="A2591" s="92"/>
      <c r="B2591" s="92"/>
      <c r="C2591" s="92"/>
      <c r="D2591" s="92"/>
      <c r="E2591" s="92"/>
      <c r="F2591" s="92"/>
      <c r="G2591" s="92"/>
      <c r="H2591" s="113"/>
      <c r="I2591" s="92"/>
      <c r="J2591" s="92"/>
      <c r="K2591" s="92"/>
      <c r="L2591" s="113"/>
      <c r="M2591" s="92"/>
      <c r="N2591" s="92"/>
      <c r="O2591" s="92"/>
      <c r="P2591" s="92"/>
      <c r="Q2591" s="113"/>
      <c r="R2591" s="92"/>
      <c r="S2591" s="92"/>
      <c r="T2591" s="92"/>
      <c r="U2591" s="92"/>
      <c r="V2591" s="113"/>
      <c r="W2591" s="114"/>
      <c r="X2591" s="92"/>
      <c r="Y2591" s="92"/>
      <c r="Z2591" s="92"/>
    </row>
    <row r="2592" spans="1:26" s="5" customFormat="1">
      <c r="A2592" s="92"/>
      <c r="B2592" s="92"/>
      <c r="C2592" s="92"/>
      <c r="D2592" s="92"/>
      <c r="E2592" s="92"/>
      <c r="F2592" s="92"/>
      <c r="G2592" s="92"/>
      <c r="H2592" s="113"/>
      <c r="I2592" s="92"/>
      <c r="J2592" s="92"/>
      <c r="K2592" s="92"/>
      <c r="L2592" s="113"/>
      <c r="M2592" s="92"/>
      <c r="N2592" s="92"/>
      <c r="O2592" s="92"/>
      <c r="P2592" s="92"/>
      <c r="Q2592" s="113"/>
      <c r="R2592" s="92"/>
      <c r="S2592" s="92"/>
      <c r="T2592" s="92"/>
      <c r="U2592" s="92"/>
      <c r="V2592" s="113"/>
      <c r="W2592" s="114"/>
      <c r="X2592" s="92"/>
      <c r="Y2592" s="92"/>
      <c r="Z2592" s="92"/>
    </row>
    <row r="2593" spans="1:26" s="5" customFormat="1">
      <c r="A2593" s="92"/>
      <c r="B2593" s="92"/>
      <c r="C2593" s="92"/>
      <c r="D2593" s="92"/>
      <c r="E2593" s="92"/>
      <c r="F2593" s="92"/>
      <c r="G2593" s="92"/>
      <c r="H2593" s="113"/>
      <c r="I2593" s="92"/>
      <c r="J2593" s="92"/>
      <c r="K2593" s="92"/>
      <c r="L2593" s="113"/>
      <c r="M2593" s="92"/>
      <c r="N2593" s="92"/>
      <c r="O2593" s="92"/>
      <c r="P2593" s="92"/>
      <c r="Q2593" s="113"/>
      <c r="R2593" s="92"/>
      <c r="S2593" s="92"/>
      <c r="T2593" s="92"/>
      <c r="U2593" s="92"/>
      <c r="V2593" s="113"/>
      <c r="W2593" s="114"/>
      <c r="X2593" s="92"/>
      <c r="Y2593" s="92"/>
      <c r="Z2593" s="92"/>
    </row>
    <row r="2594" spans="1:26" s="5" customFormat="1">
      <c r="A2594" s="92"/>
      <c r="B2594" s="92"/>
      <c r="C2594" s="92"/>
      <c r="D2594" s="92"/>
      <c r="E2594" s="92"/>
      <c r="F2594" s="92"/>
      <c r="G2594" s="92"/>
      <c r="H2594" s="113"/>
      <c r="I2594" s="92"/>
      <c r="J2594" s="92"/>
      <c r="K2594" s="92"/>
      <c r="L2594" s="113"/>
      <c r="M2594" s="92"/>
      <c r="N2594" s="92"/>
      <c r="O2594" s="92"/>
      <c r="P2594" s="92"/>
      <c r="Q2594" s="113"/>
      <c r="R2594" s="92"/>
      <c r="S2594" s="92"/>
      <c r="T2594" s="92"/>
      <c r="U2594" s="92"/>
      <c r="V2594" s="113"/>
      <c r="W2594" s="114"/>
      <c r="X2594" s="92"/>
      <c r="Y2594" s="92"/>
      <c r="Z2594" s="92"/>
    </row>
    <row r="2595" spans="1:26" s="5" customFormat="1">
      <c r="A2595" s="92"/>
      <c r="B2595" s="92"/>
      <c r="C2595" s="92"/>
      <c r="D2595" s="92"/>
      <c r="E2595" s="92"/>
      <c r="F2595" s="92"/>
      <c r="G2595" s="92"/>
      <c r="H2595" s="113"/>
      <c r="I2595" s="92"/>
      <c r="J2595" s="92"/>
      <c r="K2595" s="92"/>
      <c r="L2595" s="113"/>
      <c r="M2595" s="92"/>
      <c r="N2595" s="92"/>
      <c r="O2595" s="92"/>
      <c r="P2595" s="92"/>
      <c r="Q2595" s="113"/>
      <c r="R2595" s="92"/>
      <c r="S2595" s="92"/>
      <c r="T2595" s="92"/>
      <c r="U2595" s="92"/>
      <c r="V2595" s="113"/>
      <c r="W2595" s="114"/>
      <c r="X2595" s="92"/>
      <c r="Y2595" s="92"/>
      <c r="Z2595" s="92"/>
    </row>
    <row r="2596" spans="1:26" s="5" customFormat="1">
      <c r="A2596" s="92"/>
      <c r="B2596" s="92"/>
      <c r="C2596" s="92"/>
      <c r="D2596" s="92"/>
      <c r="E2596" s="92"/>
      <c r="F2596" s="92"/>
      <c r="G2596" s="92"/>
      <c r="H2596" s="113"/>
      <c r="I2596" s="92"/>
      <c r="J2596" s="92"/>
      <c r="K2596" s="92"/>
      <c r="L2596" s="113"/>
      <c r="M2596" s="92"/>
      <c r="N2596" s="92"/>
      <c r="O2596" s="92"/>
      <c r="P2596" s="92"/>
      <c r="Q2596" s="113"/>
      <c r="R2596" s="92"/>
      <c r="S2596" s="92"/>
      <c r="T2596" s="92"/>
      <c r="U2596" s="92"/>
      <c r="V2596" s="113"/>
      <c r="W2596" s="114"/>
      <c r="X2596" s="92"/>
      <c r="Y2596" s="92"/>
      <c r="Z2596" s="92"/>
    </row>
    <row r="2597" spans="1:26" s="5" customFormat="1">
      <c r="A2597" s="92"/>
      <c r="B2597" s="92"/>
      <c r="C2597" s="92"/>
      <c r="D2597" s="92"/>
      <c r="E2597" s="92"/>
      <c r="F2597" s="92"/>
      <c r="G2597" s="92"/>
      <c r="H2597" s="113"/>
      <c r="I2597" s="92"/>
      <c r="J2597" s="92"/>
      <c r="K2597" s="92"/>
      <c r="L2597" s="113"/>
      <c r="M2597" s="92"/>
      <c r="N2597" s="92"/>
      <c r="O2597" s="92"/>
      <c r="P2597" s="92"/>
      <c r="Q2597" s="113"/>
      <c r="R2597" s="92"/>
      <c r="S2597" s="92"/>
      <c r="T2597" s="92"/>
      <c r="U2597" s="92"/>
      <c r="V2597" s="113"/>
      <c r="W2597" s="114"/>
      <c r="X2597" s="92"/>
      <c r="Y2597" s="92"/>
      <c r="Z2597" s="92"/>
    </row>
    <row r="2598" spans="1:26" s="5" customFormat="1">
      <c r="A2598" s="92"/>
      <c r="B2598" s="92"/>
      <c r="C2598" s="92"/>
      <c r="D2598" s="92"/>
      <c r="E2598" s="92"/>
      <c r="F2598" s="92"/>
      <c r="G2598" s="92"/>
      <c r="H2598" s="113"/>
      <c r="I2598" s="92"/>
      <c r="J2598" s="92"/>
      <c r="K2598" s="92"/>
      <c r="L2598" s="113"/>
      <c r="M2598" s="92"/>
      <c r="N2598" s="92"/>
      <c r="O2598" s="92"/>
      <c r="P2598" s="92"/>
      <c r="Q2598" s="113"/>
      <c r="R2598" s="92"/>
      <c r="S2598" s="92"/>
      <c r="T2598" s="92"/>
      <c r="U2598" s="92"/>
      <c r="V2598" s="113"/>
      <c r="W2598" s="114"/>
      <c r="X2598" s="92"/>
      <c r="Y2598" s="92"/>
      <c r="Z2598" s="92"/>
    </row>
    <row r="2599" spans="1:26" s="5" customFormat="1">
      <c r="A2599" s="92"/>
      <c r="B2599" s="92"/>
      <c r="C2599" s="92"/>
      <c r="D2599" s="92"/>
      <c r="E2599" s="92"/>
      <c r="F2599" s="92"/>
      <c r="G2599" s="92"/>
      <c r="H2599" s="113"/>
      <c r="I2599" s="92"/>
      <c r="J2599" s="92"/>
      <c r="K2599" s="92"/>
      <c r="L2599" s="113"/>
      <c r="M2599" s="92"/>
      <c r="N2599" s="92"/>
      <c r="O2599" s="92"/>
      <c r="P2599" s="92"/>
      <c r="Q2599" s="113"/>
      <c r="R2599" s="92"/>
      <c r="S2599" s="92"/>
      <c r="T2599" s="92"/>
      <c r="U2599" s="92"/>
      <c r="V2599" s="113"/>
      <c r="W2599" s="114"/>
      <c r="X2599" s="92"/>
      <c r="Y2599" s="92"/>
      <c r="Z2599" s="92"/>
    </row>
    <row r="2600" spans="1:26" s="5" customFormat="1">
      <c r="A2600" s="92"/>
      <c r="B2600" s="92"/>
      <c r="C2600" s="92"/>
      <c r="D2600" s="92"/>
      <c r="E2600" s="92"/>
      <c r="F2600" s="92"/>
      <c r="G2600" s="92"/>
      <c r="H2600" s="113"/>
      <c r="I2600" s="92"/>
      <c r="J2600" s="92"/>
      <c r="K2600" s="92"/>
      <c r="L2600" s="113"/>
      <c r="M2600" s="92"/>
      <c r="N2600" s="92"/>
      <c r="O2600" s="92"/>
      <c r="P2600" s="92"/>
      <c r="Q2600" s="113"/>
      <c r="R2600" s="92"/>
      <c r="S2600" s="92"/>
      <c r="T2600" s="92"/>
      <c r="U2600" s="92"/>
      <c r="V2600" s="113"/>
      <c r="W2600" s="114"/>
      <c r="X2600" s="92"/>
      <c r="Y2600" s="92"/>
      <c r="Z2600" s="92"/>
    </row>
    <row r="2601" spans="1:26" s="5" customFormat="1">
      <c r="A2601" s="92"/>
      <c r="B2601" s="92"/>
      <c r="C2601" s="92"/>
      <c r="D2601" s="92"/>
      <c r="E2601" s="92"/>
      <c r="F2601" s="92"/>
      <c r="G2601" s="92"/>
      <c r="H2601" s="113"/>
      <c r="I2601" s="92"/>
      <c r="J2601" s="92"/>
      <c r="K2601" s="92"/>
      <c r="L2601" s="113"/>
      <c r="M2601" s="92"/>
      <c r="N2601" s="92"/>
      <c r="O2601" s="92"/>
      <c r="P2601" s="92"/>
      <c r="Q2601" s="113"/>
      <c r="R2601" s="92"/>
      <c r="S2601" s="92"/>
      <c r="T2601" s="92"/>
      <c r="U2601" s="92"/>
      <c r="V2601" s="113"/>
      <c r="W2601" s="114"/>
      <c r="X2601" s="92"/>
      <c r="Y2601" s="92"/>
      <c r="Z2601" s="92"/>
    </row>
    <row r="2602" spans="1:26" s="5" customFormat="1">
      <c r="A2602" s="92"/>
      <c r="B2602" s="92"/>
      <c r="C2602" s="92"/>
      <c r="D2602" s="92"/>
      <c r="E2602" s="92"/>
      <c r="F2602" s="92"/>
      <c r="G2602" s="92"/>
      <c r="H2602" s="113"/>
      <c r="I2602" s="92"/>
      <c r="J2602" s="92"/>
      <c r="K2602" s="92"/>
      <c r="L2602" s="113"/>
      <c r="M2602" s="92"/>
      <c r="N2602" s="92"/>
      <c r="O2602" s="92"/>
      <c r="P2602" s="92"/>
      <c r="Q2602" s="113"/>
      <c r="R2602" s="92"/>
      <c r="S2602" s="92"/>
      <c r="T2602" s="92"/>
      <c r="U2602" s="92"/>
      <c r="V2602" s="113"/>
      <c r="W2602" s="114"/>
      <c r="X2602" s="92"/>
      <c r="Y2602" s="92"/>
      <c r="Z2602" s="92"/>
    </row>
    <row r="2603" spans="1:26" s="5" customFormat="1">
      <c r="A2603" s="92"/>
      <c r="B2603" s="92"/>
      <c r="C2603" s="92"/>
      <c r="D2603" s="92"/>
      <c r="E2603" s="92"/>
      <c r="F2603" s="92"/>
      <c r="G2603" s="92"/>
      <c r="H2603" s="113"/>
      <c r="I2603" s="92"/>
      <c r="J2603" s="92"/>
      <c r="K2603" s="92"/>
      <c r="L2603" s="113"/>
      <c r="M2603" s="92"/>
      <c r="N2603" s="92"/>
      <c r="O2603" s="92"/>
      <c r="P2603" s="92"/>
      <c r="Q2603" s="113"/>
      <c r="R2603" s="92"/>
      <c r="S2603" s="92"/>
      <c r="T2603" s="92"/>
      <c r="U2603" s="92"/>
      <c r="V2603" s="113"/>
      <c r="W2603" s="114"/>
      <c r="X2603" s="92"/>
      <c r="Y2603" s="92"/>
      <c r="Z2603" s="92"/>
    </row>
    <row r="2604" spans="1:26" s="5" customFormat="1">
      <c r="A2604" s="92"/>
      <c r="B2604" s="92"/>
      <c r="C2604" s="92"/>
      <c r="D2604" s="92"/>
      <c r="E2604" s="92"/>
      <c r="F2604" s="92"/>
      <c r="G2604" s="92"/>
      <c r="H2604" s="113"/>
      <c r="I2604" s="92"/>
      <c r="J2604" s="92"/>
      <c r="K2604" s="92"/>
      <c r="L2604" s="113"/>
      <c r="M2604" s="92"/>
      <c r="N2604" s="92"/>
      <c r="O2604" s="92"/>
      <c r="P2604" s="92"/>
      <c r="Q2604" s="113"/>
      <c r="R2604" s="92"/>
      <c r="S2604" s="92"/>
      <c r="T2604" s="92"/>
      <c r="U2604" s="92"/>
      <c r="V2604" s="113"/>
      <c r="W2604" s="114"/>
      <c r="X2604" s="92"/>
      <c r="Y2604" s="92"/>
      <c r="Z2604" s="92"/>
    </row>
    <row r="2605" spans="1:26" s="5" customFormat="1">
      <c r="A2605" s="92"/>
      <c r="B2605" s="92"/>
      <c r="C2605" s="92"/>
      <c r="D2605" s="92"/>
      <c r="E2605" s="92"/>
      <c r="F2605" s="92"/>
      <c r="G2605" s="92"/>
      <c r="H2605" s="113"/>
      <c r="I2605" s="92"/>
      <c r="J2605" s="92"/>
      <c r="K2605" s="92"/>
      <c r="L2605" s="113"/>
      <c r="M2605" s="92"/>
      <c r="N2605" s="92"/>
      <c r="O2605" s="92"/>
      <c r="P2605" s="92"/>
      <c r="Q2605" s="113"/>
      <c r="R2605" s="92"/>
      <c r="S2605" s="92"/>
      <c r="T2605" s="92"/>
      <c r="U2605" s="92"/>
      <c r="V2605" s="113"/>
      <c r="W2605" s="114"/>
      <c r="X2605" s="92"/>
      <c r="Y2605" s="92"/>
      <c r="Z2605" s="92"/>
    </row>
    <row r="2606" spans="1:26" s="5" customFormat="1">
      <c r="A2606" s="92"/>
      <c r="B2606" s="92"/>
      <c r="C2606" s="92"/>
      <c r="D2606" s="92"/>
      <c r="E2606" s="92"/>
      <c r="F2606" s="92"/>
      <c r="G2606" s="92"/>
      <c r="H2606" s="113"/>
      <c r="I2606" s="92"/>
      <c r="J2606" s="92"/>
      <c r="K2606" s="92"/>
      <c r="L2606" s="113"/>
      <c r="M2606" s="92"/>
      <c r="N2606" s="92"/>
      <c r="O2606" s="92"/>
      <c r="P2606" s="92"/>
      <c r="Q2606" s="113"/>
      <c r="R2606" s="92"/>
      <c r="S2606" s="92"/>
      <c r="T2606" s="92"/>
      <c r="U2606" s="92"/>
      <c r="V2606" s="113"/>
      <c r="W2606" s="114"/>
      <c r="X2606" s="92"/>
      <c r="Y2606" s="92"/>
      <c r="Z2606" s="92"/>
    </row>
    <row r="2607" spans="1:26" s="5" customFormat="1">
      <c r="A2607" s="92"/>
      <c r="B2607" s="92"/>
      <c r="C2607" s="92"/>
      <c r="D2607" s="92"/>
      <c r="E2607" s="92"/>
      <c r="F2607" s="92"/>
      <c r="G2607" s="92"/>
      <c r="H2607" s="113"/>
      <c r="I2607" s="92"/>
      <c r="J2607" s="92"/>
      <c r="K2607" s="92"/>
      <c r="L2607" s="113"/>
      <c r="M2607" s="92"/>
      <c r="N2607" s="92"/>
      <c r="O2607" s="92"/>
      <c r="P2607" s="92"/>
      <c r="Q2607" s="113"/>
      <c r="R2607" s="92"/>
      <c r="S2607" s="92"/>
      <c r="T2607" s="92"/>
      <c r="U2607" s="92"/>
      <c r="V2607" s="113"/>
      <c r="W2607" s="114"/>
      <c r="X2607" s="92"/>
      <c r="Y2607" s="92"/>
      <c r="Z2607" s="92"/>
    </row>
    <row r="2608" spans="1:26" s="5" customFormat="1">
      <c r="A2608" s="92"/>
      <c r="B2608" s="92"/>
      <c r="C2608" s="92"/>
      <c r="D2608" s="92"/>
      <c r="E2608" s="92"/>
      <c r="F2608" s="92"/>
      <c r="G2608" s="92"/>
      <c r="H2608" s="113"/>
      <c r="I2608" s="92"/>
      <c r="J2608" s="92"/>
      <c r="K2608" s="92"/>
      <c r="L2608" s="113"/>
      <c r="M2608" s="92"/>
      <c r="N2608" s="92"/>
      <c r="O2608" s="92"/>
      <c r="P2608" s="92"/>
      <c r="Q2608" s="113"/>
      <c r="R2608" s="92"/>
      <c r="S2608" s="92"/>
      <c r="T2608" s="92"/>
      <c r="U2608" s="92"/>
      <c r="V2608" s="113"/>
      <c r="W2608" s="114"/>
      <c r="X2608" s="92"/>
      <c r="Y2608" s="92"/>
      <c r="Z2608" s="92"/>
    </row>
    <row r="2609" spans="1:26" s="5" customFormat="1">
      <c r="A2609" s="92"/>
      <c r="B2609" s="92"/>
      <c r="C2609" s="92"/>
      <c r="D2609" s="92"/>
      <c r="E2609" s="92"/>
      <c r="F2609" s="92"/>
      <c r="G2609" s="92"/>
      <c r="H2609" s="113"/>
      <c r="I2609" s="92"/>
      <c r="J2609" s="92"/>
      <c r="K2609" s="92"/>
      <c r="L2609" s="113"/>
      <c r="M2609" s="92"/>
      <c r="N2609" s="92"/>
      <c r="O2609" s="92"/>
      <c r="P2609" s="92"/>
      <c r="Q2609" s="113"/>
      <c r="R2609" s="92"/>
      <c r="S2609" s="92"/>
      <c r="T2609" s="92"/>
      <c r="U2609" s="92"/>
      <c r="V2609" s="113"/>
      <c r="W2609" s="114"/>
      <c r="X2609" s="92"/>
      <c r="Y2609" s="92"/>
      <c r="Z2609" s="92"/>
    </row>
    <row r="2610" spans="1:26" s="5" customFormat="1">
      <c r="A2610" s="92"/>
      <c r="B2610" s="92"/>
      <c r="C2610" s="92"/>
      <c r="D2610" s="92"/>
      <c r="E2610" s="92"/>
      <c r="F2610" s="92"/>
      <c r="G2610" s="92"/>
      <c r="H2610" s="113"/>
      <c r="I2610" s="92"/>
      <c r="J2610" s="92"/>
      <c r="K2610" s="92"/>
      <c r="L2610" s="113"/>
      <c r="M2610" s="92"/>
      <c r="N2610" s="92"/>
      <c r="O2610" s="92"/>
      <c r="P2610" s="92"/>
      <c r="Q2610" s="113"/>
      <c r="R2610" s="92"/>
      <c r="S2610" s="92"/>
      <c r="T2610" s="92"/>
      <c r="U2610" s="92"/>
      <c r="V2610" s="113"/>
      <c r="W2610" s="114"/>
      <c r="X2610" s="92"/>
      <c r="Y2610" s="92"/>
      <c r="Z2610" s="92"/>
    </row>
    <row r="2611" spans="1:26" s="5" customFormat="1">
      <c r="A2611" s="92"/>
      <c r="B2611" s="92"/>
      <c r="C2611" s="92"/>
      <c r="D2611" s="92"/>
      <c r="E2611" s="92"/>
      <c r="F2611" s="92"/>
      <c r="G2611" s="92"/>
      <c r="H2611" s="113"/>
      <c r="I2611" s="92"/>
      <c r="J2611" s="92"/>
      <c r="K2611" s="92"/>
      <c r="L2611" s="113"/>
      <c r="M2611" s="92"/>
      <c r="N2611" s="92"/>
      <c r="O2611" s="92"/>
      <c r="P2611" s="92"/>
      <c r="Q2611" s="113"/>
      <c r="R2611" s="92"/>
      <c r="S2611" s="92"/>
      <c r="T2611" s="92"/>
      <c r="U2611" s="92"/>
      <c r="V2611" s="113"/>
      <c r="W2611" s="114"/>
      <c r="X2611" s="92"/>
      <c r="Y2611" s="92"/>
      <c r="Z2611" s="92"/>
    </row>
    <row r="2612" spans="1:26" s="5" customFormat="1">
      <c r="A2612" s="92"/>
      <c r="B2612" s="92"/>
      <c r="C2612" s="92"/>
      <c r="D2612" s="92"/>
      <c r="E2612" s="92"/>
      <c r="F2612" s="92"/>
      <c r="G2612" s="92"/>
      <c r="H2612" s="113"/>
      <c r="I2612" s="92"/>
      <c r="J2612" s="92"/>
      <c r="K2612" s="92"/>
      <c r="L2612" s="113"/>
      <c r="M2612" s="92"/>
      <c r="N2612" s="92"/>
      <c r="O2612" s="92"/>
      <c r="P2612" s="92"/>
      <c r="Q2612" s="113"/>
      <c r="R2612" s="92"/>
      <c r="S2612" s="92"/>
      <c r="T2612" s="92"/>
      <c r="U2612" s="92"/>
      <c r="V2612" s="113"/>
      <c r="W2612" s="114"/>
      <c r="X2612" s="92"/>
      <c r="Y2612" s="92"/>
      <c r="Z2612" s="92"/>
    </row>
    <row r="2613" spans="1:26" s="5" customFormat="1">
      <c r="A2613" s="92"/>
      <c r="B2613" s="92"/>
      <c r="C2613" s="92"/>
      <c r="D2613" s="92"/>
      <c r="E2613" s="92"/>
      <c r="F2613" s="92"/>
      <c r="G2613" s="92"/>
      <c r="H2613" s="113"/>
      <c r="I2613" s="92"/>
      <c r="J2613" s="92"/>
      <c r="K2613" s="92"/>
      <c r="L2613" s="113"/>
      <c r="M2613" s="92"/>
      <c r="N2613" s="92"/>
      <c r="O2613" s="92"/>
      <c r="P2613" s="92"/>
      <c r="Q2613" s="113"/>
      <c r="R2613" s="92"/>
      <c r="S2613" s="92"/>
      <c r="T2613" s="92"/>
      <c r="U2613" s="92"/>
      <c r="V2613" s="113"/>
      <c r="W2613" s="114"/>
      <c r="X2613" s="92"/>
      <c r="Y2613" s="92"/>
      <c r="Z2613" s="92"/>
    </row>
    <row r="2614" spans="1:26" s="5" customFormat="1">
      <c r="A2614" s="92"/>
      <c r="B2614" s="92"/>
      <c r="C2614" s="92"/>
      <c r="D2614" s="92"/>
      <c r="E2614" s="92"/>
      <c r="F2614" s="92"/>
      <c r="G2614" s="92"/>
      <c r="H2614" s="113"/>
      <c r="I2614" s="92"/>
      <c r="J2614" s="92"/>
      <c r="K2614" s="92"/>
      <c r="L2614" s="113"/>
      <c r="M2614" s="92"/>
      <c r="N2614" s="92"/>
      <c r="O2614" s="92"/>
      <c r="P2614" s="92"/>
      <c r="Q2614" s="113"/>
      <c r="R2614" s="92"/>
      <c r="S2614" s="92"/>
      <c r="T2614" s="92"/>
      <c r="U2614" s="92"/>
      <c r="V2614" s="113"/>
      <c r="W2614" s="114"/>
      <c r="X2614" s="92"/>
      <c r="Y2614" s="92"/>
      <c r="Z2614" s="92"/>
    </row>
    <row r="2615" spans="1:26" s="5" customFormat="1">
      <c r="A2615" s="92"/>
      <c r="B2615" s="92"/>
      <c r="C2615" s="92"/>
      <c r="D2615" s="92"/>
      <c r="E2615" s="92"/>
      <c r="F2615" s="92"/>
      <c r="G2615" s="92"/>
      <c r="H2615" s="113"/>
      <c r="I2615" s="92"/>
      <c r="J2615" s="92"/>
      <c r="K2615" s="92"/>
      <c r="L2615" s="113"/>
      <c r="M2615" s="92"/>
      <c r="N2615" s="92"/>
      <c r="O2615" s="92"/>
      <c r="P2615" s="92"/>
      <c r="Q2615" s="113"/>
      <c r="R2615" s="92"/>
      <c r="S2615" s="92"/>
      <c r="T2615" s="92"/>
      <c r="U2615" s="92"/>
      <c r="V2615" s="113"/>
      <c r="W2615" s="114"/>
      <c r="X2615" s="92"/>
      <c r="Y2615" s="92"/>
      <c r="Z2615" s="92"/>
    </row>
    <row r="2616" spans="1:26" s="5" customFormat="1">
      <c r="A2616" s="92"/>
      <c r="B2616" s="92"/>
      <c r="C2616" s="92"/>
      <c r="D2616" s="92"/>
      <c r="E2616" s="92"/>
      <c r="F2616" s="92"/>
      <c r="G2616" s="92"/>
      <c r="H2616" s="113"/>
      <c r="I2616" s="92"/>
      <c r="J2616" s="92"/>
      <c r="K2616" s="92"/>
      <c r="L2616" s="113"/>
      <c r="M2616" s="92"/>
      <c r="N2616" s="92"/>
      <c r="O2616" s="92"/>
      <c r="P2616" s="92"/>
      <c r="Q2616" s="113"/>
      <c r="R2616" s="92"/>
      <c r="S2616" s="92"/>
      <c r="T2616" s="92"/>
      <c r="U2616" s="92"/>
      <c r="V2616" s="113"/>
      <c r="W2616" s="114"/>
      <c r="X2616" s="92"/>
      <c r="Y2616" s="92"/>
      <c r="Z2616" s="92"/>
    </row>
    <row r="2617" spans="1:26" s="5" customFormat="1">
      <c r="A2617" s="92"/>
      <c r="B2617" s="92"/>
      <c r="C2617" s="92"/>
      <c r="D2617" s="92"/>
      <c r="E2617" s="92"/>
      <c r="F2617" s="92"/>
      <c r="G2617" s="92"/>
      <c r="H2617" s="113"/>
      <c r="I2617" s="92"/>
      <c r="J2617" s="92"/>
      <c r="K2617" s="92"/>
      <c r="L2617" s="113"/>
      <c r="M2617" s="92"/>
      <c r="N2617" s="92"/>
      <c r="O2617" s="92"/>
      <c r="P2617" s="92"/>
      <c r="Q2617" s="113"/>
      <c r="R2617" s="92"/>
      <c r="S2617" s="92"/>
      <c r="T2617" s="92"/>
      <c r="U2617" s="92"/>
      <c r="V2617" s="113"/>
      <c r="W2617" s="114"/>
      <c r="X2617" s="92"/>
      <c r="Y2617" s="92"/>
      <c r="Z2617" s="92"/>
    </row>
    <row r="2618" spans="1:26" s="5" customFormat="1">
      <c r="A2618" s="92"/>
      <c r="B2618" s="92"/>
      <c r="C2618" s="92"/>
      <c r="D2618" s="92"/>
      <c r="E2618" s="92"/>
      <c r="F2618" s="92"/>
      <c r="G2618" s="92"/>
      <c r="H2618" s="113"/>
      <c r="I2618" s="92"/>
      <c r="J2618" s="92"/>
      <c r="K2618" s="92"/>
      <c r="L2618" s="113"/>
      <c r="M2618" s="92"/>
      <c r="N2618" s="92"/>
      <c r="O2618" s="92"/>
      <c r="P2618" s="92"/>
      <c r="Q2618" s="113"/>
      <c r="R2618" s="92"/>
      <c r="S2618" s="92"/>
      <c r="T2618" s="92"/>
      <c r="U2618" s="92"/>
      <c r="V2618" s="113"/>
      <c r="W2618" s="114"/>
      <c r="X2618" s="92"/>
      <c r="Y2618" s="92"/>
      <c r="Z2618" s="92"/>
    </row>
    <row r="2619" spans="1:26" s="5" customFormat="1">
      <c r="A2619" s="92"/>
      <c r="B2619" s="92"/>
      <c r="C2619" s="92"/>
      <c r="D2619" s="92"/>
      <c r="E2619" s="92"/>
      <c r="F2619" s="92"/>
      <c r="G2619" s="92"/>
      <c r="H2619" s="113"/>
      <c r="I2619" s="92"/>
      <c r="J2619" s="92"/>
      <c r="K2619" s="92"/>
      <c r="L2619" s="113"/>
      <c r="M2619" s="92"/>
      <c r="N2619" s="92"/>
      <c r="O2619" s="92"/>
      <c r="P2619" s="92"/>
      <c r="Q2619" s="113"/>
      <c r="R2619" s="92"/>
      <c r="S2619" s="92"/>
      <c r="T2619" s="92"/>
      <c r="U2619" s="92"/>
      <c r="V2619" s="113"/>
      <c r="W2619" s="114"/>
      <c r="X2619" s="92"/>
      <c r="Y2619" s="92"/>
      <c r="Z2619" s="92"/>
    </row>
    <row r="2620" spans="1:26" s="5" customFormat="1">
      <c r="A2620" s="92"/>
      <c r="B2620" s="92"/>
      <c r="C2620" s="92"/>
      <c r="D2620" s="92"/>
      <c r="E2620" s="92"/>
      <c r="F2620" s="92"/>
      <c r="G2620" s="92"/>
      <c r="H2620" s="113"/>
      <c r="I2620" s="92"/>
      <c r="J2620" s="92"/>
      <c r="K2620" s="92"/>
      <c r="L2620" s="113"/>
      <c r="M2620" s="92"/>
      <c r="N2620" s="92"/>
      <c r="O2620" s="92"/>
      <c r="P2620" s="92"/>
      <c r="Q2620" s="113"/>
      <c r="R2620" s="92"/>
      <c r="S2620" s="92"/>
      <c r="T2620" s="92"/>
      <c r="U2620" s="92"/>
      <c r="V2620" s="113"/>
      <c r="W2620" s="114"/>
      <c r="X2620" s="92"/>
      <c r="Y2620" s="92"/>
      <c r="Z2620" s="92"/>
    </row>
    <row r="2621" spans="1:26" s="5" customFormat="1">
      <c r="A2621" s="92"/>
      <c r="B2621" s="92"/>
      <c r="C2621" s="92"/>
      <c r="D2621" s="92"/>
      <c r="E2621" s="92"/>
      <c r="F2621" s="92"/>
      <c r="G2621" s="92"/>
      <c r="H2621" s="113"/>
      <c r="I2621" s="92"/>
      <c r="J2621" s="92"/>
      <c r="K2621" s="92"/>
      <c r="L2621" s="113"/>
      <c r="M2621" s="92"/>
      <c r="N2621" s="92"/>
      <c r="O2621" s="92"/>
      <c r="P2621" s="92"/>
      <c r="Q2621" s="113"/>
      <c r="R2621" s="92"/>
      <c r="S2621" s="92"/>
      <c r="T2621" s="92"/>
      <c r="U2621" s="92"/>
      <c r="V2621" s="113"/>
      <c r="W2621" s="114"/>
      <c r="X2621" s="92"/>
      <c r="Y2621" s="92"/>
      <c r="Z2621" s="92"/>
    </row>
    <row r="2622" spans="1:26" s="5" customFormat="1">
      <c r="A2622" s="92"/>
      <c r="B2622" s="92"/>
      <c r="C2622" s="92"/>
      <c r="D2622" s="92"/>
      <c r="E2622" s="92"/>
      <c r="F2622" s="92"/>
      <c r="G2622" s="92"/>
      <c r="H2622" s="113"/>
      <c r="I2622" s="92"/>
      <c r="J2622" s="92"/>
      <c r="K2622" s="92"/>
      <c r="L2622" s="113"/>
      <c r="M2622" s="92"/>
      <c r="N2622" s="92"/>
      <c r="O2622" s="92"/>
      <c r="P2622" s="92"/>
      <c r="Q2622" s="113"/>
      <c r="R2622" s="92"/>
      <c r="S2622" s="92"/>
      <c r="T2622" s="92"/>
      <c r="U2622" s="92"/>
      <c r="V2622" s="113"/>
      <c r="W2622" s="114"/>
      <c r="X2622" s="92"/>
      <c r="Y2622" s="92"/>
      <c r="Z2622" s="92"/>
    </row>
    <row r="2623" spans="1:26" s="5" customFormat="1">
      <c r="A2623" s="92"/>
      <c r="B2623" s="92"/>
      <c r="C2623" s="92"/>
      <c r="D2623" s="92"/>
      <c r="E2623" s="92"/>
      <c r="F2623" s="92"/>
      <c r="G2623" s="92"/>
      <c r="H2623" s="113"/>
      <c r="I2623" s="92"/>
      <c r="J2623" s="92"/>
      <c r="K2623" s="92"/>
      <c r="L2623" s="113"/>
      <c r="M2623" s="92"/>
      <c r="N2623" s="92"/>
      <c r="O2623" s="92"/>
      <c r="P2623" s="92"/>
      <c r="Q2623" s="113"/>
      <c r="R2623" s="92"/>
      <c r="S2623" s="92"/>
      <c r="T2623" s="92"/>
      <c r="U2623" s="92"/>
      <c r="V2623" s="113"/>
      <c r="W2623" s="114"/>
      <c r="X2623" s="92"/>
      <c r="Y2623" s="92"/>
      <c r="Z2623" s="92"/>
    </row>
    <row r="2624" spans="1:26" s="5" customFormat="1">
      <c r="A2624" s="92"/>
      <c r="B2624" s="92"/>
      <c r="C2624" s="92"/>
      <c r="D2624" s="92"/>
      <c r="E2624" s="92"/>
      <c r="F2624" s="92"/>
      <c r="G2624" s="92"/>
      <c r="H2624" s="113"/>
      <c r="I2624" s="92"/>
      <c r="J2624" s="92"/>
      <c r="K2624" s="92"/>
      <c r="L2624" s="113"/>
      <c r="M2624" s="92"/>
      <c r="N2624" s="92"/>
      <c r="O2624" s="92"/>
      <c r="P2624" s="92"/>
      <c r="Q2624" s="113"/>
      <c r="R2624" s="92"/>
      <c r="S2624" s="92"/>
      <c r="T2624" s="92"/>
      <c r="U2624" s="92"/>
      <c r="V2624" s="113"/>
      <c r="W2624" s="114"/>
      <c r="X2624" s="92"/>
      <c r="Y2624" s="92"/>
      <c r="Z2624" s="92"/>
    </row>
    <row r="2625" spans="1:26" s="5" customFormat="1">
      <c r="A2625" s="92"/>
      <c r="B2625" s="92"/>
      <c r="C2625" s="92"/>
      <c r="D2625" s="92"/>
      <c r="E2625" s="92"/>
      <c r="F2625" s="92"/>
      <c r="G2625" s="92"/>
      <c r="H2625" s="113"/>
      <c r="I2625" s="92"/>
      <c r="J2625" s="92"/>
      <c r="K2625" s="92"/>
      <c r="L2625" s="113"/>
      <c r="M2625" s="92"/>
      <c r="N2625" s="92"/>
      <c r="O2625" s="92"/>
      <c r="P2625" s="92"/>
      <c r="Q2625" s="113"/>
      <c r="R2625" s="92"/>
      <c r="S2625" s="92"/>
      <c r="T2625" s="92"/>
      <c r="U2625" s="92"/>
      <c r="V2625" s="113"/>
      <c r="W2625" s="114"/>
      <c r="X2625" s="92"/>
      <c r="Y2625" s="92"/>
      <c r="Z2625" s="92"/>
    </row>
    <row r="2626" spans="1:26" s="5" customFormat="1">
      <c r="A2626" s="92"/>
      <c r="B2626" s="92"/>
      <c r="C2626" s="92"/>
      <c r="D2626" s="92"/>
      <c r="E2626" s="92"/>
      <c r="F2626" s="92"/>
      <c r="G2626" s="92"/>
      <c r="H2626" s="113"/>
      <c r="I2626" s="92"/>
      <c r="J2626" s="92"/>
      <c r="K2626" s="92"/>
      <c r="L2626" s="113"/>
      <c r="M2626" s="92"/>
      <c r="N2626" s="92"/>
      <c r="O2626" s="92"/>
      <c r="P2626" s="92"/>
      <c r="Q2626" s="113"/>
      <c r="R2626" s="92"/>
      <c r="S2626" s="92"/>
      <c r="T2626" s="92"/>
      <c r="U2626" s="92"/>
      <c r="V2626" s="113"/>
      <c r="W2626" s="114"/>
      <c r="X2626" s="92"/>
      <c r="Y2626" s="92"/>
      <c r="Z2626" s="92"/>
    </row>
    <row r="2627" spans="1:26" s="5" customFormat="1">
      <c r="A2627" s="92"/>
      <c r="B2627" s="92"/>
      <c r="C2627" s="92"/>
      <c r="D2627" s="92"/>
      <c r="E2627" s="92"/>
      <c r="F2627" s="92"/>
      <c r="G2627" s="92"/>
      <c r="H2627" s="113"/>
      <c r="I2627" s="92"/>
      <c r="J2627" s="92"/>
      <c r="K2627" s="92"/>
      <c r="L2627" s="113"/>
      <c r="M2627" s="92"/>
      <c r="N2627" s="92"/>
      <c r="O2627" s="92"/>
      <c r="P2627" s="92"/>
      <c r="Q2627" s="113"/>
      <c r="R2627" s="92"/>
      <c r="S2627" s="92"/>
      <c r="T2627" s="92"/>
      <c r="U2627" s="92"/>
      <c r="V2627" s="113"/>
      <c r="W2627" s="114"/>
      <c r="X2627" s="92"/>
      <c r="Y2627" s="92"/>
      <c r="Z2627" s="92"/>
    </row>
    <row r="2628" spans="1:26" s="5" customFormat="1">
      <c r="A2628" s="92"/>
      <c r="B2628" s="92"/>
      <c r="C2628" s="92"/>
      <c r="D2628" s="92"/>
      <c r="E2628" s="92"/>
      <c r="F2628" s="92"/>
      <c r="G2628" s="92"/>
      <c r="H2628" s="113"/>
      <c r="I2628" s="92"/>
      <c r="J2628" s="92"/>
      <c r="K2628" s="92"/>
      <c r="L2628" s="113"/>
      <c r="M2628" s="92"/>
      <c r="N2628" s="92"/>
      <c r="O2628" s="92"/>
      <c r="P2628" s="92"/>
      <c r="Q2628" s="113"/>
      <c r="R2628" s="92"/>
      <c r="S2628" s="92"/>
      <c r="T2628" s="92"/>
      <c r="U2628" s="92"/>
      <c r="V2628" s="113"/>
      <c r="W2628" s="114"/>
      <c r="X2628" s="92"/>
      <c r="Y2628" s="92"/>
      <c r="Z2628" s="92"/>
    </row>
    <row r="2629" spans="1:26" s="5" customFormat="1">
      <c r="A2629" s="92"/>
      <c r="B2629" s="92"/>
      <c r="C2629" s="92"/>
      <c r="D2629" s="92"/>
      <c r="E2629" s="92"/>
      <c r="F2629" s="92"/>
      <c r="G2629" s="92"/>
      <c r="H2629" s="113"/>
      <c r="I2629" s="92"/>
      <c r="J2629" s="92"/>
      <c r="K2629" s="92"/>
      <c r="L2629" s="113"/>
      <c r="M2629" s="92"/>
      <c r="N2629" s="92"/>
      <c r="O2629" s="92"/>
      <c r="P2629" s="92"/>
      <c r="Q2629" s="113"/>
      <c r="R2629" s="92"/>
      <c r="S2629" s="92"/>
      <c r="T2629" s="92"/>
      <c r="U2629" s="92"/>
      <c r="V2629" s="113"/>
      <c r="W2629" s="114"/>
      <c r="X2629" s="92"/>
      <c r="Y2629" s="92"/>
      <c r="Z2629" s="92"/>
    </row>
    <row r="2630" spans="1:26" s="5" customFormat="1">
      <c r="A2630" s="92"/>
      <c r="B2630" s="92"/>
      <c r="C2630" s="92"/>
      <c r="D2630" s="92"/>
      <c r="E2630" s="92"/>
      <c r="F2630" s="92"/>
      <c r="G2630" s="92"/>
      <c r="H2630" s="113"/>
      <c r="I2630" s="92"/>
      <c r="J2630" s="92"/>
      <c r="K2630" s="92"/>
      <c r="L2630" s="113"/>
      <c r="M2630" s="92"/>
      <c r="N2630" s="92"/>
      <c r="O2630" s="92"/>
      <c r="P2630" s="92"/>
      <c r="Q2630" s="113"/>
      <c r="R2630" s="92"/>
      <c r="S2630" s="92"/>
      <c r="T2630" s="92"/>
      <c r="U2630" s="92"/>
      <c r="V2630" s="113"/>
      <c r="W2630" s="114"/>
      <c r="X2630" s="92"/>
      <c r="Y2630" s="92"/>
      <c r="Z2630" s="92"/>
    </row>
    <row r="2631" spans="1:26" s="5" customFormat="1">
      <c r="A2631" s="92"/>
      <c r="B2631" s="92"/>
      <c r="C2631" s="92"/>
      <c r="D2631" s="92"/>
      <c r="E2631" s="92"/>
      <c r="F2631" s="92"/>
      <c r="G2631" s="92"/>
      <c r="H2631" s="113"/>
      <c r="I2631" s="92"/>
      <c r="J2631" s="92"/>
      <c r="K2631" s="92"/>
      <c r="L2631" s="113"/>
      <c r="M2631" s="92"/>
      <c r="N2631" s="92"/>
      <c r="O2631" s="92"/>
      <c r="P2631" s="92"/>
      <c r="Q2631" s="113"/>
      <c r="R2631" s="92"/>
      <c r="S2631" s="92"/>
      <c r="T2631" s="92"/>
      <c r="U2631" s="92"/>
      <c r="V2631" s="113"/>
      <c r="W2631" s="114"/>
      <c r="X2631" s="92"/>
      <c r="Y2631" s="92"/>
      <c r="Z2631" s="92"/>
    </row>
    <row r="2632" spans="1:26" s="5" customFormat="1">
      <c r="A2632" s="92"/>
      <c r="B2632" s="92"/>
      <c r="C2632" s="92"/>
      <c r="D2632" s="92"/>
      <c r="E2632" s="92"/>
      <c r="F2632" s="92"/>
      <c r="G2632" s="92"/>
      <c r="H2632" s="113"/>
      <c r="I2632" s="92"/>
      <c r="J2632" s="92"/>
      <c r="K2632" s="92"/>
      <c r="L2632" s="113"/>
      <c r="M2632" s="92"/>
      <c r="N2632" s="92"/>
      <c r="O2632" s="92"/>
      <c r="P2632" s="92"/>
      <c r="Q2632" s="113"/>
      <c r="R2632" s="92"/>
      <c r="S2632" s="92"/>
      <c r="T2632" s="92"/>
      <c r="U2632" s="92"/>
      <c r="V2632" s="113"/>
      <c r="W2632" s="114"/>
      <c r="X2632" s="92"/>
      <c r="Y2632" s="92"/>
      <c r="Z2632" s="92"/>
    </row>
    <row r="2633" spans="1:26" s="5" customFormat="1">
      <c r="A2633" s="92"/>
      <c r="B2633" s="92"/>
      <c r="C2633" s="92"/>
      <c r="D2633" s="92"/>
      <c r="E2633" s="92"/>
      <c r="F2633" s="92"/>
      <c r="G2633" s="92"/>
      <c r="H2633" s="113"/>
      <c r="I2633" s="92"/>
      <c r="J2633" s="92"/>
      <c r="K2633" s="92"/>
      <c r="L2633" s="113"/>
      <c r="M2633" s="92"/>
      <c r="N2633" s="92"/>
      <c r="O2633" s="92"/>
      <c r="P2633" s="92"/>
      <c r="Q2633" s="113"/>
      <c r="R2633" s="92"/>
      <c r="S2633" s="92"/>
      <c r="T2633" s="92"/>
      <c r="U2633" s="92"/>
      <c r="V2633" s="113"/>
      <c r="W2633" s="114"/>
      <c r="X2633" s="92"/>
      <c r="Y2633" s="92"/>
      <c r="Z2633" s="92"/>
    </row>
    <row r="2634" spans="1:26" s="5" customFormat="1">
      <c r="A2634" s="92"/>
      <c r="B2634" s="92"/>
      <c r="C2634" s="92"/>
      <c r="D2634" s="92"/>
      <c r="E2634" s="92"/>
      <c r="F2634" s="92"/>
      <c r="G2634" s="92"/>
      <c r="H2634" s="113"/>
      <c r="I2634" s="92"/>
      <c r="J2634" s="92"/>
      <c r="K2634" s="92"/>
      <c r="L2634" s="113"/>
      <c r="M2634" s="92"/>
      <c r="N2634" s="92"/>
      <c r="O2634" s="92"/>
      <c r="P2634" s="92"/>
      <c r="Q2634" s="113"/>
      <c r="R2634" s="92"/>
      <c r="S2634" s="92"/>
      <c r="T2634" s="92"/>
      <c r="U2634" s="92"/>
      <c r="V2634" s="113"/>
      <c r="W2634" s="114"/>
      <c r="X2634" s="92"/>
      <c r="Y2634" s="92"/>
      <c r="Z2634" s="92"/>
    </row>
    <row r="2635" spans="1:26" s="5" customFormat="1">
      <c r="A2635" s="92"/>
      <c r="B2635" s="92"/>
      <c r="C2635" s="92"/>
      <c r="D2635" s="92"/>
      <c r="E2635" s="92"/>
      <c r="F2635" s="92"/>
      <c r="G2635" s="92"/>
      <c r="H2635" s="113"/>
      <c r="I2635" s="92"/>
      <c r="J2635" s="92"/>
      <c r="K2635" s="92"/>
      <c r="L2635" s="113"/>
      <c r="M2635" s="92"/>
      <c r="N2635" s="92"/>
      <c r="O2635" s="92"/>
      <c r="P2635" s="92"/>
      <c r="Q2635" s="113"/>
      <c r="R2635" s="92"/>
      <c r="S2635" s="92"/>
      <c r="T2635" s="92"/>
      <c r="U2635" s="92"/>
      <c r="V2635" s="113"/>
      <c r="W2635" s="114"/>
      <c r="X2635" s="92"/>
      <c r="Y2635" s="92"/>
      <c r="Z2635" s="92"/>
    </row>
    <row r="2636" spans="1:26" s="5" customFormat="1">
      <c r="A2636" s="92"/>
      <c r="B2636" s="92"/>
      <c r="C2636" s="92"/>
      <c r="D2636" s="92"/>
      <c r="E2636" s="92"/>
      <c r="F2636" s="92"/>
      <c r="G2636" s="92"/>
      <c r="H2636" s="113"/>
      <c r="I2636" s="92"/>
      <c r="J2636" s="92"/>
      <c r="K2636" s="92"/>
      <c r="L2636" s="113"/>
      <c r="M2636" s="92"/>
      <c r="N2636" s="92"/>
      <c r="O2636" s="92"/>
      <c r="P2636" s="92"/>
      <c r="Q2636" s="113"/>
      <c r="R2636" s="92"/>
      <c r="S2636" s="92"/>
      <c r="T2636" s="92"/>
      <c r="U2636" s="92"/>
      <c r="V2636" s="113"/>
      <c r="W2636" s="114"/>
      <c r="X2636" s="92"/>
      <c r="Y2636" s="92"/>
      <c r="Z2636" s="92"/>
    </row>
    <row r="2637" spans="1:26" s="5" customFormat="1">
      <c r="A2637" s="92"/>
      <c r="B2637" s="92"/>
      <c r="C2637" s="92"/>
      <c r="D2637" s="92"/>
      <c r="E2637" s="92"/>
      <c r="F2637" s="92"/>
      <c r="G2637" s="92"/>
      <c r="H2637" s="113"/>
      <c r="I2637" s="92"/>
      <c r="J2637" s="92"/>
      <c r="K2637" s="92"/>
      <c r="L2637" s="113"/>
      <c r="M2637" s="92"/>
      <c r="N2637" s="92"/>
      <c r="O2637" s="92"/>
      <c r="P2637" s="92"/>
      <c r="Q2637" s="113"/>
      <c r="R2637" s="92"/>
      <c r="S2637" s="92"/>
      <c r="T2637" s="92"/>
      <c r="U2637" s="92"/>
      <c r="V2637" s="113"/>
      <c r="W2637" s="114"/>
      <c r="X2637" s="92"/>
      <c r="Y2637" s="92"/>
      <c r="Z2637" s="92"/>
    </row>
    <row r="2638" spans="1:26" s="5" customFormat="1">
      <c r="A2638" s="92"/>
      <c r="B2638" s="92"/>
      <c r="C2638" s="92"/>
      <c r="D2638" s="92"/>
      <c r="E2638" s="92"/>
      <c r="F2638" s="92"/>
      <c r="G2638" s="92"/>
      <c r="H2638" s="113"/>
      <c r="I2638" s="92"/>
      <c r="J2638" s="92"/>
      <c r="K2638" s="92"/>
      <c r="L2638" s="113"/>
      <c r="M2638" s="92"/>
      <c r="N2638" s="92"/>
      <c r="O2638" s="92"/>
      <c r="P2638" s="92"/>
      <c r="Q2638" s="113"/>
      <c r="R2638" s="92"/>
      <c r="S2638" s="92"/>
      <c r="T2638" s="92"/>
      <c r="U2638" s="92"/>
      <c r="V2638" s="113"/>
      <c r="W2638" s="114"/>
      <c r="X2638" s="92"/>
      <c r="Y2638" s="92"/>
      <c r="Z2638" s="92"/>
    </row>
    <row r="2639" spans="1:26" s="5" customFormat="1">
      <c r="A2639" s="92"/>
      <c r="B2639" s="92"/>
      <c r="C2639" s="92"/>
      <c r="D2639" s="92"/>
      <c r="E2639" s="92"/>
      <c r="F2639" s="92"/>
      <c r="G2639" s="92"/>
      <c r="H2639" s="113"/>
      <c r="I2639" s="92"/>
      <c r="J2639" s="92"/>
      <c r="K2639" s="92"/>
      <c r="L2639" s="113"/>
      <c r="M2639" s="92"/>
      <c r="N2639" s="92"/>
      <c r="O2639" s="92"/>
      <c r="P2639" s="92"/>
      <c r="Q2639" s="113"/>
      <c r="R2639" s="92"/>
      <c r="S2639" s="92"/>
      <c r="T2639" s="92"/>
      <c r="U2639" s="92"/>
      <c r="V2639" s="113"/>
      <c r="W2639" s="114"/>
      <c r="X2639" s="92"/>
      <c r="Y2639" s="92"/>
      <c r="Z2639" s="92"/>
    </row>
    <row r="2640" spans="1:26" s="5" customFormat="1">
      <c r="A2640" s="92"/>
      <c r="B2640" s="92"/>
      <c r="C2640" s="92"/>
      <c r="D2640" s="92"/>
      <c r="E2640" s="92"/>
      <c r="F2640" s="92"/>
      <c r="G2640" s="92"/>
      <c r="H2640" s="113"/>
      <c r="I2640" s="92"/>
      <c r="J2640" s="92"/>
      <c r="K2640" s="92"/>
      <c r="L2640" s="113"/>
      <c r="M2640" s="92"/>
      <c r="N2640" s="92"/>
      <c r="O2640" s="92"/>
      <c r="P2640" s="92"/>
      <c r="Q2640" s="113"/>
      <c r="R2640" s="92"/>
      <c r="S2640" s="92"/>
      <c r="T2640" s="92"/>
      <c r="U2640" s="92"/>
      <c r="V2640" s="113"/>
      <c r="W2640" s="114"/>
      <c r="X2640" s="92"/>
      <c r="Y2640" s="92"/>
      <c r="Z2640" s="92"/>
    </row>
    <row r="2641" spans="1:26" s="5" customFormat="1">
      <c r="A2641" s="92"/>
      <c r="B2641" s="92"/>
      <c r="C2641" s="92"/>
      <c r="D2641" s="92"/>
      <c r="E2641" s="92"/>
      <c r="F2641" s="92"/>
      <c r="G2641" s="92"/>
      <c r="H2641" s="113"/>
      <c r="I2641" s="92"/>
      <c r="J2641" s="92"/>
      <c r="K2641" s="92"/>
      <c r="L2641" s="113"/>
      <c r="M2641" s="92"/>
      <c r="N2641" s="92"/>
      <c r="O2641" s="92"/>
      <c r="P2641" s="92"/>
      <c r="Q2641" s="113"/>
      <c r="R2641" s="92"/>
      <c r="S2641" s="92"/>
      <c r="T2641" s="92"/>
      <c r="U2641" s="92"/>
      <c r="V2641" s="113"/>
      <c r="W2641" s="114"/>
      <c r="X2641" s="92"/>
      <c r="Y2641" s="92"/>
      <c r="Z2641" s="92"/>
    </row>
    <row r="2642" spans="1:26" s="5" customFormat="1">
      <c r="A2642" s="92"/>
      <c r="B2642" s="92"/>
      <c r="C2642" s="92"/>
      <c r="D2642" s="92"/>
      <c r="E2642" s="92"/>
      <c r="F2642" s="92"/>
      <c r="G2642" s="92"/>
      <c r="H2642" s="113"/>
      <c r="I2642" s="92"/>
      <c r="J2642" s="92"/>
      <c r="K2642" s="92"/>
      <c r="L2642" s="113"/>
      <c r="M2642" s="92"/>
      <c r="N2642" s="92"/>
      <c r="O2642" s="92"/>
      <c r="P2642" s="92"/>
      <c r="Q2642" s="113"/>
      <c r="R2642" s="92"/>
      <c r="S2642" s="92"/>
      <c r="T2642" s="92"/>
      <c r="U2642" s="92"/>
      <c r="V2642" s="113"/>
      <c r="W2642" s="114"/>
      <c r="X2642" s="92"/>
      <c r="Y2642" s="92"/>
      <c r="Z2642" s="92"/>
    </row>
    <row r="2643" spans="1:26" s="5" customFormat="1">
      <c r="A2643" s="92"/>
      <c r="B2643" s="92"/>
      <c r="C2643" s="92"/>
      <c r="D2643" s="92"/>
      <c r="E2643" s="92"/>
      <c r="F2643" s="92"/>
      <c r="G2643" s="92"/>
      <c r="H2643" s="113"/>
      <c r="I2643" s="92"/>
      <c r="J2643" s="92"/>
      <c r="K2643" s="92"/>
      <c r="L2643" s="113"/>
      <c r="M2643" s="92"/>
      <c r="N2643" s="92"/>
      <c r="O2643" s="92"/>
      <c r="P2643" s="92"/>
      <c r="Q2643" s="113"/>
      <c r="R2643" s="92"/>
      <c r="S2643" s="92"/>
      <c r="T2643" s="92"/>
      <c r="U2643" s="92"/>
      <c r="V2643" s="113"/>
      <c r="W2643" s="114"/>
      <c r="X2643" s="92"/>
      <c r="Y2643" s="92"/>
      <c r="Z2643" s="92"/>
    </row>
    <row r="2644" spans="1:26" s="5" customFormat="1">
      <c r="A2644" s="92"/>
      <c r="B2644" s="92"/>
      <c r="C2644" s="92"/>
      <c r="D2644" s="92"/>
      <c r="E2644" s="92"/>
      <c r="F2644" s="92"/>
      <c r="G2644" s="92"/>
      <c r="H2644" s="113"/>
      <c r="I2644" s="92"/>
      <c r="J2644" s="92"/>
      <c r="K2644" s="92"/>
      <c r="L2644" s="113"/>
      <c r="M2644" s="92"/>
      <c r="N2644" s="92"/>
      <c r="O2644" s="92"/>
      <c r="P2644" s="92"/>
      <c r="Q2644" s="113"/>
      <c r="R2644" s="92"/>
      <c r="S2644" s="92"/>
      <c r="T2644" s="92"/>
      <c r="U2644" s="92"/>
      <c r="V2644" s="113"/>
      <c r="W2644" s="114"/>
      <c r="X2644" s="92"/>
      <c r="Y2644" s="92"/>
      <c r="Z2644" s="92"/>
    </row>
    <row r="2645" spans="1:26" s="5" customFormat="1">
      <c r="A2645" s="92"/>
      <c r="B2645" s="92"/>
      <c r="C2645" s="92"/>
      <c r="D2645" s="92"/>
      <c r="E2645" s="92"/>
      <c r="F2645" s="92"/>
      <c r="G2645" s="92"/>
      <c r="H2645" s="113"/>
      <c r="I2645" s="92"/>
      <c r="J2645" s="92"/>
      <c r="K2645" s="92"/>
      <c r="L2645" s="113"/>
      <c r="M2645" s="92"/>
      <c r="N2645" s="92"/>
      <c r="O2645" s="92"/>
      <c r="P2645" s="92"/>
      <c r="Q2645" s="113"/>
      <c r="R2645" s="92"/>
      <c r="S2645" s="92"/>
      <c r="T2645" s="92"/>
      <c r="U2645" s="92"/>
      <c r="V2645" s="113"/>
      <c r="W2645" s="114"/>
      <c r="X2645" s="92"/>
      <c r="Y2645" s="92"/>
      <c r="Z2645" s="92"/>
    </row>
    <row r="2646" spans="1:26" s="5" customFormat="1">
      <c r="A2646" s="92"/>
      <c r="B2646" s="92"/>
      <c r="C2646" s="92"/>
      <c r="D2646" s="92"/>
      <c r="E2646" s="92"/>
      <c r="F2646" s="92"/>
      <c r="G2646" s="92"/>
      <c r="H2646" s="113"/>
      <c r="I2646" s="92"/>
      <c r="J2646" s="92"/>
      <c r="K2646" s="92"/>
      <c r="L2646" s="113"/>
      <c r="M2646" s="92"/>
      <c r="N2646" s="92"/>
      <c r="O2646" s="92"/>
      <c r="P2646" s="92"/>
      <c r="Q2646" s="113"/>
      <c r="R2646" s="92"/>
      <c r="S2646" s="92"/>
      <c r="T2646" s="92"/>
      <c r="U2646" s="92"/>
      <c r="V2646" s="113"/>
      <c r="W2646" s="114"/>
      <c r="X2646" s="92"/>
      <c r="Y2646" s="92"/>
      <c r="Z2646" s="92"/>
    </row>
    <row r="2647" spans="1:26" s="5" customFormat="1">
      <c r="A2647" s="92"/>
      <c r="B2647" s="92"/>
      <c r="C2647" s="92"/>
      <c r="D2647" s="92"/>
      <c r="E2647" s="92"/>
      <c r="F2647" s="92"/>
      <c r="G2647" s="92"/>
      <c r="H2647" s="113"/>
      <c r="I2647" s="92"/>
      <c r="J2647" s="92"/>
      <c r="K2647" s="92"/>
      <c r="L2647" s="113"/>
      <c r="M2647" s="92"/>
      <c r="N2647" s="92"/>
      <c r="O2647" s="92"/>
      <c r="P2647" s="92"/>
      <c r="Q2647" s="113"/>
      <c r="R2647" s="92"/>
      <c r="S2647" s="92"/>
      <c r="T2647" s="92"/>
      <c r="U2647" s="92"/>
      <c r="V2647" s="113"/>
      <c r="W2647" s="114"/>
      <c r="X2647" s="92"/>
      <c r="Y2647" s="92"/>
      <c r="Z2647" s="92"/>
    </row>
    <row r="2648" spans="1:26" s="5" customFormat="1">
      <c r="A2648" s="92"/>
      <c r="B2648" s="92"/>
      <c r="C2648" s="92"/>
      <c r="D2648" s="92"/>
      <c r="E2648" s="92"/>
      <c r="F2648" s="92"/>
      <c r="G2648" s="92"/>
      <c r="H2648" s="113"/>
      <c r="I2648" s="92"/>
      <c r="J2648" s="92"/>
      <c r="K2648" s="92"/>
      <c r="L2648" s="113"/>
      <c r="M2648" s="92"/>
      <c r="N2648" s="92"/>
      <c r="O2648" s="92"/>
      <c r="P2648" s="92"/>
      <c r="Q2648" s="113"/>
      <c r="R2648" s="92"/>
      <c r="S2648" s="92"/>
      <c r="T2648" s="92"/>
      <c r="U2648" s="92"/>
      <c r="V2648" s="113"/>
      <c r="W2648" s="114"/>
      <c r="X2648" s="92"/>
      <c r="Y2648" s="92"/>
      <c r="Z2648" s="92"/>
    </row>
    <row r="2649" spans="1:26" s="5" customFormat="1">
      <c r="A2649" s="92"/>
      <c r="B2649" s="92"/>
      <c r="C2649" s="92"/>
      <c r="D2649" s="92"/>
      <c r="E2649" s="92"/>
      <c r="F2649" s="92"/>
      <c r="G2649" s="92"/>
      <c r="H2649" s="113"/>
      <c r="I2649" s="92"/>
      <c r="J2649" s="92"/>
      <c r="K2649" s="92"/>
      <c r="L2649" s="113"/>
      <c r="M2649" s="92"/>
      <c r="N2649" s="92"/>
      <c r="O2649" s="92"/>
      <c r="P2649" s="92"/>
      <c r="Q2649" s="113"/>
      <c r="R2649" s="92"/>
      <c r="S2649" s="92"/>
      <c r="T2649" s="92"/>
      <c r="U2649" s="92"/>
      <c r="V2649" s="113"/>
      <c r="W2649" s="114"/>
      <c r="X2649" s="92"/>
      <c r="Y2649" s="92"/>
      <c r="Z2649" s="92"/>
    </row>
    <row r="2650" spans="1:26" s="5" customFormat="1">
      <c r="A2650" s="92"/>
      <c r="B2650" s="92"/>
      <c r="C2650" s="92"/>
      <c r="D2650" s="92"/>
      <c r="E2650" s="92"/>
      <c r="F2650" s="92"/>
      <c r="G2650" s="92"/>
      <c r="H2650" s="113"/>
      <c r="I2650" s="92"/>
      <c r="J2650" s="92"/>
      <c r="K2650" s="92"/>
      <c r="L2650" s="113"/>
      <c r="M2650" s="92"/>
      <c r="N2650" s="92"/>
      <c r="O2650" s="92"/>
      <c r="P2650" s="92"/>
      <c r="Q2650" s="113"/>
      <c r="R2650" s="92"/>
      <c r="S2650" s="92"/>
      <c r="T2650" s="92"/>
      <c r="U2650" s="92"/>
      <c r="V2650" s="113"/>
      <c r="W2650" s="114"/>
      <c r="X2650" s="92"/>
      <c r="Y2650" s="92"/>
      <c r="Z2650" s="92"/>
    </row>
    <row r="2651" spans="1:26" s="5" customFormat="1">
      <c r="A2651" s="92"/>
      <c r="B2651" s="92"/>
      <c r="C2651" s="92"/>
      <c r="D2651" s="92"/>
      <c r="E2651" s="92"/>
      <c r="F2651" s="92"/>
      <c r="G2651" s="92"/>
      <c r="H2651" s="113"/>
      <c r="I2651" s="92"/>
      <c r="J2651" s="92"/>
      <c r="K2651" s="92"/>
      <c r="L2651" s="113"/>
      <c r="M2651" s="92"/>
      <c r="N2651" s="92"/>
      <c r="O2651" s="92"/>
      <c r="P2651" s="92"/>
      <c r="Q2651" s="113"/>
      <c r="R2651" s="92"/>
      <c r="S2651" s="92"/>
      <c r="T2651" s="92"/>
      <c r="U2651" s="92"/>
      <c r="V2651" s="113"/>
      <c r="W2651" s="114"/>
      <c r="X2651" s="92"/>
      <c r="Y2651" s="92"/>
      <c r="Z2651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workbookViewId="0">
      <selection sqref="A1:AB5"/>
    </sheetView>
  </sheetViews>
  <sheetFormatPr defaultColWidth="11.42578125" defaultRowHeight="15"/>
  <cols>
    <col min="1" max="1" width="17" customWidth="1"/>
    <col min="3" max="3" width="15.7109375" customWidth="1"/>
    <col min="5" max="5" width="18.5703125" customWidth="1"/>
    <col min="6" max="6" width="14.28515625" customWidth="1"/>
    <col min="7" max="7" width="27" customWidth="1"/>
    <col min="8" max="8" width="17.42578125" customWidth="1"/>
    <col min="9" max="9" width="22" customWidth="1"/>
    <col min="10" max="10" width="12.7109375" customWidth="1"/>
    <col min="11" max="11" width="19.85546875" customWidth="1"/>
    <col min="12" max="12" width="15.5703125" customWidth="1"/>
    <col min="13" max="13" width="14.140625" customWidth="1"/>
    <col min="14" max="14" width="16.140625" customWidth="1"/>
    <col min="15" max="15" width="13.28515625" customWidth="1"/>
    <col min="16" max="16" width="18.140625" customWidth="1"/>
    <col min="17" max="17" width="17.7109375" customWidth="1"/>
    <col min="18" max="18" width="16.28515625" customWidth="1"/>
    <col min="19" max="19" width="13.140625" customWidth="1"/>
    <col min="21" max="21" width="16" customWidth="1"/>
    <col min="22" max="22" width="18.7109375" customWidth="1"/>
    <col min="23" max="23" width="19.28515625" customWidth="1"/>
    <col min="25" max="25" width="19.42578125" customWidth="1"/>
    <col min="26" max="26" width="13.140625" customWidth="1"/>
    <col min="27" max="27" width="18.85546875" customWidth="1"/>
  </cols>
  <sheetData>
    <row r="1" spans="1:28">
      <c r="A1" t="s">
        <v>454</v>
      </c>
      <c r="B1" t="s">
        <v>1</v>
      </c>
      <c r="C1" t="s">
        <v>2</v>
      </c>
      <c r="D1" t="s">
        <v>286</v>
      </c>
      <c r="E1" t="s">
        <v>285</v>
      </c>
      <c r="F1" t="s">
        <v>3</v>
      </c>
      <c r="G1" t="s">
        <v>0</v>
      </c>
      <c r="H1" t="s">
        <v>4</v>
      </c>
      <c r="I1" t="s">
        <v>287</v>
      </c>
      <c r="J1" t="s">
        <v>5</v>
      </c>
      <c r="K1" t="s">
        <v>6</v>
      </c>
      <c r="L1" t="s">
        <v>288</v>
      </c>
      <c r="M1" t="s">
        <v>8</v>
      </c>
      <c r="N1" t="s">
        <v>7</v>
      </c>
      <c r="O1" t="s">
        <v>343</v>
      </c>
      <c r="P1" t="s">
        <v>348</v>
      </c>
      <c r="Q1" t="s">
        <v>349</v>
      </c>
      <c r="R1" t="s">
        <v>350</v>
      </c>
      <c r="S1" t="s">
        <v>382</v>
      </c>
      <c r="T1" t="s">
        <v>292</v>
      </c>
      <c r="U1" t="s">
        <v>283</v>
      </c>
      <c r="V1" t="s">
        <v>360</v>
      </c>
      <c r="W1" t="s">
        <v>357</v>
      </c>
      <c r="X1" t="s">
        <v>358</v>
      </c>
      <c r="Y1" t="s">
        <v>362</v>
      </c>
      <c r="Z1" t="s">
        <v>359</v>
      </c>
      <c r="AA1" t="s">
        <v>526</v>
      </c>
      <c r="AB1" t="s">
        <v>525</v>
      </c>
    </row>
    <row r="2" spans="1:28">
      <c r="A2" t="s">
        <v>1240</v>
      </c>
      <c r="B2" s="138">
        <v>42796</v>
      </c>
      <c r="C2" t="s">
        <v>1231</v>
      </c>
      <c r="D2" t="s">
        <v>1237</v>
      </c>
      <c r="E2" t="s">
        <v>1232</v>
      </c>
      <c r="F2">
        <v>5</v>
      </c>
      <c r="G2" t="s">
        <v>9</v>
      </c>
      <c r="H2">
        <v>5</v>
      </c>
      <c r="I2" t="s">
        <v>1241</v>
      </c>
      <c r="J2" t="s">
        <v>23</v>
      </c>
      <c r="K2" t="s">
        <v>1233</v>
      </c>
      <c r="M2" t="s">
        <v>256</v>
      </c>
      <c r="N2">
        <v>900129262</v>
      </c>
      <c r="O2">
        <v>5764706</v>
      </c>
      <c r="Q2" t="s">
        <v>1248</v>
      </c>
      <c r="R2">
        <v>0</v>
      </c>
      <c r="S2" t="s">
        <v>1249</v>
      </c>
      <c r="T2" t="s">
        <v>307</v>
      </c>
      <c r="U2">
        <v>7</v>
      </c>
      <c r="V2">
        <v>5</v>
      </c>
      <c r="W2">
        <v>28823530</v>
      </c>
      <c r="X2" t="s">
        <v>1250</v>
      </c>
      <c r="Y2">
        <v>2</v>
      </c>
      <c r="Z2" t="s">
        <v>1251</v>
      </c>
      <c r="AA2" t="s">
        <v>364</v>
      </c>
      <c r="AB2" t="s">
        <v>366</v>
      </c>
    </row>
    <row r="3" spans="1:28">
      <c r="A3" t="s">
        <v>1242</v>
      </c>
      <c r="B3" s="138">
        <v>42796</v>
      </c>
      <c r="C3" t="s">
        <v>1231</v>
      </c>
      <c r="D3" t="s">
        <v>1237</v>
      </c>
      <c r="E3" t="s">
        <v>1232</v>
      </c>
      <c r="F3">
        <v>1</v>
      </c>
      <c r="G3" t="s">
        <v>9</v>
      </c>
      <c r="H3">
        <v>1</v>
      </c>
      <c r="I3" t="s">
        <v>1243</v>
      </c>
      <c r="J3" t="s">
        <v>1234</v>
      </c>
      <c r="K3" t="s">
        <v>355</v>
      </c>
      <c r="M3" t="s">
        <v>29</v>
      </c>
      <c r="N3">
        <v>900129262</v>
      </c>
      <c r="O3">
        <v>5873950</v>
      </c>
      <c r="Q3" t="s">
        <v>1248</v>
      </c>
      <c r="R3">
        <v>0</v>
      </c>
      <c r="S3" t="s">
        <v>1249</v>
      </c>
      <c r="T3" t="s">
        <v>307</v>
      </c>
      <c r="U3">
        <v>27</v>
      </c>
      <c r="W3">
        <v>0</v>
      </c>
      <c r="Z3" t="s">
        <v>1252</v>
      </c>
      <c r="AA3" t="e">
        <v>#N/A</v>
      </c>
      <c r="AB3" t="s">
        <v>1247</v>
      </c>
    </row>
    <row r="4" spans="1:28">
      <c r="A4" t="s">
        <v>1240</v>
      </c>
      <c r="B4" s="138">
        <v>42796</v>
      </c>
      <c r="C4" t="s">
        <v>1231</v>
      </c>
      <c r="D4" t="s">
        <v>1237</v>
      </c>
      <c r="E4" t="s">
        <v>1232</v>
      </c>
      <c r="F4">
        <v>8</v>
      </c>
      <c r="G4" t="s">
        <v>9</v>
      </c>
      <c r="H4">
        <v>8</v>
      </c>
      <c r="I4" t="s">
        <v>1241</v>
      </c>
      <c r="J4" t="s">
        <v>1234</v>
      </c>
      <c r="K4" t="s">
        <v>355</v>
      </c>
      <c r="M4" t="s">
        <v>256</v>
      </c>
      <c r="N4">
        <v>900129262</v>
      </c>
      <c r="O4">
        <v>5873950</v>
      </c>
      <c r="Q4" t="s">
        <v>1248</v>
      </c>
      <c r="R4">
        <v>0</v>
      </c>
      <c r="S4" t="s">
        <v>1249</v>
      </c>
      <c r="T4" t="s">
        <v>307</v>
      </c>
      <c r="U4">
        <v>27</v>
      </c>
      <c r="V4">
        <v>8</v>
      </c>
      <c r="W4">
        <v>46991600</v>
      </c>
      <c r="X4" t="s">
        <v>1250</v>
      </c>
      <c r="Y4">
        <v>2</v>
      </c>
      <c r="Z4" t="s">
        <v>1252</v>
      </c>
      <c r="AA4" t="s">
        <v>364</v>
      </c>
      <c r="AB4" t="s">
        <v>366</v>
      </c>
    </row>
    <row r="5" spans="1:28">
      <c r="A5" t="s">
        <v>1238</v>
      </c>
      <c r="B5" s="138">
        <v>42796</v>
      </c>
      <c r="C5" t="s">
        <v>1231</v>
      </c>
      <c r="D5" t="s">
        <v>1237</v>
      </c>
      <c r="E5" t="s">
        <v>1232</v>
      </c>
      <c r="F5">
        <v>10</v>
      </c>
      <c r="G5" t="s">
        <v>37</v>
      </c>
      <c r="H5">
        <v>10</v>
      </c>
      <c r="I5" t="s">
        <v>1239</v>
      </c>
      <c r="J5" t="s">
        <v>1234</v>
      </c>
      <c r="K5" t="s">
        <v>355</v>
      </c>
      <c r="M5" t="s">
        <v>148</v>
      </c>
      <c r="N5">
        <v>890705341</v>
      </c>
      <c r="O5">
        <v>5873950</v>
      </c>
      <c r="Q5">
        <v>103800000</v>
      </c>
      <c r="R5">
        <v>0</v>
      </c>
      <c r="S5" t="s">
        <v>1249</v>
      </c>
      <c r="T5" t="s">
        <v>307</v>
      </c>
      <c r="U5">
        <v>27</v>
      </c>
      <c r="V5">
        <v>10</v>
      </c>
      <c r="W5">
        <v>58739500</v>
      </c>
      <c r="X5" t="s">
        <v>1250</v>
      </c>
      <c r="Y5">
        <v>1</v>
      </c>
      <c r="Z5" t="s">
        <v>1252</v>
      </c>
      <c r="AA5" t="s">
        <v>364</v>
      </c>
      <c r="AB5" t="s">
        <v>366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R213"/>
  <sheetViews>
    <sheetView topLeftCell="A25" zoomScaleNormal="100" workbookViewId="0">
      <selection activeCell="A33" sqref="A33"/>
    </sheetView>
  </sheetViews>
  <sheetFormatPr defaultColWidth="11.42578125" defaultRowHeight="15"/>
  <cols>
    <col min="1" max="1" width="37.7109375" customWidth="1"/>
    <col min="2" max="2" width="20.42578125" customWidth="1"/>
    <col min="3" max="3" width="20.28515625" customWidth="1"/>
    <col min="4" max="4" width="17.28515625" customWidth="1"/>
    <col min="5" max="5" width="19" customWidth="1"/>
    <col min="6" max="6" width="22" customWidth="1"/>
    <col min="7" max="7" width="22" style="5" customWidth="1"/>
    <col min="8" max="44" width="11.42578125" style="5"/>
  </cols>
  <sheetData>
    <row r="1" spans="1:6" s="5" customFormat="1">
      <c r="A1"/>
      <c r="B1"/>
    </row>
    <row r="2" spans="1:6" s="5" customFormat="1">
      <c r="A2"/>
      <c r="B2"/>
    </row>
    <row r="3" spans="1:6" s="5" customFormat="1">
      <c r="A3" s="128" t="s">
        <v>283</v>
      </c>
      <c r="B3" s="173" t="s">
        <v>342</v>
      </c>
    </row>
    <row r="4" spans="1:6" s="5" customFormat="1">
      <c r="A4" s="28" t="s">
        <v>382</v>
      </c>
      <c r="B4" s="173" t="s">
        <v>1249</v>
      </c>
    </row>
    <row r="5" spans="1:6" s="5" customFormat="1"/>
    <row r="6" spans="1:6">
      <c r="A6" s="120" t="s">
        <v>345</v>
      </c>
      <c r="B6" s="120" t="s">
        <v>265</v>
      </c>
      <c r="C6" s="120" t="s">
        <v>361</v>
      </c>
      <c r="D6" s="120" t="s">
        <v>353</v>
      </c>
      <c r="E6" s="120" t="s">
        <v>351</v>
      </c>
      <c r="F6" s="121" t="s">
        <v>352</v>
      </c>
    </row>
    <row r="7" spans="1:6">
      <c r="A7" s="29" t="s">
        <v>295</v>
      </c>
      <c r="B7" s="30">
        <v>53</v>
      </c>
      <c r="C7" s="30"/>
      <c r="D7" s="30">
        <v>104</v>
      </c>
      <c r="E7" s="6">
        <v>116885711</v>
      </c>
      <c r="F7" s="6">
        <v>0</v>
      </c>
    </row>
    <row r="8" spans="1:6">
      <c r="A8" s="29" t="s">
        <v>314</v>
      </c>
      <c r="B8" s="30">
        <v>58</v>
      </c>
      <c r="C8" s="30"/>
      <c r="D8" s="30">
        <v>104</v>
      </c>
      <c r="E8" s="6">
        <v>0</v>
      </c>
      <c r="F8" s="6">
        <v>0</v>
      </c>
    </row>
    <row r="9" spans="1:6">
      <c r="A9" s="29" t="s">
        <v>1875</v>
      </c>
      <c r="B9" s="30">
        <v>7</v>
      </c>
      <c r="C9" s="30"/>
      <c r="D9" s="30">
        <v>83</v>
      </c>
      <c r="E9" s="6">
        <v>28640233</v>
      </c>
      <c r="F9" s="6">
        <v>0</v>
      </c>
    </row>
    <row r="10" spans="1:6">
      <c r="A10" s="29" t="s">
        <v>304</v>
      </c>
      <c r="B10" s="30">
        <v>198</v>
      </c>
      <c r="C10" s="30"/>
      <c r="D10" s="30">
        <v>99</v>
      </c>
      <c r="E10" s="6">
        <v>802084041</v>
      </c>
      <c r="F10" s="6">
        <v>57197673</v>
      </c>
    </row>
    <row r="11" spans="1:6">
      <c r="A11" s="29" t="s">
        <v>1876</v>
      </c>
      <c r="B11" s="30">
        <v>13</v>
      </c>
      <c r="C11" s="30"/>
      <c r="D11" s="30">
        <v>48</v>
      </c>
      <c r="E11" s="6">
        <v>802084041</v>
      </c>
      <c r="F11" s="6">
        <v>0</v>
      </c>
    </row>
    <row r="12" spans="1:6">
      <c r="A12" s="29" t="s">
        <v>1877</v>
      </c>
      <c r="B12" s="30">
        <v>92</v>
      </c>
      <c r="C12" s="30"/>
      <c r="D12" s="30">
        <v>99</v>
      </c>
      <c r="E12" s="6">
        <v>802084041</v>
      </c>
      <c r="F12" s="6">
        <v>0</v>
      </c>
    </row>
    <row r="13" spans="1:6">
      <c r="A13" s="29" t="s">
        <v>1878</v>
      </c>
      <c r="B13" s="30">
        <v>63</v>
      </c>
      <c r="C13" s="30"/>
      <c r="D13" s="30">
        <v>104</v>
      </c>
      <c r="E13" s="6">
        <v>20422454</v>
      </c>
      <c r="F13" s="6">
        <v>0</v>
      </c>
    </row>
    <row r="14" spans="1:6">
      <c r="A14" s="29" t="s">
        <v>1879</v>
      </c>
      <c r="B14" s="30">
        <v>9</v>
      </c>
      <c r="C14" s="30"/>
      <c r="D14" s="30">
        <v>59</v>
      </c>
      <c r="E14" s="6">
        <v>0</v>
      </c>
      <c r="F14" s="6">
        <v>106064657</v>
      </c>
    </row>
    <row r="15" spans="1:6">
      <c r="A15" s="29" t="s">
        <v>1880</v>
      </c>
      <c r="B15" s="30">
        <v>20</v>
      </c>
      <c r="C15" s="30"/>
      <c r="D15" s="30">
        <v>83</v>
      </c>
      <c r="E15" s="6">
        <v>38000000</v>
      </c>
      <c r="F15" s="6">
        <v>126683387</v>
      </c>
    </row>
    <row r="16" spans="1:6">
      <c r="A16" s="29" t="s">
        <v>1881</v>
      </c>
      <c r="B16" s="30">
        <v>28</v>
      </c>
      <c r="C16" s="30"/>
      <c r="D16" s="30">
        <v>48</v>
      </c>
      <c r="E16" s="6">
        <v>0</v>
      </c>
      <c r="F16" s="6">
        <v>0</v>
      </c>
    </row>
    <row r="17" spans="1:6">
      <c r="A17" s="29" t="s">
        <v>1258</v>
      </c>
      <c r="B17" s="30">
        <v>73</v>
      </c>
      <c r="C17" s="30"/>
      <c r="D17" s="30">
        <v>104</v>
      </c>
      <c r="E17" s="6">
        <v>27383871</v>
      </c>
      <c r="F17" s="6">
        <v>0</v>
      </c>
    </row>
    <row r="18" spans="1:6">
      <c r="A18" s="29" t="s">
        <v>323</v>
      </c>
      <c r="B18" s="30">
        <v>138</v>
      </c>
      <c r="C18" s="30"/>
      <c r="D18" s="30">
        <v>59</v>
      </c>
      <c r="E18" s="6">
        <v>137260504</v>
      </c>
      <c r="F18" s="6">
        <v>0</v>
      </c>
    </row>
    <row r="19" spans="1:6">
      <c r="A19" s="29" t="s">
        <v>307</v>
      </c>
      <c r="B19" s="30">
        <v>138</v>
      </c>
      <c r="C19" s="30">
        <v>19</v>
      </c>
      <c r="D19" s="30">
        <v>104</v>
      </c>
      <c r="E19" s="6">
        <v>211189076</v>
      </c>
      <c r="F19" s="6">
        <v>300000000</v>
      </c>
    </row>
    <row r="20" spans="1:6">
      <c r="A20" s="29" t="s">
        <v>294</v>
      </c>
      <c r="B20" s="30">
        <v>22</v>
      </c>
      <c r="C20" s="30"/>
      <c r="D20" s="30">
        <v>83</v>
      </c>
      <c r="E20" s="6">
        <v>0</v>
      </c>
      <c r="F20" s="6">
        <v>0</v>
      </c>
    </row>
    <row r="21" spans="1:6">
      <c r="A21" s="29" t="s">
        <v>1882</v>
      </c>
      <c r="B21" s="30">
        <v>24</v>
      </c>
      <c r="C21" s="30"/>
      <c r="D21" s="30">
        <v>59</v>
      </c>
      <c r="E21" s="6">
        <v>0</v>
      </c>
      <c r="F21" s="6">
        <v>0</v>
      </c>
    </row>
    <row r="22" spans="1:6">
      <c r="A22" s="29" t="s">
        <v>1883</v>
      </c>
      <c r="B22" s="30">
        <v>54</v>
      </c>
      <c r="C22" s="30"/>
      <c r="D22" s="30">
        <v>104</v>
      </c>
      <c r="E22" s="6">
        <v>0</v>
      </c>
      <c r="F22" s="6">
        <v>0</v>
      </c>
    </row>
    <row r="23" spans="1:6">
      <c r="A23" s="29" t="s">
        <v>1884</v>
      </c>
      <c r="B23" s="30">
        <v>12</v>
      </c>
      <c r="C23" s="30"/>
      <c r="D23" s="30">
        <v>57</v>
      </c>
      <c r="E23" s="6">
        <v>5189000</v>
      </c>
      <c r="F23" s="6">
        <v>159000000</v>
      </c>
    </row>
    <row r="24" spans="1:6">
      <c r="A24" s="29" t="s">
        <v>1885</v>
      </c>
      <c r="B24" s="30">
        <v>31</v>
      </c>
      <c r="C24" s="30"/>
      <c r="D24" s="30">
        <v>67</v>
      </c>
      <c r="E24" s="6">
        <v>68342860</v>
      </c>
      <c r="F24" s="6">
        <v>0</v>
      </c>
    </row>
    <row r="25" spans="1:6">
      <c r="A25" s="29" t="s">
        <v>1886</v>
      </c>
      <c r="B25" s="30">
        <v>7</v>
      </c>
      <c r="C25" s="30"/>
      <c r="D25" s="30">
        <v>59</v>
      </c>
      <c r="E25" s="6">
        <v>0</v>
      </c>
      <c r="F25" s="6">
        <v>0</v>
      </c>
    </row>
    <row r="26" spans="1:6">
      <c r="A26" s="29" t="s">
        <v>1265</v>
      </c>
      <c r="B26" s="30">
        <v>57</v>
      </c>
      <c r="C26" s="30"/>
      <c r="D26" s="30">
        <v>99</v>
      </c>
      <c r="E26" s="6">
        <v>20739828</v>
      </c>
      <c r="F26" s="6">
        <v>200000000</v>
      </c>
    </row>
    <row r="27" spans="1:6" s="5" customFormat="1">
      <c r="A27" s="29" t="s">
        <v>1887</v>
      </c>
      <c r="B27" s="30">
        <v>79</v>
      </c>
      <c r="C27" s="30"/>
      <c r="D27" s="30">
        <v>99</v>
      </c>
      <c r="E27" s="6">
        <v>281000000</v>
      </c>
      <c r="F27" s="6">
        <v>852000000</v>
      </c>
    </row>
    <row r="28" spans="1:6" s="5" customFormat="1">
      <c r="A28" s="29" t="s">
        <v>1888</v>
      </c>
      <c r="B28" s="30">
        <v>258</v>
      </c>
      <c r="C28" s="30"/>
      <c r="D28" s="30">
        <v>104</v>
      </c>
      <c r="E28" s="6">
        <v>281000000</v>
      </c>
      <c r="F28" s="6">
        <v>852000000</v>
      </c>
    </row>
    <row r="29" spans="1:6" s="5" customFormat="1">
      <c r="A29" s="29" t="s">
        <v>1889</v>
      </c>
      <c r="B29" s="30">
        <v>247</v>
      </c>
      <c r="C29" s="30"/>
      <c r="D29" s="30">
        <v>99</v>
      </c>
      <c r="E29" s="6">
        <v>281000000</v>
      </c>
      <c r="F29" s="6">
        <v>852000000</v>
      </c>
    </row>
    <row r="30" spans="1:6" s="5" customFormat="1">
      <c r="A30" s="29" t="s">
        <v>1266</v>
      </c>
      <c r="B30" s="30">
        <v>55</v>
      </c>
      <c r="C30" s="30"/>
      <c r="D30" s="30">
        <v>104</v>
      </c>
      <c r="E30" s="6">
        <v>68342860</v>
      </c>
      <c r="F30" s="6">
        <v>200000000</v>
      </c>
    </row>
    <row r="31" spans="1:6" s="5" customFormat="1">
      <c r="A31" s="29" t="s">
        <v>1890</v>
      </c>
      <c r="B31" s="30">
        <v>8</v>
      </c>
      <c r="C31" s="30"/>
      <c r="D31" s="30">
        <v>104</v>
      </c>
      <c r="E31" s="6">
        <v>68342860</v>
      </c>
      <c r="F31" s="6">
        <v>0</v>
      </c>
    </row>
    <row r="32" spans="1:6" s="5" customFormat="1">
      <c r="A32" s="29" t="s">
        <v>1269</v>
      </c>
      <c r="B32" s="30"/>
      <c r="C32" s="30"/>
      <c r="D32" s="30"/>
      <c r="E32" s="6"/>
      <c r="F32" s="6"/>
    </row>
    <row r="33" spans="1:6" s="5" customFormat="1">
      <c r="A33" s="179" t="s">
        <v>203</v>
      </c>
      <c r="B33" s="30">
        <v>11</v>
      </c>
      <c r="C33" s="30">
        <v>7</v>
      </c>
      <c r="D33" s="30">
        <v>59</v>
      </c>
      <c r="E33" s="6">
        <v>34012723</v>
      </c>
      <c r="F33" s="6">
        <v>0</v>
      </c>
    </row>
    <row r="34" spans="1:6" s="5" customFormat="1">
      <c r="A34" s="179" t="s">
        <v>239</v>
      </c>
      <c r="B34" s="30">
        <v>3</v>
      </c>
      <c r="C34" s="30">
        <v>3</v>
      </c>
      <c r="D34" s="30">
        <v>48</v>
      </c>
      <c r="E34" s="6">
        <v>0</v>
      </c>
      <c r="F34" s="6">
        <v>69613164</v>
      </c>
    </row>
    <row r="35" spans="1:6" s="5" customFormat="1">
      <c r="A35" s="29" t="s">
        <v>1267</v>
      </c>
      <c r="B35" s="30">
        <v>48</v>
      </c>
      <c r="C35" s="30"/>
      <c r="D35" s="30">
        <v>83</v>
      </c>
      <c r="E35" s="6">
        <v>106814021</v>
      </c>
      <c r="F35" s="6">
        <v>5317757</v>
      </c>
    </row>
    <row r="36" spans="1:6" s="5" customFormat="1">
      <c r="A36" s="29" t="s">
        <v>1262</v>
      </c>
      <c r="B36" s="30"/>
      <c r="C36" s="30"/>
      <c r="D36" s="30"/>
      <c r="E36" s="6"/>
      <c r="F36" s="6"/>
    </row>
    <row r="37" spans="1:6" s="5" customFormat="1">
      <c r="A37" s="179" t="s">
        <v>131</v>
      </c>
      <c r="B37" s="30">
        <v>2</v>
      </c>
      <c r="C37" s="30"/>
      <c r="D37" s="30">
        <v>48</v>
      </c>
      <c r="E37" s="6">
        <v>4515043</v>
      </c>
      <c r="F37" s="6">
        <v>0</v>
      </c>
    </row>
    <row r="38" spans="1:6" s="5" customFormat="1">
      <c r="A38" s="179" t="s">
        <v>125</v>
      </c>
      <c r="B38" s="30">
        <v>57</v>
      </c>
      <c r="C38" s="30">
        <v>10</v>
      </c>
      <c r="D38" s="30">
        <v>109</v>
      </c>
      <c r="E38" s="6">
        <v>0</v>
      </c>
      <c r="F38" s="6">
        <v>0</v>
      </c>
    </row>
    <row r="39" spans="1:6" s="5" customFormat="1">
      <c r="A39" s="179" t="s">
        <v>135</v>
      </c>
      <c r="B39" s="30">
        <v>18</v>
      </c>
      <c r="C39" s="30"/>
      <c r="D39" s="30">
        <v>75</v>
      </c>
      <c r="E39" s="6">
        <v>3160772</v>
      </c>
      <c r="F39" s="6">
        <v>0</v>
      </c>
    </row>
    <row r="40" spans="1:6" s="5" customFormat="1">
      <c r="A40" s="179" t="s">
        <v>1260</v>
      </c>
      <c r="B40" s="30">
        <v>3</v>
      </c>
      <c r="C40" s="30"/>
      <c r="D40" s="30">
        <v>24</v>
      </c>
      <c r="E40" s="6">
        <v>0</v>
      </c>
      <c r="F40" s="6">
        <v>232000000</v>
      </c>
    </row>
    <row r="41" spans="1:6" s="5" customFormat="1">
      <c r="A41" s="29" t="s">
        <v>1891</v>
      </c>
      <c r="B41" s="30">
        <v>23</v>
      </c>
      <c r="C41" s="30">
        <v>20</v>
      </c>
      <c r="D41" s="30">
        <v>99</v>
      </c>
      <c r="E41" s="6">
        <v>13300000</v>
      </c>
      <c r="F41" s="6">
        <v>217000000</v>
      </c>
    </row>
    <row r="42" spans="1:6" s="5" customFormat="1">
      <c r="A42" s="29" t="s">
        <v>1279</v>
      </c>
      <c r="B42" s="30">
        <v>1</v>
      </c>
      <c r="C42" s="30"/>
      <c r="D42" s="30">
        <v>13</v>
      </c>
      <c r="E42" s="6">
        <v>26693551</v>
      </c>
      <c r="F42" s="6">
        <v>0</v>
      </c>
    </row>
    <row r="43" spans="1:6" s="5" customFormat="1">
      <c r="A43" s="29" t="s">
        <v>1892</v>
      </c>
      <c r="B43" s="30">
        <v>2</v>
      </c>
      <c r="C43" s="30"/>
      <c r="D43" s="30">
        <v>48</v>
      </c>
      <c r="E43" s="6">
        <v>20739828</v>
      </c>
      <c r="F43" s="6">
        <v>200000000</v>
      </c>
    </row>
    <row r="44" spans="1:6" s="5" customFormat="1">
      <c r="A44" s="29" t="s">
        <v>1893</v>
      </c>
      <c r="B44" s="30">
        <v>12</v>
      </c>
      <c r="C44" s="30"/>
      <c r="D44" s="30">
        <v>59</v>
      </c>
      <c r="E44" s="6">
        <v>45161471</v>
      </c>
      <c r="F44" s="6">
        <v>0</v>
      </c>
    </row>
    <row r="45" spans="1:6" s="5" customFormat="1">
      <c r="A45" s="29" t="s">
        <v>1256</v>
      </c>
      <c r="B45" s="30">
        <v>165</v>
      </c>
      <c r="C45" s="30"/>
      <c r="D45" s="30">
        <v>109</v>
      </c>
      <c r="E45" s="6">
        <v>68304202</v>
      </c>
      <c r="F45" s="6">
        <v>0</v>
      </c>
    </row>
    <row r="46" spans="1:6" s="5" customFormat="1">
      <c r="A46" s="29" t="s">
        <v>1259</v>
      </c>
      <c r="B46" s="30">
        <v>18</v>
      </c>
      <c r="C46" s="30"/>
      <c r="D46" s="30">
        <v>104</v>
      </c>
      <c r="E46" s="6">
        <v>22577282</v>
      </c>
      <c r="F46" s="6">
        <v>28000000</v>
      </c>
    </row>
    <row r="47" spans="1:6" s="5" customFormat="1">
      <c r="A47" s="29" t="s">
        <v>1264</v>
      </c>
      <c r="B47" s="30">
        <v>26</v>
      </c>
      <c r="C47" s="30"/>
      <c r="D47" s="30">
        <v>104</v>
      </c>
      <c r="E47" s="6">
        <v>0</v>
      </c>
      <c r="F47" s="6">
        <v>143290932</v>
      </c>
    </row>
    <row r="48" spans="1:6" s="5" customFormat="1">
      <c r="A48" s="29" t="s">
        <v>1894</v>
      </c>
      <c r="B48" s="30">
        <v>111</v>
      </c>
      <c r="C48" s="30"/>
      <c r="D48" s="30">
        <v>104</v>
      </c>
      <c r="E48" s="6">
        <v>0</v>
      </c>
      <c r="F48" s="6">
        <v>158000000</v>
      </c>
    </row>
    <row r="49" spans="1:6" s="5" customFormat="1">
      <c r="A49" s="29" t="s">
        <v>1895</v>
      </c>
      <c r="B49" s="30">
        <v>10</v>
      </c>
      <c r="C49" s="30"/>
      <c r="D49" s="30">
        <v>59</v>
      </c>
      <c r="E49" s="6">
        <v>27045038</v>
      </c>
      <c r="F49" s="6">
        <v>0</v>
      </c>
    </row>
    <row r="50" spans="1:6" s="5" customFormat="1">
      <c r="A50" s="29" t="s">
        <v>1896</v>
      </c>
      <c r="B50" s="30">
        <v>15</v>
      </c>
      <c r="C50" s="30"/>
      <c r="D50" s="30">
        <v>99</v>
      </c>
      <c r="E50" s="6">
        <v>0</v>
      </c>
      <c r="F50" s="6">
        <v>0</v>
      </c>
    </row>
    <row r="51" spans="1:6" s="5" customFormat="1">
      <c r="A51" s="29" t="s">
        <v>1897</v>
      </c>
      <c r="B51" s="30">
        <v>7</v>
      </c>
      <c r="C51" s="30"/>
      <c r="D51" s="30">
        <v>104</v>
      </c>
      <c r="E51" s="6">
        <v>20554809</v>
      </c>
      <c r="F51" s="6">
        <v>0</v>
      </c>
    </row>
    <row r="52" spans="1:6" s="5" customFormat="1">
      <c r="A52" s="29" t="s">
        <v>1898</v>
      </c>
      <c r="B52" s="30">
        <v>64</v>
      </c>
      <c r="C52" s="30"/>
      <c r="D52" s="30">
        <v>59</v>
      </c>
      <c r="E52" s="6">
        <v>16000000</v>
      </c>
      <c r="F52" s="6">
        <v>69613164</v>
      </c>
    </row>
    <row r="53" spans="1:6" s="5" customFormat="1">
      <c r="A53" s="29" t="s">
        <v>1899</v>
      </c>
      <c r="B53" s="30">
        <v>31</v>
      </c>
      <c r="C53" s="30"/>
      <c r="D53" s="30">
        <v>59</v>
      </c>
      <c r="E53" s="6">
        <v>0</v>
      </c>
      <c r="F53" s="6">
        <v>69613164</v>
      </c>
    </row>
    <row r="54" spans="1:6" s="5" customFormat="1">
      <c r="A54" s="29" t="s">
        <v>1900</v>
      </c>
      <c r="B54" s="30">
        <v>25</v>
      </c>
      <c r="C54" s="30"/>
      <c r="D54" s="30">
        <v>59</v>
      </c>
      <c r="E54" s="6">
        <v>0</v>
      </c>
      <c r="F54" s="6">
        <v>17808541</v>
      </c>
    </row>
    <row r="55" spans="1:6" s="5" customFormat="1">
      <c r="A55" s="29" t="s">
        <v>1257</v>
      </c>
      <c r="B55" s="30">
        <v>80</v>
      </c>
      <c r="C55" s="30"/>
      <c r="D55" s="30">
        <v>104</v>
      </c>
      <c r="E55" s="6">
        <v>0</v>
      </c>
      <c r="F55" s="6">
        <v>292067392</v>
      </c>
    </row>
    <row r="56" spans="1:6" s="5" customFormat="1">
      <c r="A56" s="29" t="s">
        <v>1901</v>
      </c>
      <c r="B56" s="30">
        <v>2</v>
      </c>
      <c r="C56" s="30"/>
      <c r="D56" s="30">
        <v>21</v>
      </c>
      <c r="E56" s="6">
        <v>0</v>
      </c>
      <c r="F56" s="6">
        <v>4658169</v>
      </c>
    </row>
    <row r="57" spans="1:6" s="5" customFormat="1">
      <c r="A57" s="29" t="s">
        <v>1902</v>
      </c>
      <c r="B57" s="30">
        <v>18</v>
      </c>
      <c r="C57" s="30"/>
      <c r="D57" s="30">
        <v>99</v>
      </c>
      <c r="E57" s="6">
        <v>30478704</v>
      </c>
      <c r="F57" s="6">
        <v>0</v>
      </c>
    </row>
    <row r="58" spans="1:6" s="5" customFormat="1">
      <c r="A58" s="29" t="s">
        <v>264</v>
      </c>
      <c r="B58" s="30">
        <v>2496</v>
      </c>
      <c r="C58" s="30">
        <v>59</v>
      </c>
      <c r="D58" s="30">
        <v>109</v>
      </c>
      <c r="E58" s="6">
        <v>802084041</v>
      </c>
      <c r="F58" s="6">
        <v>852000000</v>
      </c>
    </row>
    <row r="59" spans="1:6" s="5" customFormat="1">
      <c r="A59"/>
      <c r="B59"/>
      <c r="C59"/>
      <c r="D59"/>
      <c r="E59"/>
      <c r="F59"/>
    </row>
    <row r="60" spans="1:6" s="5" customFormat="1">
      <c r="A60"/>
      <c r="B60"/>
      <c r="C60"/>
      <c r="D60"/>
      <c r="E60"/>
      <c r="F60"/>
    </row>
    <row r="61" spans="1:6" s="5" customFormat="1">
      <c r="A61"/>
      <c r="B61"/>
      <c r="C61"/>
      <c r="D61"/>
      <c r="E61"/>
      <c r="F61"/>
    </row>
    <row r="62" spans="1:6" s="5" customFormat="1">
      <c r="A62"/>
      <c r="B62"/>
      <c r="C62"/>
      <c r="D62"/>
      <c r="E62"/>
      <c r="F62"/>
    </row>
    <row r="63" spans="1:6" s="5" customFormat="1">
      <c r="A63"/>
      <c r="B63"/>
      <c r="C63"/>
      <c r="D63"/>
      <c r="E63"/>
      <c r="F63"/>
    </row>
    <row r="64" spans="1:6" s="5" customFormat="1">
      <c r="A64"/>
      <c r="B64"/>
      <c r="C64"/>
      <c r="D64"/>
      <c r="E64"/>
      <c r="F64"/>
    </row>
    <row r="65" spans="1:6" s="5" customFormat="1">
      <c r="A65"/>
      <c r="B65"/>
      <c r="C65"/>
      <c r="D65"/>
      <c r="E65"/>
      <c r="F65"/>
    </row>
    <row r="66" spans="1:6" s="5" customFormat="1">
      <c r="A66"/>
      <c r="B66"/>
      <c r="C66"/>
      <c r="D66"/>
      <c r="E66"/>
      <c r="F66"/>
    </row>
    <row r="67" spans="1:6" s="5" customFormat="1">
      <c r="A67"/>
      <c r="B67"/>
      <c r="C67"/>
      <c r="D67"/>
      <c r="E67"/>
      <c r="F67"/>
    </row>
    <row r="68" spans="1:6" s="5" customFormat="1">
      <c r="A68"/>
      <c r="B68"/>
      <c r="C68"/>
      <c r="D68"/>
      <c r="E68"/>
      <c r="F68"/>
    </row>
    <row r="69" spans="1:6" s="5" customFormat="1">
      <c r="A69"/>
      <c r="B69"/>
      <c r="C69"/>
      <c r="D69"/>
      <c r="E69"/>
      <c r="F69"/>
    </row>
    <row r="70" spans="1:6" s="5" customFormat="1">
      <c r="A70"/>
      <c r="B70"/>
      <c r="C70"/>
      <c r="D70"/>
      <c r="E70"/>
      <c r="F70"/>
    </row>
    <row r="71" spans="1:6" s="5" customFormat="1">
      <c r="A71"/>
      <c r="B71"/>
      <c r="C71"/>
      <c r="D71"/>
      <c r="E71"/>
      <c r="F71"/>
    </row>
    <row r="72" spans="1:6" s="5" customFormat="1">
      <c r="A72"/>
      <c r="B72"/>
      <c r="C72"/>
      <c r="D72"/>
      <c r="E72"/>
      <c r="F72"/>
    </row>
    <row r="73" spans="1:6" s="5" customFormat="1">
      <c r="A73"/>
      <c r="B73"/>
      <c r="C73"/>
      <c r="D73"/>
      <c r="E73"/>
      <c r="F73"/>
    </row>
    <row r="74" spans="1:6" s="5" customFormat="1">
      <c r="A74"/>
      <c r="B74"/>
      <c r="C74"/>
      <c r="D74"/>
      <c r="E74"/>
      <c r="F74"/>
    </row>
    <row r="75" spans="1:6" s="5" customFormat="1">
      <c r="A75"/>
      <c r="B75"/>
      <c r="C75"/>
      <c r="D75"/>
      <c r="E75"/>
      <c r="F75"/>
    </row>
    <row r="76" spans="1:6" s="5" customFormat="1">
      <c r="A76"/>
      <c r="B76"/>
      <c r="C76"/>
      <c r="D76"/>
      <c r="E76"/>
      <c r="F76"/>
    </row>
    <row r="77" spans="1:6" s="5" customFormat="1">
      <c r="A77"/>
      <c r="B77"/>
      <c r="C77"/>
      <c r="D77"/>
      <c r="E77"/>
      <c r="F77"/>
    </row>
    <row r="78" spans="1:6" s="5" customFormat="1">
      <c r="A78"/>
      <c r="B78"/>
      <c r="C78"/>
      <c r="D78"/>
      <c r="E78"/>
      <c r="F78"/>
    </row>
    <row r="79" spans="1:6" s="5" customFormat="1">
      <c r="A79"/>
      <c r="B79"/>
      <c r="C79"/>
      <c r="D79"/>
      <c r="E79"/>
      <c r="F79"/>
    </row>
    <row r="80" spans="1:6" s="5" customFormat="1">
      <c r="A80"/>
      <c r="B80"/>
      <c r="C80"/>
      <c r="D80"/>
      <c r="E80"/>
      <c r="F80"/>
    </row>
    <row r="81" spans="1:6" s="5" customFormat="1">
      <c r="A81"/>
      <c r="B81"/>
      <c r="C81"/>
      <c r="D81"/>
      <c r="E81"/>
      <c r="F81"/>
    </row>
    <row r="82" spans="1:6" s="5" customFormat="1">
      <c r="A82"/>
      <c r="B82"/>
      <c r="C82"/>
      <c r="D82"/>
      <c r="E82"/>
      <c r="F82"/>
    </row>
    <row r="83" spans="1:6" s="5" customFormat="1">
      <c r="A83"/>
      <c r="B83"/>
      <c r="C83"/>
      <c r="D83"/>
      <c r="E83"/>
      <c r="F83"/>
    </row>
    <row r="84" spans="1:6" s="5" customFormat="1">
      <c r="A84"/>
      <c r="B84"/>
      <c r="C84"/>
      <c r="D84"/>
      <c r="E84"/>
      <c r="F84"/>
    </row>
    <row r="85" spans="1:6" s="5" customFormat="1">
      <c r="A85"/>
      <c r="B85"/>
      <c r="C85"/>
      <c r="D85"/>
      <c r="E85"/>
      <c r="F85"/>
    </row>
    <row r="86" spans="1:6" s="5" customFormat="1">
      <c r="A86"/>
      <c r="B86"/>
      <c r="C86"/>
      <c r="D86"/>
      <c r="E86"/>
      <c r="F86"/>
    </row>
    <row r="87" spans="1:6" s="5" customFormat="1">
      <c r="A87"/>
      <c r="B87"/>
      <c r="C87"/>
      <c r="D87"/>
      <c r="E87"/>
      <c r="F87"/>
    </row>
    <row r="88" spans="1:6" s="5" customFormat="1">
      <c r="A88"/>
      <c r="B88"/>
      <c r="C88"/>
      <c r="D88"/>
      <c r="E88"/>
      <c r="F88"/>
    </row>
    <row r="89" spans="1:6" s="5" customFormat="1">
      <c r="A89"/>
      <c r="B89"/>
      <c r="C89"/>
      <c r="D89"/>
      <c r="E89"/>
      <c r="F89"/>
    </row>
    <row r="90" spans="1:6" s="5" customFormat="1">
      <c r="A90"/>
      <c r="B90"/>
      <c r="C90"/>
      <c r="D90"/>
      <c r="E90"/>
      <c r="F90"/>
    </row>
    <row r="91" spans="1:6" s="5" customFormat="1">
      <c r="A91"/>
      <c r="B91"/>
      <c r="C91"/>
      <c r="D91"/>
      <c r="E91"/>
      <c r="F91"/>
    </row>
    <row r="92" spans="1:6" s="5" customFormat="1">
      <c r="A92"/>
      <c r="B92"/>
      <c r="C92"/>
      <c r="D92"/>
      <c r="E92"/>
      <c r="F92"/>
    </row>
    <row r="93" spans="1:6" s="5" customFormat="1">
      <c r="A93"/>
      <c r="B93"/>
      <c r="C93"/>
      <c r="D93"/>
      <c r="E93"/>
      <c r="F93"/>
    </row>
    <row r="94" spans="1:6" s="5" customFormat="1">
      <c r="A94"/>
      <c r="B94"/>
      <c r="C94"/>
      <c r="D94"/>
      <c r="E94"/>
      <c r="F94"/>
    </row>
    <row r="95" spans="1:6" s="5" customFormat="1">
      <c r="A95"/>
      <c r="B95"/>
      <c r="C95"/>
      <c r="D95"/>
      <c r="E95"/>
      <c r="F95"/>
    </row>
    <row r="96" spans="1:6" s="5" customFormat="1">
      <c r="A96"/>
      <c r="B96"/>
      <c r="C96"/>
      <c r="D96"/>
      <c r="E96"/>
      <c r="F96"/>
    </row>
    <row r="97" spans="1:6" s="5" customFormat="1">
      <c r="A97"/>
      <c r="B97"/>
      <c r="C97"/>
      <c r="D97"/>
      <c r="E97"/>
      <c r="F97"/>
    </row>
    <row r="98" spans="1:6" s="5" customFormat="1">
      <c r="A98"/>
      <c r="B98"/>
      <c r="C98"/>
      <c r="D98"/>
      <c r="E98"/>
      <c r="F98"/>
    </row>
    <row r="99" spans="1:6" s="5" customFormat="1">
      <c r="A99"/>
      <c r="B99"/>
      <c r="C99"/>
      <c r="D99"/>
      <c r="E99"/>
      <c r="F99"/>
    </row>
    <row r="100" spans="1:6" s="5" customFormat="1">
      <c r="A100"/>
      <c r="B100"/>
      <c r="C100"/>
      <c r="D100"/>
      <c r="E100"/>
      <c r="F100"/>
    </row>
    <row r="101" spans="1:6" s="5" customFormat="1">
      <c r="A101"/>
      <c r="B101"/>
      <c r="C101"/>
      <c r="D101"/>
      <c r="E101"/>
      <c r="F101"/>
    </row>
    <row r="102" spans="1:6" s="5" customFormat="1">
      <c r="A102"/>
      <c r="B102"/>
      <c r="C102"/>
      <c r="D102"/>
      <c r="E102"/>
      <c r="F102"/>
    </row>
    <row r="103" spans="1:6" s="5" customFormat="1">
      <c r="A103"/>
      <c r="B103"/>
      <c r="C103"/>
      <c r="D103"/>
      <c r="E103"/>
      <c r="F103"/>
    </row>
    <row r="104" spans="1:6" s="5" customFormat="1">
      <c r="A104"/>
      <c r="B104"/>
      <c r="C104"/>
      <c r="D104"/>
      <c r="E104"/>
      <c r="F104"/>
    </row>
    <row r="105" spans="1:6" s="5" customFormat="1">
      <c r="A105"/>
      <c r="B105"/>
      <c r="C105"/>
      <c r="D105"/>
      <c r="E105"/>
      <c r="F105"/>
    </row>
    <row r="106" spans="1:6" s="5" customFormat="1">
      <c r="A106"/>
      <c r="B106"/>
      <c r="C106"/>
      <c r="D106"/>
      <c r="E106"/>
      <c r="F106"/>
    </row>
    <row r="107" spans="1:6" s="5" customFormat="1">
      <c r="A107"/>
      <c r="B107"/>
      <c r="C107"/>
      <c r="D107"/>
      <c r="E107"/>
      <c r="F107"/>
    </row>
    <row r="108" spans="1:6" s="5" customFormat="1">
      <c r="A108"/>
      <c r="B108"/>
      <c r="C108"/>
      <c r="D108"/>
      <c r="E108"/>
      <c r="F108"/>
    </row>
    <row r="109" spans="1:6" s="5" customFormat="1">
      <c r="A109"/>
      <c r="B109"/>
      <c r="C109"/>
      <c r="D109"/>
      <c r="E109"/>
      <c r="F109"/>
    </row>
    <row r="110" spans="1:6" s="5" customFormat="1">
      <c r="A110"/>
      <c r="B110"/>
      <c r="C110"/>
      <c r="D110"/>
      <c r="E110"/>
      <c r="F110"/>
    </row>
    <row r="111" spans="1:6" s="5" customFormat="1">
      <c r="A111"/>
      <c r="B111"/>
      <c r="C111"/>
      <c r="D111"/>
      <c r="E111"/>
      <c r="F111"/>
    </row>
    <row r="112" spans="1:6" s="5" customFormat="1">
      <c r="A112"/>
      <c r="B112"/>
      <c r="C112"/>
      <c r="D112"/>
      <c r="E112"/>
      <c r="F112"/>
    </row>
    <row r="113" spans="1:6" s="5" customFormat="1">
      <c r="A113"/>
      <c r="B113"/>
      <c r="C113"/>
      <c r="D113"/>
      <c r="E113"/>
      <c r="F113"/>
    </row>
    <row r="114" spans="1:6" s="5" customFormat="1">
      <c r="A114"/>
      <c r="B114"/>
      <c r="C114"/>
      <c r="D114"/>
      <c r="E114"/>
      <c r="F114"/>
    </row>
    <row r="115" spans="1:6" s="5" customFormat="1">
      <c r="A115"/>
      <c r="B115"/>
      <c r="C115"/>
      <c r="D115"/>
      <c r="E115"/>
      <c r="F115"/>
    </row>
    <row r="116" spans="1:6" s="5" customFormat="1">
      <c r="A116"/>
      <c r="B116"/>
      <c r="C116"/>
      <c r="D116"/>
      <c r="E116"/>
      <c r="F116"/>
    </row>
    <row r="117" spans="1:6" s="5" customFormat="1">
      <c r="A117"/>
      <c r="B117"/>
      <c r="C117"/>
      <c r="D117"/>
      <c r="E117"/>
      <c r="F117"/>
    </row>
    <row r="118" spans="1:6" s="5" customFormat="1">
      <c r="A118"/>
      <c r="B118"/>
      <c r="C118"/>
      <c r="D118"/>
      <c r="E118"/>
      <c r="F118"/>
    </row>
    <row r="119" spans="1:6" s="5" customFormat="1">
      <c r="A119"/>
      <c r="B119"/>
      <c r="C119"/>
      <c r="D119"/>
      <c r="E119"/>
      <c r="F119"/>
    </row>
    <row r="120" spans="1:6" s="5" customFormat="1">
      <c r="A120"/>
      <c r="B120"/>
      <c r="C120"/>
      <c r="D120"/>
      <c r="E120"/>
      <c r="F120"/>
    </row>
    <row r="121" spans="1:6" s="5" customFormat="1">
      <c r="A121"/>
      <c r="B121"/>
      <c r="C121"/>
      <c r="D121"/>
      <c r="E121"/>
      <c r="F121"/>
    </row>
    <row r="122" spans="1:6" s="5" customFormat="1">
      <c r="A122"/>
      <c r="B122"/>
      <c r="C122"/>
      <c r="D122"/>
      <c r="E122"/>
      <c r="F122"/>
    </row>
    <row r="123" spans="1:6" s="5" customFormat="1">
      <c r="A123"/>
      <c r="B123"/>
      <c r="C123"/>
      <c r="D123"/>
      <c r="E123"/>
      <c r="F123"/>
    </row>
    <row r="124" spans="1:6" s="5" customFormat="1">
      <c r="A124"/>
      <c r="B124"/>
      <c r="C124"/>
      <c r="D124"/>
      <c r="E124"/>
      <c r="F124"/>
    </row>
    <row r="125" spans="1:6" s="5" customFormat="1">
      <c r="A125"/>
      <c r="B125"/>
      <c r="C125"/>
      <c r="D125"/>
      <c r="E125"/>
      <c r="F125"/>
    </row>
    <row r="126" spans="1:6" s="5" customFormat="1">
      <c r="A126"/>
      <c r="B126"/>
      <c r="C126"/>
      <c r="D126"/>
      <c r="E126"/>
      <c r="F126"/>
    </row>
    <row r="127" spans="1:6" s="5" customFormat="1">
      <c r="A127"/>
      <c r="B127"/>
      <c r="C127"/>
      <c r="D127"/>
      <c r="E127"/>
      <c r="F127"/>
    </row>
    <row r="128" spans="1:6" s="5" customFormat="1">
      <c r="A128"/>
      <c r="B128"/>
      <c r="C128"/>
      <c r="D128"/>
      <c r="E128"/>
      <c r="F128"/>
    </row>
    <row r="129" spans="1:6" s="5" customFormat="1">
      <c r="A129"/>
      <c r="B129"/>
      <c r="C129"/>
      <c r="D129"/>
      <c r="E129"/>
      <c r="F129"/>
    </row>
    <row r="130" spans="1:6" s="5" customFormat="1">
      <c r="A130"/>
      <c r="B130"/>
      <c r="C130"/>
      <c r="D130"/>
      <c r="E130"/>
      <c r="F130"/>
    </row>
    <row r="131" spans="1:6" s="5" customFormat="1">
      <c r="A131"/>
      <c r="B131"/>
      <c r="C131"/>
      <c r="D131"/>
      <c r="E131"/>
      <c r="F131"/>
    </row>
    <row r="132" spans="1:6" s="5" customFormat="1">
      <c r="A132"/>
      <c r="B132"/>
      <c r="C132"/>
      <c r="D132"/>
      <c r="E132"/>
      <c r="F132"/>
    </row>
    <row r="133" spans="1:6" s="5" customFormat="1">
      <c r="A133"/>
      <c r="B133"/>
      <c r="C133"/>
      <c r="D133"/>
      <c r="E133"/>
      <c r="F133"/>
    </row>
    <row r="134" spans="1:6" s="5" customFormat="1">
      <c r="A134"/>
      <c r="B134"/>
      <c r="C134"/>
      <c r="D134"/>
      <c r="E134"/>
      <c r="F134"/>
    </row>
    <row r="135" spans="1:6" s="5" customFormat="1">
      <c r="A135"/>
      <c r="B135"/>
      <c r="C135"/>
      <c r="D135"/>
      <c r="E135"/>
      <c r="F135"/>
    </row>
    <row r="136" spans="1:6" s="5" customFormat="1">
      <c r="A136"/>
      <c r="B136"/>
      <c r="C136"/>
      <c r="D136"/>
      <c r="E136"/>
      <c r="F136"/>
    </row>
    <row r="137" spans="1:6" s="5" customFormat="1">
      <c r="A137"/>
      <c r="B137"/>
      <c r="C137"/>
      <c r="D137"/>
      <c r="E137"/>
      <c r="F137"/>
    </row>
    <row r="138" spans="1:6" s="5" customFormat="1">
      <c r="A138"/>
      <c r="B138"/>
      <c r="C138"/>
      <c r="D138"/>
      <c r="E138"/>
      <c r="F138"/>
    </row>
    <row r="139" spans="1:6" s="5" customFormat="1">
      <c r="A139"/>
      <c r="B139"/>
      <c r="C139"/>
      <c r="D139"/>
      <c r="E139"/>
      <c r="F139"/>
    </row>
    <row r="140" spans="1:6" s="5" customFormat="1">
      <c r="A140"/>
      <c r="B140"/>
      <c r="C140"/>
      <c r="D140"/>
      <c r="E140"/>
      <c r="F140"/>
    </row>
    <row r="141" spans="1:6" s="5" customFormat="1">
      <c r="A141"/>
      <c r="B141"/>
      <c r="C141"/>
      <c r="D141"/>
      <c r="E141"/>
      <c r="F141"/>
    </row>
    <row r="142" spans="1:6" s="5" customFormat="1">
      <c r="A142"/>
      <c r="B142"/>
      <c r="C142"/>
      <c r="D142"/>
      <c r="E142"/>
      <c r="F142"/>
    </row>
    <row r="143" spans="1:6" s="5" customFormat="1">
      <c r="A143"/>
      <c r="B143"/>
      <c r="C143"/>
      <c r="D143"/>
      <c r="E143"/>
      <c r="F143"/>
    </row>
    <row r="144" spans="1:6" s="5" customFormat="1">
      <c r="A144"/>
      <c r="B144"/>
      <c r="C144"/>
      <c r="D144"/>
      <c r="E144"/>
      <c r="F144"/>
    </row>
    <row r="145" spans="1:6" s="5" customFormat="1">
      <c r="A145"/>
      <c r="B145"/>
      <c r="C145"/>
      <c r="D145"/>
      <c r="E145"/>
      <c r="F145"/>
    </row>
    <row r="146" spans="1:6" s="5" customFormat="1">
      <c r="A146"/>
      <c r="B146"/>
      <c r="C146"/>
      <c r="D146"/>
      <c r="E146"/>
      <c r="F146"/>
    </row>
    <row r="147" spans="1:6" s="5" customFormat="1">
      <c r="A147"/>
      <c r="B147"/>
      <c r="C147"/>
      <c r="D147"/>
      <c r="E147"/>
      <c r="F147"/>
    </row>
    <row r="148" spans="1:6" s="5" customFormat="1">
      <c r="A148"/>
      <c r="B148"/>
      <c r="C148"/>
      <c r="D148"/>
      <c r="E148"/>
      <c r="F148"/>
    </row>
    <row r="149" spans="1:6" s="5" customFormat="1">
      <c r="A149"/>
      <c r="B149"/>
      <c r="C149"/>
      <c r="D149"/>
      <c r="E149"/>
      <c r="F149"/>
    </row>
    <row r="150" spans="1:6" s="5" customFormat="1">
      <c r="A150"/>
      <c r="B150"/>
      <c r="C150"/>
      <c r="D150"/>
      <c r="E150"/>
      <c r="F150"/>
    </row>
    <row r="151" spans="1:6" s="5" customFormat="1">
      <c r="A151"/>
      <c r="B151"/>
      <c r="C151"/>
      <c r="D151"/>
      <c r="E151"/>
      <c r="F151"/>
    </row>
    <row r="152" spans="1:6" s="5" customFormat="1">
      <c r="A152"/>
      <c r="B152"/>
      <c r="C152"/>
      <c r="D152"/>
      <c r="E152"/>
      <c r="F152"/>
    </row>
    <row r="153" spans="1:6" s="5" customFormat="1">
      <c r="A153"/>
      <c r="B153"/>
      <c r="C153"/>
      <c r="D153"/>
      <c r="E153"/>
      <c r="F153"/>
    </row>
    <row r="154" spans="1:6" s="5" customFormat="1">
      <c r="A154"/>
      <c r="B154"/>
      <c r="C154"/>
      <c r="D154"/>
      <c r="E154"/>
      <c r="F154"/>
    </row>
    <row r="155" spans="1:6" s="5" customFormat="1">
      <c r="A155"/>
      <c r="B155"/>
      <c r="C155"/>
      <c r="D155"/>
      <c r="E155"/>
      <c r="F155"/>
    </row>
    <row r="156" spans="1:6" s="5" customFormat="1">
      <c r="A156"/>
      <c r="B156"/>
      <c r="C156"/>
      <c r="D156"/>
      <c r="E156"/>
      <c r="F156"/>
    </row>
    <row r="157" spans="1:6" s="5" customFormat="1"/>
    <row r="158" spans="1:6" s="5" customFormat="1"/>
    <row r="159" spans="1:6" s="5" customFormat="1"/>
    <row r="160" spans="1:6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  <pageSetUpPr fitToPage="1"/>
  </sheetPr>
  <dimension ref="A1:W763"/>
  <sheetViews>
    <sheetView zoomScale="90" zoomScaleNormal="90" workbookViewId="0">
      <selection activeCell="C5" sqref="C5"/>
    </sheetView>
  </sheetViews>
  <sheetFormatPr defaultColWidth="34" defaultRowHeight="12.75"/>
  <cols>
    <col min="1" max="1" width="18.140625" style="10" bestFit="1" customWidth="1"/>
    <col min="2" max="2" width="18" style="10" bestFit="1" customWidth="1"/>
    <col min="3" max="3" width="32.42578125" style="10" customWidth="1"/>
    <col min="4" max="4" width="16.28515625" style="10" customWidth="1"/>
    <col min="5" max="5" width="41.42578125" style="87" customWidth="1"/>
    <col min="6" max="6" width="18" style="10" customWidth="1"/>
    <col min="7" max="7" width="18.7109375" style="10" customWidth="1"/>
    <col min="8" max="8" width="22.5703125" style="92" customWidth="1"/>
    <col min="9" max="9" width="22.140625" style="10" customWidth="1"/>
    <col min="10" max="23" width="34" style="92"/>
    <col min="24" max="16384" width="34" style="10"/>
  </cols>
  <sheetData>
    <row r="1" spans="1:9" s="92" customFormat="1">
      <c r="A1" s="132" t="s">
        <v>360</v>
      </c>
      <c r="B1" s="132" t="s">
        <v>1904</v>
      </c>
      <c r="E1" s="86"/>
    </row>
    <row r="2" spans="1:9" s="92" customFormat="1">
      <c r="E2" s="86"/>
    </row>
    <row r="3" spans="1:9">
      <c r="A3" s="130"/>
      <c r="B3" s="130"/>
      <c r="C3" s="130"/>
      <c r="D3" s="130"/>
      <c r="E3" s="130"/>
      <c r="F3" s="130"/>
      <c r="G3" s="130"/>
      <c r="H3" s="132" t="s">
        <v>391</v>
      </c>
      <c r="I3" s="130"/>
    </row>
    <row r="4" spans="1:9">
      <c r="A4" s="131" t="s">
        <v>358</v>
      </c>
      <c r="B4" s="131" t="s">
        <v>454</v>
      </c>
      <c r="C4" s="131" t="s">
        <v>0</v>
      </c>
      <c r="D4" s="131" t="s">
        <v>8</v>
      </c>
      <c r="E4" s="91" t="s">
        <v>287</v>
      </c>
      <c r="F4" s="131" t="s">
        <v>5</v>
      </c>
      <c r="G4" s="131" t="s">
        <v>6</v>
      </c>
      <c r="H4" s="130" t="s">
        <v>361</v>
      </c>
      <c r="I4" s="130" t="s">
        <v>392</v>
      </c>
    </row>
    <row r="5" spans="1:9">
      <c r="A5" s="130" t="s">
        <v>1903</v>
      </c>
      <c r="B5" s="130" t="s">
        <v>1601</v>
      </c>
      <c r="C5" s="130" t="s">
        <v>203</v>
      </c>
      <c r="D5" s="130" t="s">
        <v>204</v>
      </c>
      <c r="E5" s="130" t="s">
        <v>1602</v>
      </c>
      <c r="F5" s="130" t="s">
        <v>27</v>
      </c>
      <c r="G5" s="130" t="s">
        <v>16</v>
      </c>
      <c r="H5" s="129">
        <v>1</v>
      </c>
      <c r="I5" s="129">
        <v>1</v>
      </c>
    </row>
    <row r="6" spans="1:9">
      <c r="A6" s="130"/>
      <c r="B6" s="130"/>
      <c r="C6" s="130"/>
      <c r="D6" s="130"/>
      <c r="E6" s="130"/>
      <c r="F6" s="130"/>
      <c r="G6" s="130" t="s">
        <v>32</v>
      </c>
      <c r="H6" s="129">
        <v>1</v>
      </c>
      <c r="I6" s="129">
        <v>1</v>
      </c>
    </row>
    <row r="7" spans="1:9">
      <c r="A7" s="130"/>
      <c r="B7" s="130"/>
      <c r="C7" s="130"/>
      <c r="D7" s="130"/>
      <c r="E7" s="130"/>
      <c r="F7" s="130" t="s">
        <v>354</v>
      </c>
      <c r="G7" s="130" t="s">
        <v>474</v>
      </c>
      <c r="H7" s="129">
        <v>1</v>
      </c>
      <c r="I7" s="129">
        <v>1</v>
      </c>
    </row>
    <row r="8" spans="1:9">
      <c r="A8" s="130"/>
      <c r="B8" s="130"/>
      <c r="C8" s="130"/>
      <c r="D8" s="130"/>
      <c r="E8" s="130"/>
      <c r="F8" s="130" t="s">
        <v>1451</v>
      </c>
      <c r="G8" s="130" t="s">
        <v>16</v>
      </c>
      <c r="H8" s="129">
        <v>3</v>
      </c>
      <c r="I8" s="129">
        <v>1</v>
      </c>
    </row>
    <row r="9" spans="1:9">
      <c r="A9" s="130"/>
      <c r="B9" s="130"/>
      <c r="C9" s="130"/>
      <c r="D9" s="130"/>
      <c r="E9" s="130"/>
      <c r="F9" s="130"/>
      <c r="G9" s="130" t="s">
        <v>1452</v>
      </c>
      <c r="H9" s="129">
        <v>1</v>
      </c>
      <c r="I9" s="129">
        <v>1</v>
      </c>
    </row>
    <row r="10" spans="1:9">
      <c r="A10" s="130"/>
      <c r="B10" s="130" t="s">
        <v>1636</v>
      </c>
      <c r="C10" s="130" t="s">
        <v>239</v>
      </c>
      <c r="D10" s="130" t="s">
        <v>170</v>
      </c>
      <c r="E10" s="130" t="s">
        <v>1637</v>
      </c>
      <c r="F10" s="192" t="s">
        <v>27</v>
      </c>
      <c r="G10" s="192" t="s">
        <v>32</v>
      </c>
      <c r="H10" s="189">
        <v>1</v>
      </c>
      <c r="I10" s="129">
        <v>2</v>
      </c>
    </row>
    <row r="11" spans="1:9">
      <c r="A11" s="130"/>
      <c r="B11" s="130"/>
      <c r="C11" s="130"/>
      <c r="D11" s="130"/>
      <c r="E11" s="130"/>
      <c r="F11" s="192" t="s">
        <v>354</v>
      </c>
      <c r="G11" s="192" t="s">
        <v>17</v>
      </c>
      <c r="H11" s="189">
        <v>1</v>
      </c>
      <c r="I11" s="129">
        <v>2</v>
      </c>
    </row>
    <row r="12" spans="1:9">
      <c r="A12" s="130"/>
      <c r="B12" s="130"/>
      <c r="C12" s="130"/>
      <c r="D12" s="130"/>
      <c r="E12" s="130"/>
      <c r="F12" s="192" t="s">
        <v>1451</v>
      </c>
      <c r="G12" s="192" t="s">
        <v>1452</v>
      </c>
      <c r="H12" s="189">
        <v>1</v>
      </c>
      <c r="I12" s="129">
        <v>2</v>
      </c>
    </row>
    <row r="13" spans="1:9">
      <c r="A13" s="130"/>
      <c r="B13" s="130" t="s">
        <v>1690</v>
      </c>
      <c r="C13" s="130" t="s">
        <v>114</v>
      </c>
      <c r="D13" s="130" t="s">
        <v>115</v>
      </c>
      <c r="E13" s="130" t="s">
        <v>1691</v>
      </c>
      <c r="F13" s="192" t="s">
        <v>14</v>
      </c>
      <c r="G13" s="192" t="s">
        <v>15</v>
      </c>
      <c r="H13" s="189">
        <v>3</v>
      </c>
      <c r="I13" s="129">
        <v>3</v>
      </c>
    </row>
    <row r="14" spans="1:9">
      <c r="A14" s="130"/>
      <c r="B14" s="130"/>
      <c r="C14" s="130"/>
      <c r="D14" s="130"/>
      <c r="E14" s="130"/>
      <c r="F14" s="192"/>
      <c r="G14" s="192" t="s">
        <v>16</v>
      </c>
      <c r="H14" s="189">
        <v>6</v>
      </c>
      <c r="I14" s="129">
        <v>3</v>
      </c>
    </row>
    <row r="15" spans="1:9">
      <c r="A15" s="130"/>
      <c r="B15" s="130"/>
      <c r="C15" s="130"/>
      <c r="D15" s="130"/>
      <c r="E15" s="130"/>
      <c r="F15" s="192"/>
      <c r="G15" s="192" t="s">
        <v>17</v>
      </c>
      <c r="H15" s="189">
        <v>3</v>
      </c>
      <c r="I15" s="129">
        <v>3</v>
      </c>
    </row>
    <row r="16" spans="1:9">
      <c r="A16" s="130"/>
      <c r="B16" s="130"/>
      <c r="C16" s="130"/>
      <c r="D16" s="130"/>
      <c r="E16" s="130"/>
      <c r="F16" s="192"/>
      <c r="G16" s="192" t="s">
        <v>1417</v>
      </c>
      <c r="H16" s="189">
        <v>2</v>
      </c>
      <c r="I16" s="129">
        <v>3</v>
      </c>
    </row>
    <row r="17" spans="1:10">
      <c r="A17" s="130"/>
      <c r="B17" s="130"/>
      <c r="C17" s="130"/>
      <c r="D17" s="130"/>
      <c r="E17" s="130"/>
      <c r="F17" s="192" t="s">
        <v>27</v>
      </c>
      <c r="G17" s="192" t="s">
        <v>26</v>
      </c>
      <c r="H17" s="189">
        <v>6</v>
      </c>
      <c r="I17" s="129">
        <v>3</v>
      </c>
    </row>
    <row r="18" spans="1:10">
      <c r="A18" s="130"/>
      <c r="B18" s="130" t="s">
        <v>1752</v>
      </c>
      <c r="C18" s="130" t="s">
        <v>125</v>
      </c>
      <c r="D18" s="130" t="s">
        <v>126</v>
      </c>
      <c r="E18" s="130" t="s">
        <v>125</v>
      </c>
      <c r="F18" s="192" t="s">
        <v>27</v>
      </c>
      <c r="G18" s="192" t="s">
        <v>26</v>
      </c>
      <c r="H18" s="189">
        <v>5</v>
      </c>
      <c r="I18" s="129">
        <v>3</v>
      </c>
    </row>
    <row r="19" spans="1:10">
      <c r="A19" s="130"/>
      <c r="B19" s="130" t="s">
        <v>1757</v>
      </c>
      <c r="C19" s="130" t="s">
        <v>125</v>
      </c>
      <c r="D19" s="130" t="s">
        <v>1281</v>
      </c>
      <c r="E19" s="130" t="s">
        <v>1758</v>
      </c>
      <c r="F19" s="192" t="s">
        <v>27</v>
      </c>
      <c r="G19" s="192" t="s">
        <v>16</v>
      </c>
      <c r="H19" s="189">
        <v>1</v>
      </c>
      <c r="I19" s="129">
        <v>3</v>
      </c>
      <c r="J19" s="166"/>
    </row>
    <row r="20" spans="1:10">
      <c r="A20" s="130"/>
      <c r="B20" s="130"/>
      <c r="C20" s="130"/>
      <c r="D20" s="130"/>
      <c r="E20" s="130"/>
      <c r="F20" s="192"/>
      <c r="G20" s="192" t="s">
        <v>26</v>
      </c>
      <c r="H20" s="189">
        <v>2</v>
      </c>
      <c r="I20" s="129">
        <v>3</v>
      </c>
    </row>
    <row r="21" spans="1:10">
      <c r="A21" s="130"/>
      <c r="B21" s="130" t="s">
        <v>1760</v>
      </c>
      <c r="C21" s="130" t="s">
        <v>125</v>
      </c>
      <c r="D21" s="130" t="s">
        <v>132</v>
      </c>
      <c r="E21" s="130" t="s">
        <v>1761</v>
      </c>
      <c r="F21" s="192" t="s">
        <v>27</v>
      </c>
      <c r="G21" s="192" t="s">
        <v>26</v>
      </c>
      <c r="H21" s="189">
        <v>2</v>
      </c>
      <c r="I21" s="129">
        <v>3</v>
      </c>
    </row>
    <row r="22" spans="1:10">
      <c r="A22" s="130" t="s">
        <v>1905</v>
      </c>
      <c r="B22" s="130"/>
      <c r="C22" s="130"/>
      <c r="D22" s="130"/>
      <c r="E22" s="130"/>
      <c r="F22" s="130"/>
      <c r="G22" s="130"/>
      <c r="H22" s="189">
        <v>40</v>
      </c>
      <c r="I22" s="129">
        <v>3</v>
      </c>
    </row>
    <row r="23" spans="1:10">
      <c r="A23" s="130" t="s">
        <v>264</v>
      </c>
      <c r="B23" s="130"/>
      <c r="C23" s="130"/>
      <c r="D23" s="130"/>
      <c r="E23" s="130"/>
      <c r="F23" s="130"/>
      <c r="G23" s="130"/>
      <c r="H23" s="129">
        <v>40</v>
      </c>
      <c r="I23" s="129">
        <v>3</v>
      </c>
    </row>
    <row r="24" spans="1:10" ht="15">
      <c r="A24"/>
      <c r="B24"/>
      <c r="C24"/>
      <c r="D24"/>
      <c r="E24"/>
      <c r="F24"/>
      <c r="G24"/>
      <c r="H24"/>
      <c r="I24"/>
    </row>
    <row r="25" spans="1:10" ht="15">
      <c r="A25"/>
      <c r="B25"/>
      <c r="C25"/>
      <c r="D25"/>
      <c r="E25"/>
      <c r="F25"/>
      <c r="G25"/>
      <c r="H25"/>
      <c r="I25"/>
    </row>
    <row r="26" spans="1:10" ht="15">
      <c r="A26"/>
      <c r="B26"/>
      <c r="C26"/>
      <c r="D26"/>
      <c r="E26"/>
      <c r="F26"/>
      <c r="G26"/>
      <c r="H26"/>
      <c r="I26"/>
    </row>
    <row r="27" spans="1:10" ht="15">
      <c r="A27"/>
      <c r="B27"/>
      <c r="C27"/>
      <c r="D27"/>
      <c r="E27"/>
      <c r="F27"/>
      <c r="G27"/>
      <c r="H27"/>
      <c r="I27"/>
    </row>
    <row r="28" spans="1:10" ht="15">
      <c r="A28"/>
      <c r="B28"/>
      <c r="C28"/>
      <c r="D28"/>
      <c r="E28"/>
      <c r="F28"/>
      <c r="G28"/>
      <c r="H28"/>
      <c r="I28"/>
    </row>
    <row r="29" spans="1:10" ht="15">
      <c r="A29"/>
      <c r="B29"/>
      <c r="C29"/>
      <c r="D29"/>
      <c r="E29"/>
      <c r="F29"/>
      <c r="G29"/>
      <c r="H29"/>
      <c r="I29"/>
    </row>
    <row r="30" spans="1:10" ht="15">
      <c r="A30"/>
      <c r="B30"/>
      <c r="C30"/>
      <c r="D30"/>
      <c r="E30"/>
      <c r="F30"/>
      <c r="G30"/>
      <c r="H30"/>
      <c r="I30"/>
    </row>
    <row r="31" spans="1:10" ht="15">
      <c r="A31"/>
      <c r="B31"/>
      <c r="C31"/>
      <c r="D31"/>
      <c r="E31"/>
      <c r="F31"/>
      <c r="G31"/>
      <c r="H31"/>
      <c r="I31"/>
    </row>
    <row r="32" spans="1:10" ht="15">
      <c r="A32"/>
      <c r="B32"/>
      <c r="C32"/>
      <c r="D32"/>
      <c r="E32"/>
      <c r="F32"/>
      <c r="G32"/>
      <c r="H32"/>
      <c r="I32"/>
    </row>
    <row r="33" spans="1:10" ht="15">
      <c r="A33"/>
      <c r="B33"/>
      <c r="C33"/>
      <c r="D33"/>
      <c r="E33"/>
      <c r="F33"/>
      <c r="G33"/>
      <c r="H33"/>
      <c r="I33"/>
    </row>
    <row r="34" spans="1:10" ht="15">
      <c r="A34"/>
      <c r="B34"/>
      <c r="C34"/>
      <c r="D34"/>
      <c r="E34"/>
      <c r="F34"/>
      <c r="G34"/>
      <c r="H34"/>
      <c r="I34"/>
      <c r="J34" s="166"/>
    </row>
    <row r="35" spans="1:10" ht="15">
      <c r="A35"/>
      <c r="B35"/>
      <c r="C35"/>
      <c r="D35"/>
      <c r="E35"/>
      <c r="F35"/>
      <c r="G35"/>
      <c r="H35"/>
      <c r="I35"/>
    </row>
    <row r="36" spans="1:10" ht="15">
      <c r="A36"/>
      <c r="B36"/>
      <c r="C36"/>
      <c r="D36"/>
      <c r="E36"/>
      <c r="F36"/>
      <c r="G36"/>
      <c r="H36"/>
      <c r="I36"/>
    </row>
    <row r="37" spans="1:10" ht="15">
      <c r="A37"/>
      <c r="B37"/>
      <c r="C37"/>
      <c r="D37"/>
      <c r="E37"/>
      <c r="F37"/>
      <c r="G37"/>
      <c r="H37"/>
      <c r="I37"/>
    </row>
    <row r="38" spans="1:10" ht="15">
      <c r="A38"/>
      <c r="B38"/>
      <c r="C38"/>
      <c r="D38"/>
      <c r="E38"/>
      <c r="F38"/>
      <c r="G38"/>
      <c r="H38"/>
      <c r="I38"/>
    </row>
    <row r="39" spans="1:10" ht="15">
      <c r="A39"/>
      <c r="B39"/>
      <c r="C39"/>
      <c r="D39"/>
      <c r="E39"/>
      <c r="F39"/>
      <c r="G39"/>
      <c r="H39"/>
      <c r="I39"/>
    </row>
    <row r="40" spans="1:10" ht="15">
      <c r="A40"/>
      <c r="B40"/>
      <c r="C40"/>
      <c r="D40"/>
      <c r="E40"/>
      <c r="F40"/>
      <c r="G40"/>
      <c r="H40"/>
      <c r="I40"/>
    </row>
    <row r="41" spans="1:10" ht="15">
      <c r="A41"/>
      <c r="B41"/>
      <c r="C41"/>
      <c r="D41"/>
      <c r="E41"/>
      <c r="F41"/>
      <c r="G41"/>
      <c r="H41"/>
      <c r="I41"/>
      <c r="J41" s="166"/>
    </row>
    <row r="42" spans="1:10" ht="15">
      <c r="A42"/>
      <c r="B42"/>
      <c r="C42"/>
      <c r="D42"/>
      <c r="E42"/>
      <c r="F42"/>
      <c r="G42"/>
      <c r="H42"/>
      <c r="I42"/>
    </row>
    <row r="43" spans="1:10" ht="15">
      <c r="A43"/>
      <c r="B43"/>
      <c r="C43"/>
      <c r="D43"/>
      <c r="E43"/>
      <c r="F43"/>
      <c r="G43"/>
      <c r="H43"/>
      <c r="I43"/>
    </row>
    <row r="44" spans="1:10" ht="15">
      <c r="A44"/>
      <c r="B44"/>
      <c r="C44"/>
      <c r="D44"/>
      <c r="E44"/>
      <c r="F44"/>
      <c r="G44"/>
      <c r="H44"/>
      <c r="I44"/>
    </row>
    <row r="45" spans="1:10" ht="15">
      <c r="A45"/>
      <c r="B45"/>
      <c r="C45"/>
      <c r="D45"/>
      <c r="E45"/>
      <c r="F45"/>
      <c r="G45"/>
      <c r="H45"/>
      <c r="I45"/>
    </row>
    <row r="46" spans="1:10" ht="15">
      <c r="A46"/>
      <c r="B46"/>
      <c r="C46"/>
      <c r="D46"/>
      <c r="E46"/>
      <c r="F46"/>
      <c r="G46"/>
      <c r="H46"/>
      <c r="I46"/>
    </row>
    <row r="47" spans="1:10" ht="15">
      <c r="A47"/>
      <c r="B47"/>
      <c r="C47"/>
      <c r="D47"/>
      <c r="E47"/>
      <c r="F47"/>
      <c r="G47"/>
      <c r="H47"/>
      <c r="I47"/>
    </row>
    <row r="48" spans="1:10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5">
      <c r="A72"/>
      <c r="B72"/>
      <c r="C72"/>
      <c r="D72"/>
      <c r="E72"/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5">
      <c r="A77"/>
      <c r="B77"/>
      <c r="C77"/>
      <c r="D77"/>
      <c r="E77"/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5">
      <c r="A82"/>
      <c r="B82"/>
      <c r="C82"/>
      <c r="D82"/>
      <c r="E82"/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5">
      <c r="A87"/>
      <c r="B87"/>
      <c r="C87"/>
      <c r="D87"/>
      <c r="E87"/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5">
      <c r="A92"/>
      <c r="B92"/>
      <c r="C92"/>
      <c r="D92"/>
      <c r="E92"/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 customHeight="1">
      <c r="A94"/>
      <c r="B94"/>
      <c r="C94"/>
      <c r="D94"/>
      <c r="E94"/>
      <c r="F94"/>
      <c r="G94"/>
      <c r="H94"/>
      <c r="I94"/>
    </row>
    <row r="95" spans="1:9" ht="15" customHeight="1">
      <c r="A95"/>
      <c r="B95"/>
      <c r="C95"/>
      <c r="D95"/>
      <c r="E95"/>
      <c r="F95"/>
      <c r="G95"/>
      <c r="H95"/>
      <c r="I95"/>
    </row>
    <row r="96" spans="1:9" ht="15" customHeight="1">
      <c r="A96"/>
      <c r="B96"/>
      <c r="C96"/>
      <c r="D96"/>
      <c r="E96"/>
      <c r="F96"/>
      <c r="G96"/>
      <c r="H96"/>
      <c r="I96"/>
    </row>
    <row r="97" spans="1:9" ht="15" customHeight="1">
      <c r="A97"/>
      <c r="B97"/>
      <c r="C97"/>
      <c r="D97"/>
      <c r="E97"/>
      <c r="F97"/>
      <c r="G97"/>
      <c r="H97"/>
      <c r="I97"/>
    </row>
    <row r="98" spans="1:9" ht="15" customHeight="1">
      <c r="A98"/>
      <c r="B98"/>
      <c r="C98"/>
      <c r="D98"/>
      <c r="E98"/>
      <c r="F98"/>
      <c r="G98"/>
      <c r="H98"/>
      <c r="I98"/>
    </row>
    <row r="99" spans="1:9" ht="15" customHeight="1">
      <c r="A99"/>
      <c r="B99"/>
      <c r="C99"/>
      <c r="D99"/>
      <c r="E99"/>
      <c r="F99"/>
      <c r="G99"/>
      <c r="H99"/>
      <c r="I99"/>
    </row>
    <row r="100" spans="1:9" ht="15" customHeight="1">
      <c r="A100"/>
      <c r="B100"/>
      <c r="C100"/>
      <c r="D100"/>
      <c r="E100"/>
      <c r="F100"/>
      <c r="G100"/>
      <c r="H100"/>
      <c r="I100"/>
    </row>
    <row r="101" spans="1:9" ht="15" customHeight="1">
      <c r="A101"/>
      <c r="B101"/>
      <c r="C101"/>
      <c r="D101"/>
      <c r="E101"/>
      <c r="F101"/>
      <c r="G101"/>
      <c r="H101"/>
      <c r="I101"/>
    </row>
    <row r="102" spans="1:9" ht="15" customHeight="1">
      <c r="A102"/>
      <c r="B102"/>
      <c r="C102"/>
      <c r="D102"/>
      <c r="E102"/>
      <c r="F102"/>
      <c r="G102"/>
      <c r="H102"/>
      <c r="I102"/>
    </row>
    <row r="103" spans="1:9" ht="15.75" customHeight="1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5">
      <c r="A107"/>
      <c r="B107"/>
      <c r="C107"/>
      <c r="D107"/>
      <c r="E107"/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5">
      <c r="A112"/>
      <c r="B112"/>
      <c r="C112"/>
      <c r="D112"/>
      <c r="E112"/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5">
      <c r="A117"/>
      <c r="B117"/>
      <c r="C117"/>
      <c r="D117"/>
      <c r="E117"/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5">
      <c r="A122"/>
      <c r="B122"/>
      <c r="C122"/>
      <c r="D122"/>
      <c r="E122"/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5">
      <c r="A127"/>
      <c r="B127"/>
      <c r="C127"/>
      <c r="D127"/>
      <c r="E127"/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5">
      <c r="A132"/>
      <c r="B132"/>
      <c r="C132"/>
      <c r="D132"/>
      <c r="E132"/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5">
      <c r="A137"/>
      <c r="B137"/>
      <c r="C137"/>
      <c r="D137"/>
      <c r="E137"/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5">
      <c r="A142"/>
      <c r="B142"/>
      <c r="C142"/>
      <c r="D142"/>
      <c r="E142"/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5">
      <c r="A147"/>
      <c r="B147"/>
      <c r="C147"/>
      <c r="D147"/>
      <c r="E147"/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5">
      <c r="A151"/>
      <c r="B151"/>
      <c r="C151"/>
      <c r="D151"/>
      <c r="E151"/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5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5">
      <c r="A156"/>
      <c r="B156"/>
      <c r="C156"/>
      <c r="D156"/>
      <c r="E156"/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59" spans="1:9" ht="15">
      <c r="A159"/>
      <c r="B159"/>
      <c r="C159"/>
      <c r="D159"/>
      <c r="E159"/>
      <c r="F159"/>
      <c r="G159"/>
      <c r="H159"/>
      <c r="I159"/>
    </row>
    <row r="160" spans="1:9" ht="15">
      <c r="A160"/>
      <c r="B160"/>
      <c r="C160"/>
      <c r="D160"/>
      <c r="E160"/>
      <c r="F160"/>
      <c r="G160"/>
      <c r="H160"/>
      <c r="I160"/>
    </row>
    <row r="161" spans="1:9" ht="15">
      <c r="A161"/>
      <c r="B161"/>
      <c r="C161"/>
      <c r="D161"/>
      <c r="E161"/>
      <c r="F161"/>
      <c r="G161"/>
      <c r="H161"/>
      <c r="I161"/>
    </row>
    <row r="162" spans="1:9" ht="15">
      <c r="A162"/>
      <c r="B162"/>
      <c r="C162"/>
      <c r="D162"/>
      <c r="E162"/>
      <c r="F162"/>
      <c r="G162"/>
      <c r="H162"/>
      <c r="I162"/>
    </row>
    <row r="163" spans="1:9" ht="15">
      <c r="A163"/>
      <c r="B163"/>
      <c r="C163"/>
      <c r="D163"/>
      <c r="E163"/>
      <c r="F163"/>
      <c r="G163"/>
      <c r="H163"/>
      <c r="I163"/>
    </row>
    <row r="164" spans="1:9" ht="15">
      <c r="A164"/>
      <c r="B164"/>
      <c r="C164"/>
      <c r="D164"/>
      <c r="E164"/>
      <c r="F164"/>
      <c r="G164"/>
      <c r="H164"/>
      <c r="I164"/>
    </row>
    <row r="165" spans="1:9" ht="15">
      <c r="A165"/>
      <c r="B165"/>
      <c r="C165"/>
      <c r="D165"/>
      <c r="E165"/>
      <c r="F165"/>
      <c r="G165"/>
      <c r="H165"/>
      <c r="I165"/>
    </row>
    <row r="166" spans="1:9" ht="15">
      <c r="A166"/>
      <c r="B166"/>
      <c r="C166"/>
      <c r="D166"/>
      <c r="E166"/>
      <c r="F166"/>
      <c r="G166"/>
      <c r="H166"/>
      <c r="I166"/>
    </row>
    <row r="167" spans="1:9" ht="15">
      <c r="A167"/>
      <c r="B167"/>
      <c r="C167"/>
      <c r="D167"/>
      <c r="E167"/>
      <c r="F167"/>
      <c r="G167"/>
      <c r="H167"/>
      <c r="I167"/>
    </row>
    <row r="168" spans="1:9" ht="15">
      <c r="A168"/>
      <c r="B168"/>
      <c r="C168"/>
      <c r="D168"/>
      <c r="E168"/>
      <c r="F168"/>
      <c r="G168"/>
      <c r="H168"/>
      <c r="I168"/>
    </row>
    <row r="169" spans="1:9" ht="15">
      <c r="A169"/>
      <c r="B169"/>
      <c r="C169"/>
      <c r="D169"/>
      <c r="E169"/>
      <c r="F169"/>
      <c r="G169"/>
      <c r="H169"/>
      <c r="I169"/>
    </row>
    <row r="170" spans="1:9" ht="15">
      <c r="A170"/>
      <c r="B170"/>
      <c r="C170"/>
      <c r="D170"/>
      <c r="E170"/>
      <c r="F170"/>
      <c r="G170"/>
      <c r="H170"/>
      <c r="I170"/>
    </row>
    <row r="171" spans="1:9" ht="15">
      <c r="A171"/>
      <c r="B171"/>
      <c r="C171"/>
      <c r="D171"/>
      <c r="E171"/>
      <c r="F171"/>
      <c r="G171"/>
      <c r="H171"/>
      <c r="I171"/>
    </row>
    <row r="172" spans="1:9" ht="15">
      <c r="A172"/>
      <c r="B172"/>
      <c r="C172"/>
      <c r="D172"/>
      <c r="E172"/>
      <c r="F172"/>
      <c r="G172"/>
      <c r="H172"/>
      <c r="I172"/>
    </row>
    <row r="173" spans="1:9" ht="15">
      <c r="A173"/>
      <c r="B173"/>
      <c r="C173"/>
      <c r="D173"/>
      <c r="E173"/>
      <c r="F173"/>
      <c r="G173"/>
      <c r="H173"/>
      <c r="I173"/>
    </row>
    <row r="174" spans="1:9" ht="15">
      <c r="A174"/>
      <c r="B174"/>
      <c r="C174"/>
      <c r="D174"/>
      <c r="E174"/>
      <c r="F174"/>
      <c r="G174"/>
      <c r="H174"/>
      <c r="I174"/>
    </row>
    <row r="175" spans="1:9" ht="15">
      <c r="A175"/>
      <c r="B175"/>
      <c r="C175"/>
      <c r="D175"/>
      <c r="E175"/>
      <c r="F175"/>
      <c r="G175"/>
      <c r="H175"/>
      <c r="I175"/>
    </row>
    <row r="176" spans="1:9" ht="15">
      <c r="A176"/>
      <c r="B176"/>
      <c r="C176"/>
      <c r="D176"/>
      <c r="E176"/>
      <c r="F176"/>
      <c r="G176"/>
      <c r="H176"/>
      <c r="I176"/>
    </row>
    <row r="177" spans="1:9" ht="15">
      <c r="A177"/>
      <c r="B177"/>
      <c r="C177"/>
      <c r="D177"/>
      <c r="E177"/>
      <c r="F177"/>
      <c r="G177"/>
      <c r="H177"/>
      <c r="I177"/>
    </row>
    <row r="178" spans="1:9" ht="15">
      <c r="A178"/>
      <c r="B178"/>
      <c r="C178"/>
      <c r="D178"/>
      <c r="E178"/>
      <c r="F178"/>
      <c r="G178"/>
      <c r="H178"/>
      <c r="I178"/>
    </row>
    <row r="179" spans="1:9" ht="15">
      <c r="A179"/>
      <c r="B179"/>
      <c r="C179"/>
      <c r="D179"/>
      <c r="E179"/>
      <c r="F179"/>
      <c r="G179"/>
      <c r="H179"/>
      <c r="I179"/>
    </row>
    <row r="180" spans="1:9" ht="15">
      <c r="A180"/>
      <c r="B180"/>
      <c r="C180"/>
      <c r="D180"/>
      <c r="E180"/>
      <c r="F180"/>
      <c r="G180"/>
      <c r="H180"/>
      <c r="I180"/>
    </row>
    <row r="181" spans="1:9" ht="15">
      <c r="A181"/>
      <c r="B181"/>
      <c r="C181"/>
      <c r="D181"/>
      <c r="E181"/>
      <c r="F181"/>
      <c r="G181"/>
      <c r="H181"/>
      <c r="I181"/>
    </row>
    <row r="182" spans="1:9" ht="15">
      <c r="A182"/>
      <c r="B182"/>
      <c r="C182"/>
      <c r="D182"/>
      <c r="E182"/>
      <c r="F182"/>
      <c r="G182"/>
      <c r="H182"/>
      <c r="I182"/>
    </row>
    <row r="183" spans="1:9" ht="15">
      <c r="A183"/>
      <c r="B183"/>
      <c r="C183"/>
      <c r="D183"/>
      <c r="E183"/>
      <c r="F183"/>
      <c r="G183"/>
      <c r="H183"/>
      <c r="I183"/>
    </row>
    <row r="184" spans="1:9" ht="15">
      <c r="A184"/>
      <c r="B184"/>
      <c r="C184"/>
      <c r="D184"/>
      <c r="E184"/>
      <c r="F184"/>
      <c r="G184"/>
      <c r="H184"/>
      <c r="I184"/>
    </row>
    <row r="185" spans="1:9" ht="15">
      <c r="A185"/>
      <c r="B185"/>
      <c r="C185"/>
      <c r="D185"/>
      <c r="E185"/>
      <c r="F185"/>
      <c r="G185"/>
      <c r="H185"/>
      <c r="I185"/>
    </row>
    <row r="186" spans="1:9" ht="15">
      <c r="A186"/>
      <c r="B186"/>
      <c r="C186"/>
      <c r="D186"/>
      <c r="E186"/>
      <c r="F186"/>
      <c r="G186"/>
      <c r="H186"/>
      <c r="I186"/>
    </row>
    <row r="187" spans="1:9" ht="15">
      <c r="A187"/>
      <c r="B187"/>
      <c r="C187"/>
      <c r="D187"/>
      <c r="E187"/>
      <c r="F187"/>
      <c r="G187"/>
      <c r="H187"/>
      <c r="I187"/>
    </row>
    <row r="188" spans="1:9" ht="15">
      <c r="A188"/>
      <c r="B188"/>
      <c r="C188"/>
      <c r="D188"/>
      <c r="E188"/>
      <c r="F188"/>
      <c r="G188"/>
      <c r="H188"/>
      <c r="I188"/>
    </row>
    <row r="189" spans="1:9" ht="15">
      <c r="A189"/>
      <c r="B189"/>
      <c r="C189"/>
      <c r="D189"/>
      <c r="E189"/>
      <c r="F189"/>
      <c r="G189"/>
      <c r="H189"/>
      <c r="I189"/>
    </row>
    <row r="190" spans="1:9" ht="15">
      <c r="A190"/>
      <c r="B190"/>
      <c r="C190"/>
      <c r="D190"/>
      <c r="E190"/>
      <c r="F190"/>
      <c r="G190"/>
      <c r="H190"/>
      <c r="I190"/>
    </row>
    <row r="191" spans="1:9" s="92" customFormat="1" ht="15">
      <c r="A191"/>
      <c r="B191"/>
      <c r="C191"/>
      <c r="D191"/>
      <c r="E191"/>
      <c r="F191"/>
      <c r="G191"/>
      <c r="H191"/>
      <c r="I191"/>
    </row>
    <row r="192" spans="1:9" s="92" customFormat="1" ht="15">
      <c r="A192"/>
      <c r="B192"/>
      <c r="C192"/>
      <c r="D192"/>
      <c r="E192"/>
      <c r="F192"/>
      <c r="G192"/>
      <c r="H192"/>
      <c r="I192"/>
    </row>
    <row r="193" spans="1:9" s="92" customFormat="1" ht="15">
      <c r="A193"/>
      <c r="B193"/>
      <c r="C193"/>
      <c r="D193"/>
      <c r="E193"/>
      <c r="F193"/>
      <c r="G193"/>
      <c r="H193"/>
      <c r="I193"/>
    </row>
    <row r="194" spans="1:9" s="92" customFormat="1" ht="15">
      <c r="A194"/>
      <c r="B194"/>
      <c r="C194"/>
      <c r="D194"/>
      <c r="E194"/>
      <c r="F194"/>
      <c r="G194"/>
      <c r="H194"/>
      <c r="I194"/>
    </row>
    <row r="195" spans="1:9" s="92" customFormat="1" ht="15">
      <c r="A195"/>
      <c r="B195"/>
      <c r="C195"/>
      <c r="D195"/>
      <c r="E195"/>
      <c r="F195"/>
      <c r="G195"/>
      <c r="H195"/>
      <c r="I195"/>
    </row>
    <row r="196" spans="1:9" s="92" customFormat="1" ht="15">
      <c r="A196"/>
      <c r="B196"/>
      <c r="C196"/>
      <c r="D196"/>
      <c r="E196"/>
      <c r="F196"/>
      <c r="G196"/>
      <c r="H196"/>
      <c r="I196"/>
    </row>
    <row r="197" spans="1:9" s="92" customFormat="1" ht="15">
      <c r="A197"/>
      <c r="B197"/>
      <c r="C197"/>
      <c r="D197"/>
      <c r="E197"/>
      <c r="F197"/>
      <c r="G197"/>
      <c r="H197"/>
      <c r="I197"/>
    </row>
    <row r="198" spans="1:9" s="92" customFormat="1" ht="15">
      <c r="A198"/>
      <c r="B198"/>
      <c r="C198"/>
      <c r="D198"/>
      <c r="E198"/>
      <c r="F198"/>
      <c r="G198"/>
      <c r="H198"/>
      <c r="I198"/>
    </row>
    <row r="199" spans="1:9" s="92" customFormat="1" ht="15">
      <c r="A199"/>
      <c r="B199"/>
      <c r="C199"/>
      <c r="D199"/>
      <c r="E199"/>
      <c r="F199"/>
      <c r="G199"/>
      <c r="H199"/>
      <c r="I199"/>
    </row>
    <row r="200" spans="1:9" s="92" customFormat="1" ht="15">
      <c r="A200"/>
      <c r="B200"/>
      <c r="C200"/>
      <c r="D200"/>
      <c r="E200"/>
      <c r="F200"/>
      <c r="G200"/>
      <c r="H200"/>
      <c r="I200"/>
    </row>
    <row r="201" spans="1:9" s="92" customFormat="1" ht="15">
      <c r="A201"/>
      <c r="B201"/>
      <c r="C201"/>
      <c r="D201"/>
      <c r="E201"/>
      <c r="F201"/>
      <c r="G201"/>
      <c r="H201"/>
      <c r="I201"/>
    </row>
    <row r="202" spans="1:9" s="92" customFormat="1" ht="15">
      <c r="A202"/>
      <c r="B202"/>
      <c r="C202"/>
      <c r="D202"/>
      <c r="E202"/>
      <c r="F202"/>
      <c r="G202"/>
      <c r="H202"/>
      <c r="I202"/>
    </row>
    <row r="203" spans="1:9" s="92" customFormat="1" ht="15">
      <c r="A203"/>
      <c r="B203"/>
      <c r="C203"/>
      <c r="D203"/>
      <c r="E203"/>
      <c r="F203"/>
      <c r="G203"/>
      <c r="H203"/>
      <c r="I203"/>
    </row>
    <row r="204" spans="1:9" s="92" customFormat="1" ht="15">
      <c r="A204"/>
      <c r="B204"/>
      <c r="C204"/>
      <c r="D204"/>
      <c r="E204"/>
      <c r="F204"/>
      <c r="G204"/>
      <c r="H204"/>
      <c r="I204"/>
    </row>
    <row r="205" spans="1:9" s="92" customFormat="1" ht="15">
      <c r="A205"/>
      <c r="B205"/>
      <c r="C205"/>
      <c r="D205"/>
      <c r="E205"/>
      <c r="F205"/>
      <c r="G205"/>
      <c r="H205"/>
      <c r="I205"/>
    </row>
    <row r="206" spans="1:9" s="92" customFormat="1" ht="15">
      <c r="A206"/>
      <c r="B206"/>
      <c r="C206"/>
      <c r="D206"/>
      <c r="E206"/>
      <c r="F206"/>
      <c r="G206"/>
      <c r="H206"/>
      <c r="I206"/>
    </row>
    <row r="207" spans="1:9" s="92" customFormat="1" ht="15">
      <c r="A207"/>
      <c r="B207"/>
      <c r="C207"/>
      <c r="D207"/>
      <c r="E207"/>
      <c r="F207"/>
      <c r="G207"/>
      <c r="H207"/>
      <c r="I207"/>
    </row>
    <row r="208" spans="1:9" s="92" customFormat="1" ht="15">
      <c r="A208"/>
      <c r="B208"/>
      <c r="C208"/>
      <c r="D208"/>
      <c r="E208"/>
      <c r="F208"/>
      <c r="G208"/>
      <c r="H208"/>
      <c r="I208"/>
    </row>
    <row r="209" spans="1:9" s="92" customFormat="1" ht="15">
      <c r="A209"/>
      <c r="B209"/>
      <c r="C209"/>
      <c r="D209"/>
      <c r="E209"/>
      <c r="F209"/>
      <c r="G209"/>
      <c r="H209"/>
      <c r="I209"/>
    </row>
    <row r="210" spans="1:9" s="92" customFormat="1" ht="15">
      <c r="A210"/>
      <c r="B210"/>
      <c r="C210"/>
      <c r="D210"/>
      <c r="E210"/>
      <c r="F210"/>
      <c r="G210"/>
      <c r="H210"/>
      <c r="I210"/>
    </row>
    <row r="211" spans="1:9" s="92" customFormat="1" ht="15">
      <c r="A211"/>
      <c r="B211"/>
      <c r="C211"/>
      <c r="D211"/>
      <c r="E211"/>
      <c r="F211"/>
      <c r="G211"/>
      <c r="H211"/>
      <c r="I211"/>
    </row>
    <row r="212" spans="1:9" s="92" customFormat="1" ht="15">
      <c r="A212"/>
      <c r="B212"/>
      <c r="C212"/>
      <c r="D212"/>
      <c r="E212"/>
      <c r="F212"/>
      <c r="G212"/>
      <c r="H212"/>
      <c r="I212"/>
    </row>
    <row r="213" spans="1:9" s="92" customFormat="1" ht="15">
      <c r="A213"/>
      <c r="B213"/>
      <c r="C213"/>
      <c r="D213"/>
      <c r="E213"/>
      <c r="F213"/>
      <c r="G213"/>
      <c r="H213"/>
      <c r="I213"/>
    </row>
    <row r="214" spans="1:9" s="92" customFormat="1" ht="15">
      <c r="A214"/>
      <c r="B214"/>
      <c r="C214"/>
      <c r="D214"/>
      <c r="E214"/>
      <c r="F214"/>
      <c r="G214"/>
      <c r="H214"/>
      <c r="I214"/>
    </row>
    <row r="215" spans="1:9" s="92" customFormat="1" ht="15">
      <c r="A215"/>
      <c r="B215"/>
      <c r="C215"/>
      <c r="D215"/>
      <c r="E215"/>
      <c r="F215"/>
      <c r="G215"/>
      <c r="H215"/>
      <c r="I215"/>
    </row>
    <row r="216" spans="1:9" s="92" customFormat="1" ht="15">
      <c r="A216"/>
      <c r="B216"/>
      <c r="C216"/>
      <c r="D216"/>
      <c r="E216"/>
      <c r="F216"/>
      <c r="G216"/>
      <c r="H216"/>
      <c r="I216"/>
    </row>
    <row r="217" spans="1:9" s="92" customFormat="1" ht="15">
      <c r="A217"/>
      <c r="B217"/>
      <c r="C217"/>
      <c r="D217"/>
      <c r="E217"/>
      <c r="F217"/>
      <c r="G217"/>
      <c r="H217"/>
      <c r="I217"/>
    </row>
    <row r="218" spans="1:9" s="92" customFormat="1" ht="15">
      <c r="A218"/>
      <c r="B218"/>
      <c r="C218"/>
      <c r="D218"/>
      <c r="E218"/>
      <c r="F218"/>
      <c r="G218"/>
      <c r="H218"/>
      <c r="I218"/>
    </row>
    <row r="219" spans="1:9" s="92" customFormat="1" ht="15">
      <c r="A219"/>
      <c r="B219"/>
      <c r="C219"/>
      <c r="D219"/>
      <c r="E219"/>
      <c r="F219"/>
      <c r="G219"/>
      <c r="H219"/>
      <c r="I219"/>
    </row>
    <row r="220" spans="1:9" s="92" customFormat="1" ht="15">
      <c r="A220"/>
      <c r="B220"/>
      <c r="C220"/>
      <c r="D220"/>
      <c r="E220"/>
      <c r="F220"/>
      <c r="G220"/>
      <c r="H220"/>
      <c r="I220"/>
    </row>
    <row r="221" spans="1:9" s="92" customFormat="1" ht="15">
      <c r="A221"/>
      <c r="B221"/>
      <c r="C221"/>
      <c r="D221"/>
      <c r="E221"/>
      <c r="F221"/>
      <c r="G221"/>
      <c r="H221"/>
      <c r="I221"/>
    </row>
    <row r="222" spans="1:9" s="92" customFormat="1" ht="15">
      <c r="A222"/>
      <c r="B222"/>
      <c r="C222"/>
      <c r="D222"/>
      <c r="E222"/>
      <c r="F222"/>
      <c r="G222"/>
      <c r="H222"/>
      <c r="I222"/>
    </row>
    <row r="223" spans="1:9" s="92" customFormat="1" ht="15">
      <c r="A223"/>
      <c r="B223"/>
      <c r="C223"/>
      <c r="D223"/>
      <c r="E223"/>
      <c r="F223"/>
      <c r="G223"/>
      <c r="H223"/>
      <c r="I223"/>
    </row>
    <row r="224" spans="1:9" s="92" customFormat="1" ht="15">
      <c r="A224"/>
      <c r="B224"/>
      <c r="C224"/>
      <c r="D224"/>
      <c r="E224"/>
      <c r="F224"/>
      <c r="G224"/>
      <c r="H224"/>
      <c r="I224"/>
    </row>
    <row r="225" spans="1:9" s="92" customFormat="1" ht="15">
      <c r="A225"/>
      <c r="B225"/>
      <c r="C225"/>
      <c r="D225"/>
      <c r="E225"/>
      <c r="F225"/>
      <c r="G225"/>
      <c r="H225"/>
      <c r="I225"/>
    </row>
    <row r="226" spans="1:9" s="92" customFormat="1" ht="15">
      <c r="A226"/>
      <c r="B226"/>
      <c r="C226"/>
      <c r="D226"/>
      <c r="E226"/>
      <c r="F226"/>
      <c r="G226"/>
      <c r="H226"/>
      <c r="I226"/>
    </row>
    <row r="227" spans="1:9" s="92" customFormat="1" ht="15">
      <c r="A227"/>
      <c r="B227"/>
      <c r="C227"/>
      <c r="D227"/>
      <c r="E227"/>
      <c r="F227"/>
      <c r="G227"/>
      <c r="H227"/>
      <c r="I227"/>
    </row>
    <row r="228" spans="1:9" s="92" customFormat="1" ht="15">
      <c r="A228"/>
      <c r="B228"/>
      <c r="C228"/>
      <c r="D228"/>
      <c r="E228"/>
      <c r="F228"/>
      <c r="G228"/>
      <c r="H228"/>
      <c r="I228"/>
    </row>
    <row r="229" spans="1:9" s="92" customFormat="1" ht="15">
      <c r="A229"/>
      <c r="B229"/>
      <c r="C229"/>
      <c r="D229"/>
      <c r="E229"/>
      <c r="F229"/>
      <c r="G229"/>
      <c r="H229"/>
      <c r="I229"/>
    </row>
    <row r="230" spans="1:9" s="92" customFormat="1" ht="15">
      <c r="A230"/>
      <c r="B230"/>
      <c r="C230"/>
      <c r="D230"/>
      <c r="E230"/>
      <c r="F230"/>
      <c r="G230"/>
      <c r="H230"/>
      <c r="I230"/>
    </row>
    <row r="231" spans="1:9" s="92" customFormat="1" ht="15">
      <c r="A231"/>
      <c r="B231"/>
      <c r="C231"/>
      <c r="D231"/>
      <c r="E231"/>
      <c r="F231"/>
      <c r="G231"/>
      <c r="H231"/>
      <c r="I231"/>
    </row>
    <row r="232" spans="1:9" s="92" customFormat="1" ht="15">
      <c r="A232"/>
      <c r="B232"/>
      <c r="C232"/>
      <c r="D232"/>
      <c r="E232"/>
      <c r="F232"/>
      <c r="G232"/>
      <c r="H232"/>
      <c r="I232"/>
    </row>
    <row r="233" spans="1:9" s="92" customFormat="1" ht="15">
      <c r="A233"/>
      <c r="B233"/>
      <c r="C233"/>
      <c r="D233"/>
      <c r="E233"/>
      <c r="F233"/>
      <c r="G233"/>
      <c r="H233"/>
      <c r="I233"/>
    </row>
    <row r="234" spans="1:9" s="92" customFormat="1" ht="15">
      <c r="A234"/>
      <c r="B234"/>
      <c r="C234"/>
      <c r="D234"/>
      <c r="E234"/>
      <c r="F234"/>
      <c r="G234"/>
      <c r="H234"/>
      <c r="I234"/>
    </row>
    <row r="235" spans="1:9" s="92" customFormat="1" ht="15">
      <c r="A235"/>
      <c r="B235"/>
      <c r="C235"/>
      <c r="D235"/>
      <c r="E235"/>
      <c r="F235"/>
      <c r="G235"/>
      <c r="H235"/>
      <c r="I235"/>
    </row>
    <row r="236" spans="1:9" s="92" customFormat="1" ht="15">
      <c r="A236"/>
      <c r="B236"/>
      <c r="C236"/>
      <c r="D236"/>
      <c r="E236"/>
      <c r="F236"/>
      <c r="G236"/>
      <c r="H236"/>
      <c r="I236"/>
    </row>
    <row r="237" spans="1:9" s="92" customFormat="1" ht="15">
      <c r="A237"/>
      <c r="B237"/>
      <c r="C237"/>
      <c r="D237"/>
      <c r="E237"/>
      <c r="F237"/>
      <c r="G237"/>
      <c r="H237"/>
      <c r="I237"/>
    </row>
    <row r="238" spans="1:9" s="92" customFormat="1" ht="15">
      <c r="A238"/>
      <c r="B238"/>
      <c r="C238"/>
      <c r="D238"/>
      <c r="E238"/>
      <c r="F238"/>
      <c r="G238"/>
      <c r="H238"/>
      <c r="I238"/>
    </row>
    <row r="239" spans="1:9" s="92" customFormat="1" ht="15">
      <c r="A239"/>
      <c r="B239"/>
      <c r="C239"/>
      <c r="D239"/>
      <c r="E239"/>
      <c r="F239"/>
      <c r="G239"/>
      <c r="H239"/>
      <c r="I239"/>
    </row>
    <row r="240" spans="1:9" s="92" customFormat="1" ht="15">
      <c r="A240"/>
      <c r="B240"/>
      <c r="C240"/>
      <c r="D240"/>
      <c r="E240"/>
      <c r="F240"/>
      <c r="G240"/>
      <c r="H240"/>
      <c r="I240"/>
    </row>
    <row r="241" spans="1:9" s="92" customFormat="1" ht="15">
      <c r="A241"/>
      <c r="B241"/>
      <c r="C241"/>
      <c r="D241"/>
      <c r="E241"/>
      <c r="F241"/>
      <c r="G241"/>
      <c r="H241"/>
      <c r="I241"/>
    </row>
    <row r="242" spans="1:9" s="92" customFormat="1" ht="15">
      <c r="A242"/>
      <c r="B242"/>
      <c r="C242"/>
      <c r="D242"/>
      <c r="E242"/>
      <c r="F242"/>
      <c r="G242"/>
      <c r="H242"/>
      <c r="I242"/>
    </row>
    <row r="243" spans="1:9" s="92" customFormat="1" ht="15">
      <c r="A243"/>
      <c r="B243"/>
      <c r="C243"/>
      <c r="D243"/>
      <c r="E243"/>
      <c r="F243"/>
      <c r="G243"/>
      <c r="H243"/>
      <c r="I243"/>
    </row>
    <row r="244" spans="1:9" ht="15">
      <c r="A244"/>
      <c r="B244"/>
      <c r="C244"/>
      <c r="D244"/>
      <c r="E244"/>
      <c r="F244"/>
      <c r="G244"/>
      <c r="H244"/>
      <c r="I244"/>
    </row>
    <row r="245" spans="1:9" ht="15">
      <c r="A245"/>
      <c r="B245"/>
      <c r="C245"/>
      <c r="D245"/>
      <c r="E245"/>
      <c r="F245"/>
      <c r="G245"/>
      <c r="H245"/>
      <c r="I245"/>
    </row>
    <row r="246" spans="1:9" ht="15">
      <c r="A246"/>
      <c r="B246"/>
      <c r="C246"/>
      <c r="D246"/>
      <c r="E246"/>
      <c r="F246"/>
      <c r="G246"/>
      <c r="H246"/>
      <c r="I246"/>
    </row>
    <row r="247" spans="1:9" ht="15">
      <c r="A247"/>
      <c r="B247"/>
      <c r="C247"/>
      <c r="D247"/>
      <c r="E247"/>
      <c r="F247"/>
      <c r="G247"/>
      <c r="H247"/>
      <c r="I247"/>
    </row>
    <row r="248" spans="1:9" ht="15">
      <c r="A248"/>
      <c r="B248"/>
      <c r="C248"/>
      <c r="D248"/>
      <c r="E248"/>
      <c r="F248"/>
      <c r="G248"/>
      <c r="H248"/>
      <c r="I248"/>
    </row>
    <row r="249" spans="1:9" ht="15">
      <c r="A249"/>
      <c r="B249"/>
      <c r="C249"/>
      <c r="D249"/>
      <c r="E249"/>
      <c r="F249"/>
      <c r="G249"/>
      <c r="H249"/>
      <c r="I249"/>
    </row>
    <row r="250" spans="1:9" ht="15">
      <c r="A250"/>
      <c r="B250"/>
      <c r="C250"/>
      <c r="D250"/>
      <c r="E250"/>
      <c r="F250"/>
      <c r="G250"/>
      <c r="H250"/>
      <c r="I250"/>
    </row>
    <row r="251" spans="1:9" ht="15">
      <c r="A251"/>
      <c r="B251"/>
      <c r="C251"/>
      <c r="D251"/>
      <c r="E251"/>
      <c r="F251"/>
      <c r="G251"/>
      <c r="H251"/>
      <c r="I251"/>
    </row>
    <row r="252" spans="1:9" ht="15">
      <c r="A252"/>
      <c r="B252"/>
      <c r="C252"/>
      <c r="D252"/>
      <c r="E252"/>
      <c r="F252"/>
      <c r="G252"/>
      <c r="H252"/>
      <c r="I252"/>
    </row>
    <row r="253" spans="1:9" ht="15">
      <c r="A253"/>
      <c r="B253"/>
      <c r="C253"/>
      <c r="D253"/>
      <c r="E253"/>
      <c r="F253"/>
      <c r="G253"/>
      <c r="H253"/>
      <c r="I253"/>
    </row>
    <row r="254" spans="1:9" ht="15">
      <c r="A254"/>
      <c r="B254"/>
      <c r="C254"/>
      <c r="D254"/>
      <c r="E254"/>
      <c r="F254"/>
      <c r="G254"/>
      <c r="H254"/>
      <c r="I254"/>
    </row>
    <row r="255" spans="1:9" ht="15">
      <c r="A255"/>
      <c r="B255"/>
      <c r="C255"/>
      <c r="D255"/>
      <c r="E255"/>
      <c r="F255"/>
      <c r="G255"/>
      <c r="H255"/>
      <c r="I255"/>
    </row>
    <row r="256" spans="1:9" ht="15">
      <c r="A256"/>
      <c r="B256"/>
      <c r="C256"/>
      <c r="D256"/>
      <c r="E256"/>
      <c r="F256"/>
      <c r="G256"/>
      <c r="H256"/>
      <c r="I256"/>
    </row>
    <row r="257" spans="1:9" ht="15">
      <c r="A257"/>
      <c r="B257"/>
      <c r="C257"/>
      <c r="D257"/>
      <c r="E257"/>
      <c r="F257"/>
      <c r="G257"/>
      <c r="H257"/>
      <c r="I257"/>
    </row>
    <row r="258" spans="1:9" ht="15">
      <c r="A258"/>
      <c r="B258"/>
      <c r="C258"/>
      <c r="D258"/>
      <c r="E258"/>
      <c r="F258"/>
      <c r="G258"/>
      <c r="H258"/>
      <c r="I258"/>
    </row>
    <row r="259" spans="1:9" ht="15">
      <c r="A259"/>
      <c r="B259"/>
      <c r="C259"/>
      <c r="D259"/>
      <c r="E259"/>
      <c r="F259"/>
      <c r="G259"/>
      <c r="H259"/>
      <c r="I259"/>
    </row>
    <row r="260" spans="1:9" ht="15">
      <c r="A260"/>
      <c r="B260"/>
      <c r="C260"/>
      <c r="D260"/>
      <c r="E260"/>
      <c r="F260"/>
      <c r="G260"/>
      <c r="H260"/>
      <c r="I260"/>
    </row>
    <row r="261" spans="1:9" ht="15">
      <c r="A261"/>
      <c r="B261"/>
      <c r="C261"/>
      <c r="D261"/>
      <c r="E261"/>
      <c r="F261"/>
      <c r="G261"/>
      <c r="H261"/>
      <c r="I261"/>
    </row>
    <row r="262" spans="1:9" ht="15">
      <c r="A262"/>
      <c r="B262"/>
      <c r="C262"/>
      <c r="D262"/>
      <c r="E262"/>
      <c r="F262"/>
      <c r="G262"/>
      <c r="H262"/>
      <c r="I262"/>
    </row>
    <row r="263" spans="1:9" ht="15">
      <c r="A263"/>
      <c r="B263"/>
      <c r="C263"/>
      <c r="D263"/>
      <c r="E263"/>
      <c r="F263"/>
      <c r="G263"/>
      <c r="H263"/>
      <c r="I263"/>
    </row>
    <row r="264" spans="1:9" ht="15">
      <c r="A264"/>
      <c r="B264"/>
      <c r="C264"/>
      <c r="D264"/>
      <c r="E264"/>
      <c r="F264"/>
      <c r="G264"/>
      <c r="H264"/>
      <c r="I264"/>
    </row>
    <row r="265" spans="1:9" ht="15">
      <c r="A265"/>
      <c r="B265"/>
      <c r="C265"/>
      <c r="D265"/>
      <c r="E265"/>
      <c r="F265"/>
      <c r="G265"/>
      <c r="H265"/>
      <c r="I265"/>
    </row>
    <row r="266" spans="1:9" ht="15">
      <c r="A266"/>
      <c r="B266"/>
      <c r="C266"/>
      <c r="D266"/>
      <c r="E266"/>
      <c r="F266"/>
      <c r="G266"/>
      <c r="H266"/>
      <c r="I266"/>
    </row>
    <row r="267" spans="1:9" ht="15">
      <c r="A267"/>
      <c r="B267"/>
      <c r="C267"/>
      <c r="D267"/>
      <c r="E267"/>
      <c r="F267"/>
      <c r="G267"/>
      <c r="H267"/>
      <c r="I267"/>
    </row>
    <row r="268" spans="1:9" ht="15">
      <c r="A268"/>
      <c r="B268"/>
      <c r="C268"/>
      <c r="D268"/>
      <c r="E268"/>
      <c r="F268"/>
      <c r="G268"/>
      <c r="H268"/>
      <c r="I268"/>
    </row>
    <row r="269" spans="1:9" ht="15">
      <c r="A269"/>
      <c r="B269"/>
      <c r="C269"/>
      <c r="D269"/>
      <c r="E269"/>
      <c r="F269"/>
      <c r="G269"/>
      <c r="H269"/>
      <c r="I269"/>
    </row>
    <row r="270" spans="1:9" ht="15">
      <c r="A270"/>
      <c r="B270"/>
      <c r="C270"/>
      <c r="D270"/>
      <c r="E270"/>
      <c r="F270"/>
      <c r="G270"/>
      <c r="H270"/>
      <c r="I270"/>
    </row>
    <row r="271" spans="1:9" ht="15">
      <c r="A271"/>
      <c r="B271"/>
      <c r="C271"/>
      <c r="D271"/>
      <c r="E271"/>
      <c r="F271"/>
      <c r="G271"/>
      <c r="H271"/>
      <c r="I271"/>
    </row>
    <row r="272" spans="1:9" ht="15">
      <c r="A272"/>
      <c r="B272"/>
      <c r="C272"/>
      <c r="D272"/>
      <c r="E272"/>
      <c r="F272"/>
      <c r="G272"/>
      <c r="H272"/>
      <c r="I272"/>
    </row>
    <row r="273" spans="1:9" ht="15">
      <c r="A273"/>
      <c r="B273"/>
      <c r="C273"/>
      <c r="D273"/>
      <c r="E273"/>
      <c r="F273"/>
      <c r="G273"/>
      <c r="H273"/>
      <c r="I273"/>
    </row>
    <row r="274" spans="1:9" ht="15">
      <c r="A274"/>
      <c r="B274"/>
      <c r="C274"/>
      <c r="D274"/>
      <c r="E274"/>
      <c r="F274"/>
      <c r="G274"/>
      <c r="H274"/>
      <c r="I274"/>
    </row>
    <row r="275" spans="1:9" ht="15">
      <c r="A275"/>
      <c r="B275"/>
      <c r="C275"/>
      <c r="D275"/>
      <c r="E275"/>
      <c r="F275"/>
      <c r="G275"/>
      <c r="H275"/>
      <c r="I275"/>
    </row>
    <row r="276" spans="1:9" ht="15">
      <c r="A276"/>
      <c r="B276"/>
      <c r="C276"/>
      <c r="D276"/>
      <c r="E276"/>
      <c r="F276"/>
      <c r="G276"/>
      <c r="H276"/>
      <c r="I276"/>
    </row>
    <row r="277" spans="1:9" ht="15">
      <c r="A277"/>
      <c r="B277"/>
      <c r="C277"/>
      <c r="D277"/>
      <c r="E277"/>
      <c r="F277"/>
      <c r="G277"/>
      <c r="H277"/>
      <c r="I277"/>
    </row>
    <row r="278" spans="1:9" ht="15">
      <c r="A278"/>
      <c r="B278"/>
      <c r="C278"/>
      <c r="D278"/>
      <c r="E278"/>
      <c r="F278"/>
      <c r="G278"/>
      <c r="H278"/>
      <c r="I278"/>
    </row>
    <row r="279" spans="1:9" ht="15">
      <c r="A279"/>
      <c r="B279"/>
      <c r="C279"/>
      <c r="D279"/>
      <c r="E279"/>
      <c r="F279"/>
      <c r="G279"/>
      <c r="H279"/>
      <c r="I279"/>
    </row>
    <row r="280" spans="1:9" ht="15">
      <c r="A280"/>
      <c r="B280"/>
      <c r="C280"/>
      <c r="D280"/>
      <c r="E280"/>
      <c r="F280"/>
      <c r="G280"/>
      <c r="H280"/>
      <c r="I280"/>
    </row>
    <row r="281" spans="1:9" ht="15">
      <c r="A281"/>
      <c r="B281"/>
      <c r="C281"/>
      <c r="D281"/>
      <c r="E281"/>
      <c r="F281"/>
      <c r="G281"/>
      <c r="H281"/>
      <c r="I281"/>
    </row>
    <row r="282" spans="1:9" ht="15">
      <c r="A282"/>
      <c r="B282"/>
      <c r="C282"/>
      <c r="D282"/>
      <c r="E282"/>
      <c r="F282"/>
      <c r="G282"/>
      <c r="H282"/>
      <c r="I282"/>
    </row>
    <row r="283" spans="1:9" ht="15">
      <c r="A283"/>
      <c r="B283"/>
      <c r="C283"/>
      <c r="D283"/>
      <c r="E283"/>
      <c r="F283"/>
      <c r="G283"/>
      <c r="H283"/>
      <c r="I283"/>
    </row>
    <row r="284" spans="1:9" ht="15">
      <c r="A284"/>
      <c r="B284"/>
      <c r="C284"/>
      <c r="D284"/>
      <c r="E284"/>
      <c r="F284"/>
      <c r="G284"/>
      <c r="H284"/>
      <c r="I284"/>
    </row>
    <row r="285" spans="1:9" ht="15">
      <c r="A285"/>
      <c r="B285"/>
      <c r="C285"/>
      <c r="D285"/>
      <c r="E285"/>
      <c r="F285"/>
      <c r="G285"/>
      <c r="H285"/>
      <c r="I285"/>
    </row>
    <row r="286" spans="1:9" ht="15">
      <c r="A286"/>
      <c r="B286"/>
      <c r="C286"/>
      <c r="D286"/>
      <c r="E286"/>
      <c r="F286"/>
      <c r="G286"/>
      <c r="H286"/>
      <c r="I286"/>
    </row>
    <row r="287" spans="1:9" ht="15">
      <c r="A287"/>
      <c r="B287"/>
      <c r="C287"/>
      <c r="D287"/>
      <c r="E287"/>
      <c r="F287"/>
      <c r="G287"/>
      <c r="H287"/>
      <c r="I287"/>
    </row>
    <row r="288" spans="1:9" ht="15">
      <c r="A288"/>
      <c r="B288"/>
      <c r="C288"/>
      <c r="D288"/>
      <c r="E288"/>
      <c r="F288"/>
      <c r="G288"/>
      <c r="H288"/>
      <c r="I288"/>
    </row>
    <row r="289" spans="1:9" ht="15">
      <c r="A289"/>
      <c r="B289"/>
      <c r="C289"/>
      <c r="D289"/>
      <c r="E289"/>
      <c r="F289"/>
      <c r="G289"/>
      <c r="H289"/>
      <c r="I289"/>
    </row>
    <row r="290" spans="1:9" ht="15">
      <c r="A290"/>
      <c r="B290"/>
      <c r="C290"/>
      <c r="D290"/>
      <c r="E290"/>
      <c r="F290"/>
      <c r="G290"/>
      <c r="H290"/>
      <c r="I290"/>
    </row>
    <row r="291" spans="1:9" ht="15">
      <c r="A291"/>
      <c r="B291"/>
      <c r="C291"/>
      <c r="D291"/>
      <c r="E291"/>
      <c r="F291"/>
      <c r="G291"/>
      <c r="H291"/>
      <c r="I291"/>
    </row>
    <row r="292" spans="1:9" ht="15">
      <c r="A292"/>
      <c r="B292"/>
      <c r="C292"/>
      <c r="D292"/>
      <c r="E292"/>
      <c r="F292"/>
      <c r="G292"/>
      <c r="H292"/>
      <c r="I292"/>
    </row>
    <row r="293" spans="1:9" ht="15">
      <c r="A293"/>
      <c r="B293"/>
      <c r="C293"/>
      <c r="D293"/>
      <c r="E293"/>
      <c r="F293"/>
      <c r="G293"/>
      <c r="H293"/>
      <c r="I293"/>
    </row>
    <row r="294" spans="1:9" ht="15">
      <c r="A294"/>
      <c r="B294"/>
      <c r="C294"/>
      <c r="D294"/>
      <c r="E294"/>
      <c r="F294"/>
      <c r="G294"/>
      <c r="H294"/>
      <c r="I294"/>
    </row>
    <row r="295" spans="1:9" ht="15">
      <c r="A295"/>
      <c r="B295"/>
      <c r="C295"/>
      <c r="D295"/>
      <c r="E295"/>
      <c r="F295"/>
      <c r="G295"/>
      <c r="H295"/>
      <c r="I295"/>
    </row>
    <row r="296" spans="1:9" ht="15">
      <c r="A296"/>
      <c r="B296"/>
      <c r="C296"/>
      <c r="D296"/>
      <c r="E296"/>
      <c r="F296"/>
      <c r="G296"/>
      <c r="H296"/>
      <c r="I296"/>
    </row>
    <row r="297" spans="1:9" ht="15">
      <c r="A297"/>
      <c r="B297"/>
      <c r="C297"/>
      <c r="D297"/>
      <c r="E297"/>
      <c r="F297"/>
      <c r="G297"/>
      <c r="H297"/>
      <c r="I297"/>
    </row>
    <row r="298" spans="1:9" ht="15">
      <c r="A298"/>
      <c r="B298"/>
      <c r="C298"/>
      <c r="D298"/>
      <c r="E298"/>
      <c r="F298"/>
      <c r="G298"/>
      <c r="H298"/>
      <c r="I298"/>
    </row>
    <row r="299" spans="1:9" ht="15">
      <c r="A299"/>
      <c r="B299"/>
      <c r="C299"/>
      <c r="D299"/>
      <c r="E299"/>
      <c r="F299"/>
      <c r="G299"/>
      <c r="H299"/>
      <c r="I299"/>
    </row>
    <row r="300" spans="1:9" ht="15">
      <c r="A300"/>
      <c r="B300"/>
      <c r="C300"/>
      <c r="D300"/>
      <c r="E300"/>
      <c r="F300"/>
      <c r="G300"/>
      <c r="H300"/>
      <c r="I300"/>
    </row>
    <row r="301" spans="1:9" ht="15">
      <c r="A301"/>
      <c r="B301"/>
      <c r="C301"/>
      <c r="D301"/>
      <c r="E301"/>
      <c r="F301"/>
      <c r="G301"/>
      <c r="H301"/>
      <c r="I301"/>
    </row>
    <row r="302" spans="1:9" ht="15">
      <c r="A302"/>
      <c r="B302"/>
      <c r="C302"/>
      <c r="D302"/>
      <c r="E302"/>
      <c r="F302"/>
      <c r="G302"/>
      <c r="H302"/>
      <c r="I302"/>
    </row>
    <row r="303" spans="1:9" ht="15">
      <c r="A303"/>
      <c r="B303"/>
      <c r="C303"/>
      <c r="D303"/>
      <c r="E303"/>
      <c r="F303"/>
      <c r="G303"/>
      <c r="H303"/>
      <c r="I303"/>
    </row>
    <row r="304" spans="1:9" ht="15">
      <c r="A304"/>
      <c r="B304"/>
      <c r="C304"/>
      <c r="D304"/>
      <c r="E304"/>
      <c r="F304"/>
      <c r="G304"/>
      <c r="H304"/>
      <c r="I304"/>
    </row>
    <row r="305" spans="1:9" ht="15">
      <c r="A305"/>
      <c r="B305"/>
      <c r="C305"/>
      <c r="D305"/>
      <c r="E305"/>
      <c r="F305"/>
      <c r="G305"/>
      <c r="H305"/>
      <c r="I305"/>
    </row>
    <row r="306" spans="1:9" ht="15">
      <c r="A306"/>
      <c r="B306"/>
      <c r="C306"/>
      <c r="D306"/>
      <c r="E306"/>
      <c r="F306"/>
      <c r="G306"/>
      <c r="H306"/>
      <c r="I306"/>
    </row>
    <row r="307" spans="1:9" ht="15">
      <c r="A307"/>
      <c r="B307"/>
      <c r="C307"/>
      <c r="D307"/>
      <c r="E307"/>
      <c r="F307"/>
      <c r="G307"/>
      <c r="H307"/>
      <c r="I307"/>
    </row>
    <row r="308" spans="1:9" ht="15">
      <c r="A308"/>
      <c r="B308"/>
      <c r="C308"/>
      <c r="D308"/>
      <c r="E308"/>
      <c r="F308"/>
      <c r="G308"/>
      <c r="H308"/>
      <c r="I308"/>
    </row>
    <row r="309" spans="1:9" ht="15">
      <c r="A309"/>
      <c r="B309"/>
      <c r="C309"/>
      <c r="D309"/>
      <c r="E309"/>
      <c r="F309"/>
      <c r="G309"/>
      <c r="H309"/>
      <c r="I309"/>
    </row>
    <row r="310" spans="1:9" ht="15">
      <c r="A310"/>
      <c r="B310"/>
      <c r="C310"/>
      <c r="D310"/>
      <c r="E310"/>
      <c r="F310"/>
      <c r="G310"/>
      <c r="H310"/>
      <c r="I310"/>
    </row>
    <row r="311" spans="1:9" ht="15">
      <c r="A311"/>
      <c r="B311"/>
      <c r="C311"/>
      <c r="D311"/>
      <c r="E311"/>
      <c r="F311"/>
      <c r="G311"/>
      <c r="H311"/>
      <c r="I311"/>
    </row>
    <row r="312" spans="1:9" ht="15">
      <c r="A312"/>
      <c r="B312"/>
      <c r="C312"/>
      <c r="D312"/>
      <c r="E312"/>
      <c r="F312"/>
      <c r="G312"/>
      <c r="H312"/>
      <c r="I312"/>
    </row>
    <row r="313" spans="1:9" ht="15">
      <c r="A313"/>
      <c r="B313"/>
      <c r="C313"/>
      <c r="D313"/>
      <c r="E313"/>
      <c r="F313"/>
      <c r="G313"/>
      <c r="H313"/>
      <c r="I313"/>
    </row>
    <row r="314" spans="1:9" ht="15">
      <c r="A314"/>
      <c r="B314"/>
      <c r="C314"/>
      <c r="D314"/>
      <c r="E314"/>
      <c r="F314"/>
      <c r="G314"/>
      <c r="H314"/>
      <c r="I314"/>
    </row>
    <row r="315" spans="1:9" ht="15">
      <c r="A315"/>
      <c r="B315"/>
      <c r="C315"/>
      <c r="D315"/>
      <c r="E315"/>
      <c r="F315"/>
      <c r="G315"/>
      <c r="H315"/>
      <c r="I315"/>
    </row>
    <row r="316" spans="1:9" ht="15">
      <c r="A316"/>
      <c r="B316"/>
      <c r="C316"/>
      <c r="D316"/>
      <c r="E316"/>
      <c r="F316"/>
      <c r="G316"/>
      <c r="H316"/>
      <c r="I316"/>
    </row>
    <row r="317" spans="1:9" ht="15">
      <c r="A317"/>
      <c r="B317"/>
      <c r="C317"/>
      <c r="D317"/>
      <c r="E317"/>
      <c r="F317"/>
      <c r="G317"/>
      <c r="H317"/>
      <c r="I317"/>
    </row>
    <row r="318" spans="1:9" ht="15">
      <c r="A318"/>
      <c r="B318"/>
      <c r="C318"/>
      <c r="D318"/>
      <c r="E318"/>
      <c r="F318"/>
      <c r="G318"/>
      <c r="H318"/>
      <c r="I318"/>
    </row>
    <row r="319" spans="1:9" ht="15">
      <c r="A319"/>
      <c r="B319"/>
      <c r="C319"/>
      <c r="D319"/>
      <c r="E319"/>
      <c r="F319"/>
      <c r="G319"/>
      <c r="H319"/>
      <c r="I319"/>
    </row>
    <row r="320" spans="1:9" ht="15">
      <c r="A320"/>
      <c r="B320"/>
      <c r="C320"/>
      <c r="D320"/>
      <c r="E320"/>
      <c r="F320"/>
      <c r="G320"/>
      <c r="H320"/>
      <c r="I320"/>
    </row>
    <row r="321" spans="1:9" ht="15">
      <c r="A321"/>
      <c r="B321"/>
      <c r="C321"/>
      <c r="D321"/>
      <c r="E321"/>
      <c r="F321"/>
      <c r="G321"/>
      <c r="H321"/>
      <c r="I321"/>
    </row>
    <row r="322" spans="1:9" ht="15">
      <c r="A322"/>
      <c r="B322"/>
      <c r="C322"/>
      <c r="D322"/>
      <c r="E322"/>
      <c r="F322"/>
      <c r="G322"/>
      <c r="H322"/>
      <c r="I322"/>
    </row>
    <row r="323" spans="1:9" ht="15">
      <c r="A323"/>
      <c r="B323"/>
      <c r="C323"/>
      <c r="D323"/>
      <c r="E323"/>
      <c r="F323"/>
      <c r="G323"/>
      <c r="H323"/>
      <c r="I323"/>
    </row>
    <row r="324" spans="1:9" ht="15">
      <c r="A324"/>
      <c r="B324"/>
      <c r="C324"/>
      <c r="D324"/>
      <c r="E324"/>
      <c r="F324"/>
      <c r="G324"/>
      <c r="H324"/>
      <c r="I324"/>
    </row>
    <row r="325" spans="1:9" ht="15">
      <c r="A325"/>
      <c r="B325"/>
      <c r="C325"/>
      <c r="D325"/>
      <c r="E325"/>
      <c r="F325"/>
      <c r="G325"/>
      <c r="H325"/>
      <c r="I325"/>
    </row>
    <row r="326" spans="1:9" ht="15">
      <c r="A326"/>
      <c r="B326"/>
      <c r="C326"/>
      <c r="D326"/>
      <c r="E326"/>
      <c r="F326"/>
      <c r="G326"/>
      <c r="H326"/>
      <c r="I326"/>
    </row>
    <row r="327" spans="1:9" ht="15">
      <c r="A327"/>
      <c r="B327"/>
      <c r="C327"/>
      <c r="D327"/>
      <c r="E327"/>
      <c r="F327"/>
      <c r="G327"/>
      <c r="H327"/>
      <c r="I327"/>
    </row>
    <row r="328" spans="1:9" ht="15">
      <c r="A328"/>
      <c r="B328"/>
      <c r="C328"/>
      <c r="D328"/>
      <c r="E328"/>
      <c r="F328"/>
      <c r="G328"/>
      <c r="H328"/>
      <c r="I328"/>
    </row>
    <row r="329" spans="1:9" ht="15">
      <c r="A329"/>
      <c r="B329"/>
      <c r="C329"/>
      <c r="D329"/>
      <c r="E329"/>
      <c r="F329"/>
      <c r="G329"/>
      <c r="H329"/>
      <c r="I329"/>
    </row>
    <row r="330" spans="1:9" ht="15">
      <c r="A330"/>
      <c r="B330"/>
      <c r="C330"/>
      <c r="D330"/>
      <c r="E330"/>
      <c r="F330"/>
      <c r="G330"/>
      <c r="H330"/>
      <c r="I330"/>
    </row>
    <row r="331" spans="1:9" ht="15">
      <c r="A331"/>
      <c r="B331"/>
      <c r="C331"/>
      <c r="D331"/>
      <c r="E331"/>
      <c r="F331"/>
      <c r="G331"/>
      <c r="H331"/>
      <c r="I331"/>
    </row>
    <row r="332" spans="1:9" ht="15">
      <c r="A332"/>
      <c r="B332"/>
      <c r="C332"/>
      <c r="D332"/>
      <c r="E332"/>
      <c r="F332"/>
      <c r="G332"/>
      <c r="H332"/>
      <c r="I332"/>
    </row>
    <row r="333" spans="1:9" ht="15">
      <c r="A333"/>
      <c r="B333"/>
      <c r="C333"/>
      <c r="D333"/>
      <c r="E333"/>
      <c r="F333"/>
      <c r="G333"/>
      <c r="H333"/>
      <c r="I333"/>
    </row>
    <row r="334" spans="1:9" ht="15">
      <c r="A334"/>
      <c r="B334"/>
      <c r="C334"/>
      <c r="D334"/>
      <c r="E334"/>
      <c r="F334"/>
      <c r="G334"/>
      <c r="H334"/>
      <c r="I334"/>
    </row>
    <row r="335" spans="1:9" ht="15">
      <c r="A335"/>
      <c r="B335"/>
      <c r="C335"/>
      <c r="D335"/>
      <c r="E335"/>
      <c r="F335"/>
      <c r="G335"/>
      <c r="H335"/>
      <c r="I335"/>
    </row>
    <row r="336" spans="1:9" ht="15">
      <c r="A336"/>
      <c r="B336"/>
      <c r="C336"/>
      <c r="D336"/>
      <c r="E336"/>
      <c r="F336"/>
      <c r="G336"/>
      <c r="H336"/>
      <c r="I336"/>
    </row>
    <row r="337" spans="1:9" ht="15">
      <c r="A337"/>
      <c r="B337"/>
      <c r="C337"/>
      <c r="D337"/>
      <c r="E337"/>
      <c r="F337"/>
      <c r="G337"/>
      <c r="H337"/>
      <c r="I337"/>
    </row>
    <row r="338" spans="1:9" ht="15">
      <c r="A338"/>
      <c r="B338"/>
      <c r="C338"/>
      <c r="D338"/>
      <c r="E338"/>
      <c r="F338"/>
      <c r="G338"/>
      <c r="H338"/>
      <c r="I338"/>
    </row>
    <row r="339" spans="1:9" ht="15">
      <c r="A339"/>
      <c r="B339"/>
      <c r="C339"/>
      <c r="D339"/>
      <c r="E339"/>
      <c r="F339"/>
      <c r="G339"/>
      <c r="H339"/>
      <c r="I339"/>
    </row>
    <row r="340" spans="1:9" ht="15">
      <c r="A340"/>
      <c r="B340"/>
      <c r="C340"/>
      <c r="D340"/>
      <c r="E340"/>
      <c r="F340"/>
      <c r="G340"/>
      <c r="H340"/>
      <c r="I340"/>
    </row>
    <row r="341" spans="1:9" ht="15">
      <c r="A341"/>
      <c r="B341"/>
      <c r="C341"/>
      <c r="D341"/>
      <c r="E341"/>
      <c r="F341"/>
      <c r="G341"/>
      <c r="H341"/>
      <c r="I341"/>
    </row>
    <row r="342" spans="1:9" ht="15">
      <c r="A342"/>
      <c r="B342"/>
      <c r="C342"/>
      <c r="D342"/>
      <c r="E342"/>
      <c r="F342"/>
      <c r="G342"/>
      <c r="H342"/>
      <c r="I342"/>
    </row>
    <row r="343" spans="1:9" ht="15">
      <c r="A343"/>
      <c r="B343"/>
      <c r="C343"/>
      <c r="D343"/>
      <c r="E343"/>
      <c r="F343"/>
      <c r="G343"/>
      <c r="H343"/>
      <c r="I343"/>
    </row>
    <row r="344" spans="1:9" ht="15">
      <c r="A344"/>
      <c r="B344"/>
      <c r="C344"/>
      <c r="D344"/>
      <c r="E344"/>
      <c r="F344"/>
      <c r="G344"/>
      <c r="H344"/>
      <c r="I344"/>
    </row>
    <row r="345" spans="1:9" ht="15">
      <c r="A345"/>
      <c r="B345"/>
      <c r="C345"/>
      <c r="D345"/>
      <c r="E345"/>
      <c r="F345"/>
      <c r="G345"/>
      <c r="H345"/>
      <c r="I345"/>
    </row>
    <row r="346" spans="1:9" ht="15">
      <c r="A346"/>
      <c r="B346"/>
      <c r="C346"/>
      <c r="D346"/>
      <c r="E346"/>
      <c r="F346"/>
      <c r="G346"/>
      <c r="H346"/>
      <c r="I346"/>
    </row>
    <row r="347" spans="1:9" ht="15">
      <c r="A347"/>
      <c r="B347"/>
      <c r="C347"/>
      <c r="D347"/>
      <c r="E347"/>
      <c r="F347"/>
      <c r="G347"/>
      <c r="H347"/>
      <c r="I347"/>
    </row>
    <row r="348" spans="1:9" ht="15">
      <c r="A348"/>
      <c r="B348"/>
      <c r="C348"/>
      <c r="D348"/>
      <c r="E348"/>
      <c r="F348"/>
      <c r="G348"/>
      <c r="H348"/>
      <c r="I348"/>
    </row>
    <row r="349" spans="1:9" ht="15">
      <c r="A349"/>
      <c r="B349"/>
      <c r="C349"/>
      <c r="D349"/>
      <c r="E349"/>
      <c r="F349"/>
      <c r="G349"/>
      <c r="H349"/>
      <c r="I349"/>
    </row>
    <row r="350" spans="1:9" ht="15">
      <c r="A350"/>
      <c r="B350"/>
      <c r="C350"/>
      <c r="D350"/>
      <c r="E350"/>
      <c r="F350"/>
      <c r="G350"/>
      <c r="H350"/>
      <c r="I350"/>
    </row>
    <row r="351" spans="1:9" ht="15">
      <c r="A351"/>
      <c r="B351"/>
      <c r="C351"/>
      <c r="D351"/>
      <c r="E351"/>
      <c r="F351"/>
      <c r="G351"/>
      <c r="H351"/>
      <c r="I351"/>
    </row>
    <row r="352" spans="1:9" ht="15">
      <c r="A352"/>
      <c r="B352"/>
      <c r="C352"/>
      <c r="D352"/>
      <c r="E352"/>
      <c r="F352"/>
      <c r="G352"/>
      <c r="H352"/>
      <c r="I352"/>
    </row>
    <row r="353" spans="1:9" ht="15">
      <c r="A353"/>
      <c r="B353"/>
      <c r="C353"/>
      <c r="D353"/>
      <c r="E353"/>
      <c r="F353"/>
      <c r="G353"/>
      <c r="H353"/>
      <c r="I353"/>
    </row>
    <row r="354" spans="1:9" ht="15">
      <c r="A354"/>
      <c r="B354"/>
      <c r="C354"/>
      <c r="D354"/>
      <c r="E354"/>
      <c r="F354"/>
      <c r="G354"/>
      <c r="H354"/>
      <c r="I354"/>
    </row>
    <row r="355" spans="1:9" ht="15">
      <c r="A355"/>
      <c r="B355"/>
      <c r="C355"/>
      <c r="D355"/>
      <c r="E355"/>
      <c r="F355"/>
      <c r="G355"/>
      <c r="H355"/>
      <c r="I355"/>
    </row>
    <row r="356" spans="1:9" ht="15">
      <c r="A356"/>
      <c r="B356"/>
      <c r="C356"/>
      <c r="D356"/>
      <c r="E356"/>
      <c r="F356"/>
      <c r="G356"/>
      <c r="H356"/>
      <c r="I356"/>
    </row>
    <row r="357" spans="1:9" ht="15">
      <c r="A357"/>
      <c r="B357"/>
      <c r="C357"/>
      <c r="D357"/>
      <c r="E357"/>
      <c r="F357"/>
      <c r="G357"/>
      <c r="H357"/>
      <c r="I357"/>
    </row>
    <row r="358" spans="1:9" ht="15">
      <c r="A358"/>
      <c r="B358"/>
      <c r="C358"/>
      <c r="D358"/>
      <c r="E358"/>
      <c r="F358"/>
      <c r="G358"/>
      <c r="H358"/>
      <c r="I358"/>
    </row>
    <row r="359" spans="1:9" ht="15">
      <c r="A359"/>
      <c r="B359"/>
      <c r="C359"/>
      <c r="D359"/>
      <c r="E359"/>
      <c r="F359"/>
      <c r="G359"/>
      <c r="H359"/>
      <c r="I359"/>
    </row>
    <row r="360" spans="1:9" ht="15">
      <c r="A360"/>
      <c r="B360"/>
      <c r="C360"/>
      <c r="D360"/>
      <c r="E360"/>
      <c r="F360"/>
      <c r="G360"/>
      <c r="H360"/>
      <c r="I360"/>
    </row>
    <row r="361" spans="1:9" ht="15">
      <c r="A361"/>
      <c r="B361"/>
      <c r="C361"/>
      <c r="D361"/>
      <c r="E361"/>
      <c r="F361"/>
      <c r="G361"/>
      <c r="H361"/>
      <c r="I361"/>
    </row>
    <row r="362" spans="1:9" ht="15">
      <c r="A362"/>
      <c r="B362"/>
      <c r="C362"/>
      <c r="D362"/>
      <c r="E362"/>
      <c r="F362"/>
      <c r="G362"/>
      <c r="H362"/>
      <c r="I362"/>
    </row>
    <row r="363" spans="1:9" ht="15">
      <c r="A363"/>
      <c r="B363"/>
      <c r="C363"/>
      <c r="D363"/>
      <c r="E363"/>
      <c r="F363"/>
      <c r="G363"/>
      <c r="H363"/>
      <c r="I363"/>
    </row>
    <row r="364" spans="1:9" ht="15">
      <c r="A364"/>
      <c r="B364"/>
      <c r="C364"/>
      <c r="D364"/>
      <c r="E364"/>
      <c r="F364"/>
      <c r="G364"/>
      <c r="H364"/>
      <c r="I364"/>
    </row>
    <row r="365" spans="1:9" ht="15">
      <c r="A365"/>
      <c r="B365"/>
      <c r="C365"/>
      <c r="D365"/>
      <c r="E365"/>
      <c r="F365"/>
      <c r="G365"/>
      <c r="H365"/>
      <c r="I365"/>
    </row>
    <row r="366" spans="1:9" ht="15">
      <c r="A366"/>
      <c r="B366"/>
      <c r="C366"/>
      <c r="D366"/>
      <c r="E366"/>
      <c r="F366"/>
      <c r="G366"/>
      <c r="H366"/>
      <c r="I366"/>
    </row>
    <row r="367" spans="1:9" ht="15">
      <c r="A367"/>
      <c r="B367"/>
      <c r="C367"/>
      <c r="D367"/>
      <c r="E367"/>
      <c r="F367"/>
      <c r="G367"/>
      <c r="H367"/>
      <c r="I367"/>
    </row>
    <row r="368" spans="1:9" ht="15">
      <c r="A368"/>
      <c r="B368"/>
      <c r="C368"/>
      <c r="D368"/>
      <c r="E368"/>
      <c r="F368"/>
      <c r="G368"/>
      <c r="H368"/>
      <c r="I368"/>
    </row>
    <row r="369" spans="1:9" ht="15">
      <c r="A369"/>
      <c r="B369"/>
      <c r="C369"/>
      <c r="D369"/>
      <c r="E369"/>
      <c r="F369"/>
      <c r="G369"/>
      <c r="H369"/>
      <c r="I369"/>
    </row>
    <row r="370" spans="1:9" ht="15">
      <c r="A370"/>
      <c r="B370"/>
      <c r="C370"/>
      <c r="D370"/>
      <c r="E370"/>
      <c r="F370"/>
      <c r="G370"/>
      <c r="H370"/>
      <c r="I370"/>
    </row>
    <row r="371" spans="1:9" ht="15">
      <c r="A371"/>
      <c r="B371"/>
      <c r="C371"/>
      <c r="D371"/>
      <c r="E371"/>
      <c r="F371"/>
      <c r="G371"/>
      <c r="H371"/>
      <c r="I371"/>
    </row>
    <row r="372" spans="1:9" ht="15">
      <c r="A372"/>
      <c r="B372"/>
      <c r="C372"/>
      <c r="D372"/>
      <c r="E372"/>
      <c r="F372"/>
      <c r="G372"/>
      <c r="H372"/>
      <c r="I372"/>
    </row>
    <row r="373" spans="1:9" ht="15">
      <c r="A373"/>
      <c r="B373"/>
      <c r="C373"/>
      <c r="D373"/>
      <c r="E373"/>
      <c r="F373"/>
      <c r="G373"/>
      <c r="H373"/>
      <c r="I373"/>
    </row>
    <row r="374" spans="1:9" ht="15">
      <c r="A374"/>
      <c r="B374"/>
      <c r="C374"/>
      <c r="D374"/>
      <c r="E374"/>
      <c r="F374"/>
      <c r="G374"/>
      <c r="H374"/>
      <c r="I374"/>
    </row>
    <row r="375" spans="1:9" ht="15">
      <c r="A375"/>
      <c r="B375"/>
      <c r="C375"/>
      <c r="D375"/>
      <c r="E375"/>
      <c r="F375"/>
      <c r="G375"/>
      <c r="H375"/>
      <c r="I375"/>
    </row>
    <row r="376" spans="1:9" ht="15">
      <c r="A376"/>
      <c r="B376"/>
      <c r="C376"/>
      <c r="D376"/>
      <c r="E376"/>
      <c r="F376"/>
      <c r="G376"/>
      <c r="H376"/>
      <c r="I376"/>
    </row>
    <row r="377" spans="1:9" ht="15">
      <c r="A377"/>
      <c r="B377"/>
      <c r="C377"/>
      <c r="D377"/>
      <c r="E377"/>
      <c r="F377"/>
      <c r="G377"/>
      <c r="H377"/>
      <c r="I377"/>
    </row>
    <row r="378" spans="1:9" ht="15">
      <c r="A378"/>
      <c r="B378"/>
      <c r="C378"/>
      <c r="D378"/>
      <c r="E378"/>
      <c r="F378"/>
      <c r="G378"/>
      <c r="H378"/>
      <c r="I378"/>
    </row>
    <row r="379" spans="1:9" ht="15">
      <c r="A379"/>
      <c r="B379"/>
      <c r="C379"/>
      <c r="D379"/>
      <c r="E379"/>
      <c r="F379"/>
      <c r="G379"/>
      <c r="H379"/>
      <c r="I379"/>
    </row>
    <row r="380" spans="1:9" ht="15">
      <c r="A380"/>
      <c r="B380"/>
      <c r="C380"/>
      <c r="D380"/>
      <c r="E380"/>
      <c r="F380"/>
      <c r="G380"/>
      <c r="H380"/>
      <c r="I380"/>
    </row>
    <row r="381" spans="1:9" ht="15">
      <c r="A381"/>
      <c r="B381"/>
      <c r="C381"/>
      <c r="D381"/>
      <c r="E381"/>
      <c r="F381"/>
      <c r="G381"/>
      <c r="H381"/>
      <c r="I381"/>
    </row>
    <row r="382" spans="1:9" ht="15">
      <c r="A382"/>
      <c r="B382"/>
      <c r="C382"/>
      <c r="D382"/>
      <c r="E382"/>
      <c r="F382"/>
      <c r="G382"/>
      <c r="H382"/>
      <c r="I382"/>
    </row>
    <row r="383" spans="1:9" ht="15">
      <c r="A383"/>
      <c r="B383"/>
      <c r="C383"/>
      <c r="D383"/>
      <c r="E383"/>
      <c r="F383"/>
      <c r="G383"/>
      <c r="H383"/>
      <c r="I383"/>
    </row>
    <row r="384" spans="1:9" ht="15">
      <c r="A384"/>
      <c r="B384"/>
      <c r="C384"/>
      <c r="D384"/>
      <c r="E384"/>
      <c r="F384"/>
      <c r="G384"/>
      <c r="H384"/>
      <c r="I384"/>
    </row>
    <row r="385" spans="1:9" ht="15">
      <c r="A385"/>
      <c r="B385"/>
      <c r="C385"/>
      <c r="D385"/>
      <c r="E385"/>
      <c r="F385"/>
      <c r="G385"/>
      <c r="H385"/>
      <c r="I385"/>
    </row>
    <row r="386" spans="1:9" ht="15">
      <c r="A386"/>
      <c r="B386"/>
      <c r="C386"/>
      <c r="D386"/>
      <c r="E386"/>
      <c r="F386"/>
      <c r="G386"/>
      <c r="H386"/>
      <c r="I386"/>
    </row>
    <row r="387" spans="1:9" ht="15">
      <c r="A387"/>
      <c r="B387"/>
      <c r="C387"/>
      <c r="D387"/>
      <c r="E387"/>
      <c r="F387"/>
      <c r="G387"/>
      <c r="H387"/>
      <c r="I387"/>
    </row>
    <row r="388" spans="1:9" ht="15">
      <c r="A388"/>
      <c r="B388"/>
      <c r="C388"/>
      <c r="D388"/>
      <c r="E388"/>
      <c r="F388"/>
      <c r="G388"/>
      <c r="H388"/>
      <c r="I388"/>
    </row>
    <row r="389" spans="1:9" ht="15">
      <c r="A389"/>
      <c r="B389"/>
      <c r="C389"/>
      <c r="D389"/>
      <c r="E389"/>
      <c r="F389"/>
      <c r="G389"/>
      <c r="H389"/>
      <c r="I389"/>
    </row>
    <row r="390" spans="1:9" ht="15">
      <c r="A390"/>
      <c r="B390"/>
      <c r="C390"/>
      <c r="D390"/>
      <c r="E390"/>
      <c r="F390"/>
      <c r="G390"/>
      <c r="H390"/>
      <c r="I390"/>
    </row>
    <row r="391" spans="1:9" ht="15">
      <c r="A391"/>
      <c r="B391"/>
      <c r="C391"/>
      <c r="D391"/>
      <c r="E391"/>
      <c r="F391"/>
      <c r="G391"/>
      <c r="H391"/>
      <c r="I391"/>
    </row>
    <row r="392" spans="1:9" ht="15">
      <c r="A392"/>
      <c r="B392"/>
      <c r="C392"/>
      <c r="D392"/>
      <c r="E392"/>
      <c r="F392"/>
      <c r="G392"/>
      <c r="H392"/>
      <c r="I392"/>
    </row>
    <row r="393" spans="1:9" ht="15">
      <c r="A393"/>
      <c r="B393"/>
      <c r="C393"/>
      <c r="D393"/>
      <c r="E393"/>
      <c r="F393"/>
      <c r="G393"/>
      <c r="H393"/>
      <c r="I393"/>
    </row>
    <row r="394" spans="1:9" ht="15">
      <c r="A394"/>
      <c r="B394"/>
      <c r="C394"/>
      <c r="D394"/>
      <c r="E394"/>
      <c r="F394"/>
      <c r="G394"/>
      <c r="H394"/>
      <c r="I394"/>
    </row>
    <row r="395" spans="1:9" ht="15">
      <c r="A395"/>
      <c r="B395"/>
      <c r="C395"/>
      <c r="D395"/>
      <c r="E395"/>
      <c r="F395"/>
      <c r="G395"/>
      <c r="H395"/>
      <c r="I395"/>
    </row>
    <row r="396" spans="1:9" ht="15">
      <c r="A396"/>
      <c r="B396"/>
      <c r="C396"/>
      <c r="D396"/>
      <c r="E396"/>
      <c r="F396"/>
      <c r="G396"/>
      <c r="H396"/>
      <c r="I396"/>
    </row>
    <row r="397" spans="1:9" ht="15">
      <c r="A397"/>
      <c r="B397"/>
      <c r="C397"/>
      <c r="D397"/>
      <c r="E397"/>
      <c r="F397"/>
      <c r="G397"/>
      <c r="H397"/>
      <c r="I397"/>
    </row>
    <row r="398" spans="1:9" ht="15">
      <c r="A398"/>
      <c r="B398"/>
      <c r="C398"/>
      <c r="D398"/>
      <c r="E398"/>
      <c r="F398"/>
      <c r="G398"/>
      <c r="H398"/>
      <c r="I398"/>
    </row>
    <row r="399" spans="1:9" ht="15">
      <c r="A399"/>
      <c r="B399"/>
      <c r="C399"/>
      <c r="D399"/>
      <c r="E399"/>
      <c r="F399"/>
      <c r="G399"/>
      <c r="H399"/>
      <c r="I399"/>
    </row>
    <row r="400" spans="1:9" ht="15">
      <c r="A400"/>
      <c r="B400"/>
      <c r="C400"/>
      <c r="D400"/>
      <c r="E400"/>
      <c r="F400"/>
      <c r="G400"/>
      <c r="H400"/>
      <c r="I400"/>
    </row>
    <row r="401" spans="1:9" ht="15">
      <c r="A401"/>
      <c r="B401"/>
      <c r="C401"/>
      <c r="D401"/>
      <c r="E401"/>
      <c r="F401"/>
      <c r="G401"/>
      <c r="H401"/>
      <c r="I401"/>
    </row>
    <row r="402" spans="1:9" ht="15">
      <c r="A402"/>
      <c r="B402"/>
      <c r="C402"/>
      <c r="D402"/>
      <c r="E402"/>
      <c r="F402"/>
      <c r="G402"/>
      <c r="H402"/>
      <c r="I402"/>
    </row>
    <row r="403" spans="1:9" ht="15">
      <c r="A403"/>
      <c r="B403"/>
      <c r="C403"/>
      <c r="D403"/>
      <c r="E403"/>
      <c r="F403"/>
      <c r="G403"/>
      <c r="H403"/>
      <c r="I403"/>
    </row>
    <row r="404" spans="1:9" ht="15">
      <c r="A404"/>
      <c r="B404"/>
      <c r="C404"/>
      <c r="D404"/>
      <c r="E404"/>
      <c r="F404"/>
      <c r="G404"/>
      <c r="H404"/>
      <c r="I404"/>
    </row>
    <row r="405" spans="1:9" ht="15">
      <c r="A405"/>
      <c r="B405"/>
      <c r="C405"/>
      <c r="D405"/>
      <c r="E405"/>
      <c r="F405"/>
      <c r="G405"/>
      <c r="H405"/>
      <c r="I405"/>
    </row>
    <row r="406" spans="1:9" ht="15">
      <c r="A406"/>
      <c r="B406"/>
      <c r="C406"/>
      <c r="D406"/>
      <c r="E406"/>
      <c r="F406"/>
      <c r="G406"/>
      <c r="H406"/>
      <c r="I406"/>
    </row>
    <row r="407" spans="1:9" ht="15">
      <c r="A407"/>
      <c r="B407"/>
      <c r="C407"/>
      <c r="D407"/>
      <c r="E407"/>
      <c r="F407"/>
      <c r="G407"/>
      <c r="H407"/>
      <c r="I407"/>
    </row>
    <row r="408" spans="1:9" ht="15">
      <c r="A408"/>
      <c r="B408"/>
      <c r="C408"/>
      <c r="D408"/>
      <c r="E408"/>
      <c r="F408"/>
      <c r="G408"/>
      <c r="H408"/>
      <c r="I408"/>
    </row>
    <row r="409" spans="1:9" ht="15">
      <c r="A409"/>
      <c r="B409"/>
      <c r="C409"/>
      <c r="D409"/>
      <c r="E409"/>
      <c r="F409"/>
      <c r="G409"/>
      <c r="H409"/>
      <c r="I409"/>
    </row>
    <row r="410" spans="1:9" ht="15">
      <c r="A410"/>
      <c r="B410"/>
      <c r="C410"/>
      <c r="D410"/>
      <c r="E410"/>
      <c r="F410"/>
      <c r="G410"/>
      <c r="H410"/>
      <c r="I410"/>
    </row>
    <row r="411" spans="1:9" ht="15">
      <c r="A411"/>
      <c r="B411"/>
      <c r="C411"/>
      <c r="D411"/>
      <c r="E411"/>
      <c r="F411"/>
      <c r="G411"/>
      <c r="H411"/>
      <c r="I411"/>
    </row>
    <row r="412" spans="1:9" ht="15">
      <c r="A412"/>
      <c r="B412"/>
      <c r="C412"/>
      <c r="D412"/>
      <c r="E412"/>
      <c r="F412"/>
      <c r="G412"/>
      <c r="H412"/>
      <c r="I412"/>
    </row>
    <row r="413" spans="1:9" ht="15">
      <c r="A413"/>
      <c r="B413"/>
      <c r="C413"/>
      <c r="D413"/>
      <c r="E413"/>
      <c r="F413"/>
      <c r="G413"/>
      <c r="H413"/>
      <c r="I413"/>
    </row>
    <row r="414" spans="1:9" ht="15">
      <c r="A414"/>
      <c r="B414"/>
      <c r="C414"/>
      <c r="D414"/>
      <c r="E414"/>
      <c r="F414"/>
      <c r="G414"/>
      <c r="H414"/>
      <c r="I414"/>
    </row>
    <row r="415" spans="1:9" ht="15">
      <c r="A415"/>
      <c r="B415"/>
      <c r="C415"/>
      <c r="D415"/>
      <c r="E415"/>
      <c r="F415"/>
      <c r="G415"/>
      <c r="H415"/>
      <c r="I415"/>
    </row>
    <row r="416" spans="1:9" ht="15">
      <c r="A416"/>
      <c r="B416"/>
      <c r="C416"/>
      <c r="D416"/>
      <c r="E416"/>
      <c r="F416"/>
      <c r="G416"/>
      <c r="H416"/>
      <c r="I416"/>
    </row>
    <row r="417" spans="1:9" ht="15">
      <c r="A417"/>
      <c r="B417"/>
      <c r="C417"/>
      <c r="D417"/>
      <c r="E417"/>
      <c r="F417"/>
      <c r="G417"/>
      <c r="H417"/>
      <c r="I417"/>
    </row>
    <row r="418" spans="1:9" ht="15">
      <c r="A418"/>
      <c r="B418"/>
      <c r="C418"/>
      <c r="D418"/>
      <c r="E418"/>
      <c r="F418"/>
      <c r="G418"/>
      <c r="H418"/>
      <c r="I418"/>
    </row>
    <row r="419" spans="1:9" ht="15">
      <c r="A419"/>
      <c r="B419"/>
      <c r="C419"/>
      <c r="D419"/>
      <c r="E419"/>
      <c r="F419"/>
      <c r="G419"/>
      <c r="H419"/>
      <c r="I419"/>
    </row>
    <row r="420" spans="1:9" ht="15">
      <c r="A420"/>
      <c r="B420"/>
      <c r="C420"/>
      <c r="D420"/>
      <c r="E420"/>
      <c r="F420"/>
      <c r="G420"/>
      <c r="H420"/>
      <c r="I420"/>
    </row>
    <row r="421" spans="1:9" ht="15">
      <c r="A421"/>
      <c r="B421"/>
      <c r="C421"/>
      <c r="D421"/>
      <c r="E421"/>
      <c r="F421"/>
      <c r="G421"/>
      <c r="H421"/>
      <c r="I421"/>
    </row>
    <row r="422" spans="1:9" ht="15">
      <c r="A422"/>
      <c r="B422"/>
      <c r="C422"/>
      <c r="D422"/>
      <c r="E422"/>
      <c r="F422"/>
      <c r="G422"/>
      <c r="H422"/>
      <c r="I422"/>
    </row>
    <row r="423" spans="1:9" ht="15">
      <c r="A423"/>
      <c r="B423"/>
      <c r="C423"/>
      <c r="D423"/>
      <c r="E423"/>
      <c r="F423"/>
      <c r="G423"/>
      <c r="H423"/>
      <c r="I423"/>
    </row>
    <row r="424" spans="1:9" ht="15">
      <c r="A424"/>
      <c r="B424"/>
      <c r="C424"/>
      <c r="D424"/>
      <c r="E424"/>
      <c r="F424"/>
      <c r="G424"/>
      <c r="H424"/>
      <c r="I424"/>
    </row>
    <row r="425" spans="1:9" ht="15">
      <c r="A425"/>
      <c r="B425"/>
      <c r="C425"/>
      <c r="D425"/>
      <c r="E425"/>
      <c r="F425"/>
      <c r="G425"/>
      <c r="H425"/>
      <c r="I425"/>
    </row>
    <row r="426" spans="1:9" ht="15">
      <c r="A426"/>
      <c r="B426"/>
      <c r="C426"/>
      <c r="D426"/>
      <c r="E426"/>
      <c r="F426"/>
      <c r="G426"/>
      <c r="H426"/>
      <c r="I426"/>
    </row>
    <row r="427" spans="1:9" ht="15">
      <c r="A427"/>
      <c r="B427"/>
      <c r="C427"/>
      <c r="D427"/>
      <c r="E427"/>
      <c r="F427"/>
      <c r="G427"/>
      <c r="H427"/>
      <c r="I427"/>
    </row>
    <row r="428" spans="1:9" ht="15">
      <c r="A428"/>
      <c r="B428"/>
      <c r="C428"/>
      <c r="D428"/>
      <c r="E428"/>
      <c r="F428"/>
      <c r="G428"/>
      <c r="H428"/>
      <c r="I428"/>
    </row>
    <row r="429" spans="1:9" ht="15">
      <c r="A429"/>
      <c r="B429"/>
      <c r="C429"/>
      <c r="D429"/>
      <c r="E429"/>
      <c r="F429"/>
      <c r="G429"/>
      <c r="H429"/>
      <c r="I429"/>
    </row>
    <row r="430" spans="1:9" ht="15">
      <c r="A430"/>
      <c r="B430"/>
      <c r="C430"/>
      <c r="D430"/>
      <c r="E430"/>
      <c r="F430"/>
      <c r="G430"/>
      <c r="H430"/>
      <c r="I430"/>
    </row>
    <row r="431" spans="1:9" ht="15">
      <c r="A431"/>
      <c r="B431"/>
      <c r="C431"/>
      <c r="D431"/>
      <c r="E431"/>
      <c r="F431"/>
      <c r="G431"/>
      <c r="H431"/>
      <c r="I431"/>
    </row>
    <row r="432" spans="1:9" ht="15">
      <c r="A432"/>
      <c r="B432"/>
      <c r="C432"/>
      <c r="D432"/>
      <c r="E432"/>
      <c r="F432"/>
      <c r="G432"/>
      <c r="H432"/>
      <c r="I432"/>
    </row>
    <row r="433" spans="1:9" ht="15">
      <c r="A433"/>
      <c r="B433"/>
      <c r="C433"/>
      <c r="D433"/>
      <c r="E433"/>
      <c r="F433"/>
      <c r="G433"/>
      <c r="H433"/>
      <c r="I433"/>
    </row>
    <row r="434" spans="1:9" ht="15">
      <c r="A434"/>
      <c r="B434"/>
      <c r="C434"/>
      <c r="D434"/>
      <c r="E434"/>
      <c r="F434"/>
      <c r="G434"/>
      <c r="H434"/>
      <c r="I434"/>
    </row>
    <row r="435" spans="1:9" ht="15">
      <c r="A435"/>
      <c r="B435"/>
      <c r="C435"/>
      <c r="D435"/>
      <c r="E435"/>
      <c r="F435"/>
      <c r="G435"/>
      <c r="H435"/>
      <c r="I435"/>
    </row>
    <row r="436" spans="1:9" ht="15">
      <c r="A436"/>
      <c r="B436"/>
      <c r="C436"/>
      <c r="D436"/>
      <c r="E436"/>
      <c r="F436"/>
      <c r="G436"/>
      <c r="H436"/>
      <c r="I436"/>
    </row>
    <row r="437" spans="1:9" ht="15">
      <c r="A437"/>
      <c r="B437"/>
      <c r="C437"/>
      <c r="D437"/>
      <c r="E437"/>
      <c r="F437"/>
      <c r="G437"/>
      <c r="H437"/>
      <c r="I437"/>
    </row>
    <row r="438" spans="1:9" ht="15">
      <c r="A438"/>
      <c r="B438"/>
      <c r="C438"/>
      <c r="D438"/>
      <c r="E438"/>
      <c r="F438"/>
      <c r="G438"/>
      <c r="H438"/>
      <c r="I438"/>
    </row>
    <row r="439" spans="1:9" ht="15">
      <c r="A439"/>
      <c r="B439"/>
      <c r="C439"/>
      <c r="D439"/>
      <c r="E439"/>
      <c r="F439"/>
      <c r="G439"/>
      <c r="H439"/>
      <c r="I439"/>
    </row>
    <row r="440" spans="1:9" ht="15">
      <c r="A440"/>
      <c r="B440"/>
      <c r="C440"/>
      <c r="D440"/>
      <c r="E440"/>
      <c r="F440"/>
      <c r="G440"/>
      <c r="H440"/>
      <c r="I440"/>
    </row>
    <row r="441" spans="1:9" ht="15">
      <c r="A441"/>
      <c r="B441"/>
      <c r="C441"/>
      <c r="D441"/>
      <c r="E441"/>
      <c r="F441"/>
      <c r="G441"/>
      <c r="H441"/>
      <c r="I441"/>
    </row>
    <row r="442" spans="1:9" ht="15">
      <c r="A442"/>
      <c r="B442"/>
      <c r="C442"/>
      <c r="D442"/>
      <c r="E442"/>
      <c r="F442"/>
      <c r="G442"/>
      <c r="H442"/>
      <c r="I442"/>
    </row>
    <row r="443" spans="1:9" ht="15">
      <c r="A443"/>
      <c r="B443"/>
      <c r="C443"/>
      <c r="D443"/>
      <c r="E443"/>
      <c r="F443"/>
      <c r="G443"/>
      <c r="H443"/>
      <c r="I443"/>
    </row>
    <row r="444" spans="1:9" ht="15">
      <c r="A444"/>
      <c r="B444"/>
      <c r="C444"/>
      <c r="D444"/>
      <c r="E444"/>
      <c r="F444"/>
      <c r="G444"/>
      <c r="H444"/>
      <c r="I444"/>
    </row>
    <row r="445" spans="1:9" ht="15">
      <c r="A445"/>
      <c r="B445"/>
      <c r="C445"/>
      <c r="D445"/>
      <c r="E445"/>
      <c r="F445"/>
      <c r="G445"/>
      <c r="H445"/>
      <c r="I445"/>
    </row>
    <row r="446" spans="1:9" ht="15">
      <c r="A446"/>
      <c r="B446"/>
      <c r="C446"/>
      <c r="D446"/>
      <c r="E446"/>
      <c r="F446"/>
      <c r="G446"/>
      <c r="H446"/>
      <c r="I446"/>
    </row>
    <row r="447" spans="1:9" ht="15">
      <c r="A447"/>
      <c r="B447"/>
      <c r="C447"/>
      <c r="D447"/>
      <c r="E447"/>
      <c r="F447"/>
      <c r="G447"/>
      <c r="H447"/>
      <c r="I447"/>
    </row>
    <row r="448" spans="1:9" ht="15">
      <c r="A448"/>
      <c r="B448"/>
      <c r="C448"/>
      <c r="D448"/>
      <c r="E448"/>
      <c r="F448"/>
      <c r="G448"/>
      <c r="H448"/>
      <c r="I448"/>
    </row>
    <row r="449" spans="1:9" ht="15">
      <c r="A449"/>
      <c r="B449"/>
      <c r="C449"/>
      <c r="D449"/>
      <c r="E449"/>
      <c r="F449"/>
      <c r="G449"/>
      <c r="H449"/>
      <c r="I449"/>
    </row>
    <row r="450" spans="1:9" ht="15">
      <c r="A450"/>
      <c r="B450"/>
      <c r="C450"/>
      <c r="D450"/>
      <c r="E450"/>
      <c r="F450"/>
      <c r="G450"/>
      <c r="H450"/>
      <c r="I450"/>
    </row>
    <row r="451" spans="1:9" ht="15">
      <c r="A451"/>
      <c r="B451"/>
      <c r="C451"/>
      <c r="D451"/>
      <c r="E451"/>
      <c r="F451"/>
      <c r="G451"/>
      <c r="H451"/>
      <c r="I451"/>
    </row>
    <row r="452" spans="1:9" ht="15">
      <c r="A452"/>
      <c r="B452"/>
      <c r="C452"/>
      <c r="D452"/>
      <c r="E452"/>
      <c r="F452"/>
      <c r="G452"/>
      <c r="H452"/>
      <c r="I452"/>
    </row>
    <row r="453" spans="1:9" ht="15">
      <c r="A453"/>
      <c r="B453"/>
      <c r="C453"/>
      <c r="D453"/>
      <c r="E453"/>
      <c r="F453"/>
      <c r="G453"/>
      <c r="H453"/>
      <c r="I453"/>
    </row>
    <row r="454" spans="1:9" ht="15">
      <c r="A454"/>
      <c r="B454"/>
      <c r="C454"/>
      <c r="D454"/>
      <c r="E454"/>
      <c r="F454"/>
      <c r="G454"/>
      <c r="H454"/>
      <c r="I454"/>
    </row>
    <row r="455" spans="1:9" ht="15">
      <c r="A455"/>
      <c r="B455"/>
      <c r="C455"/>
      <c r="D455"/>
      <c r="E455"/>
      <c r="F455"/>
      <c r="G455"/>
      <c r="H455"/>
      <c r="I455"/>
    </row>
    <row r="456" spans="1:9" ht="15">
      <c r="A456"/>
      <c r="B456"/>
      <c r="C456"/>
      <c r="D456"/>
      <c r="E456"/>
      <c r="F456"/>
      <c r="G456"/>
      <c r="H456"/>
      <c r="I456"/>
    </row>
    <row r="457" spans="1:9" ht="15">
      <c r="A457"/>
      <c r="B457"/>
      <c r="C457"/>
      <c r="D457"/>
      <c r="E457"/>
      <c r="F457"/>
      <c r="G457"/>
      <c r="H457"/>
      <c r="I457"/>
    </row>
    <row r="458" spans="1:9" ht="15">
      <c r="A458"/>
      <c r="B458"/>
      <c r="C458"/>
      <c r="D458"/>
      <c r="E458"/>
      <c r="F458"/>
      <c r="G458"/>
      <c r="H458"/>
      <c r="I458"/>
    </row>
    <row r="459" spans="1:9" ht="15">
      <c r="A459"/>
      <c r="B459"/>
      <c r="C459"/>
      <c r="D459"/>
      <c r="E459"/>
      <c r="F459"/>
      <c r="G459"/>
      <c r="H459"/>
      <c r="I459"/>
    </row>
    <row r="460" spans="1:9" ht="15">
      <c r="A460"/>
      <c r="B460"/>
      <c r="C460"/>
      <c r="D460"/>
      <c r="E460"/>
      <c r="F460"/>
      <c r="G460"/>
      <c r="H460"/>
      <c r="I460"/>
    </row>
    <row r="461" spans="1:9" ht="15">
      <c r="A461"/>
      <c r="B461"/>
      <c r="C461"/>
      <c r="D461"/>
      <c r="E461"/>
      <c r="F461"/>
      <c r="G461"/>
      <c r="H461"/>
      <c r="I461"/>
    </row>
    <row r="462" spans="1:9" ht="15">
      <c r="A462"/>
      <c r="B462"/>
      <c r="C462"/>
      <c r="D462"/>
      <c r="E462"/>
      <c r="F462"/>
      <c r="G462"/>
      <c r="H462"/>
      <c r="I462"/>
    </row>
    <row r="463" spans="1:9" ht="15">
      <c r="A463"/>
      <c r="B463"/>
      <c r="C463"/>
      <c r="D463"/>
      <c r="E463"/>
      <c r="F463"/>
      <c r="G463"/>
      <c r="H463"/>
      <c r="I463"/>
    </row>
    <row r="464" spans="1:9" ht="15">
      <c r="A464"/>
      <c r="B464"/>
      <c r="C464"/>
      <c r="D464"/>
      <c r="E464"/>
      <c r="F464"/>
      <c r="G464"/>
      <c r="H464"/>
      <c r="I464"/>
    </row>
    <row r="465" spans="1:9" ht="15">
      <c r="A465"/>
      <c r="B465"/>
      <c r="C465"/>
      <c r="D465"/>
      <c r="E465"/>
      <c r="F465"/>
      <c r="G465"/>
      <c r="H465"/>
      <c r="I465"/>
    </row>
    <row r="466" spans="1:9" ht="15">
      <c r="A466"/>
      <c r="B466"/>
      <c r="C466"/>
      <c r="D466"/>
      <c r="E466"/>
      <c r="F466"/>
      <c r="G466"/>
      <c r="H466"/>
      <c r="I466"/>
    </row>
    <row r="467" spans="1:9" ht="15">
      <c r="A467"/>
      <c r="B467"/>
      <c r="C467"/>
      <c r="D467"/>
      <c r="E467"/>
      <c r="F467"/>
      <c r="G467"/>
      <c r="H467"/>
      <c r="I467"/>
    </row>
    <row r="468" spans="1:9" ht="15">
      <c r="A468"/>
      <c r="B468"/>
      <c r="C468"/>
      <c r="D468"/>
      <c r="E468"/>
      <c r="F468"/>
      <c r="G468"/>
      <c r="H468"/>
      <c r="I468"/>
    </row>
    <row r="469" spans="1:9" ht="15">
      <c r="A469"/>
      <c r="B469"/>
      <c r="C469"/>
      <c r="D469"/>
      <c r="E469"/>
      <c r="F469"/>
      <c r="G469"/>
      <c r="H469"/>
      <c r="I469"/>
    </row>
    <row r="470" spans="1:9" ht="15">
      <c r="A470"/>
      <c r="B470"/>
      <c r="C470"/>
      <c r="D470"/>
      <c r="E470"/>
      <c r="F470"/>
      <c r="G470"/>
      <c r="H470"/>
      <c r="I470"/>
    </row>
    <row r="471" spans="1:9" ht="15">
      <c r="A471"/>
      <c r="B471"/>
      <c r="C471"/>
      <c r="D471"/>
      <c r="E471"/>
      <c r="F471"/>
      <c r="G471"/>
      <c r="H471"/>
      <c r="I471"/>
    </row>
    <row r="472" spans="1:9" ht="15">
      <c r="A472"/>
      <c r="B472"/>
      <c r="C472"/>
      <c r="D472"/>
      <c r="E472"/>
      <c r="F472"/>
      <c r="G472"/>
      <c r="H472"/>
      <c r="I472"/>
    </row>
    <row r="473" spans="1:9" ht="15">
      <c r="A473"/>
      <c r="B473"/>
      <c r="C473"/>
      <c r="D473"/>
      <c r="E473"/>
      <c r="F473"/>
      <c r="G473"/>
      <c r="H473"/>
      <c r="I473"/>
    </row>
    <row r="474" spans="1:9" ht="15">
      <c r="A474"/>
      <c r="B474"/>
      <c r="C474"/>
      <c r="D474"/>
      <c r="E474"/>
      <c r="F474"/>
      <c r="G474"/>
      <c r="H474"/>
      <c r="I474"/>
    </row>
    <row r="475" spans="1:9" ht="15">
      <c r="A475"/>
      <c r="B475"/>
      <c r="C475"/>
      <c r="D475"/>
      <c r="E475"/>
      <c r="F475"/>
      <c r="G475"/>
      <c r="H475"/>
      <c r="I475"/>
    </row>
    <row r="476" spans="1:9" ht="15">
      <c r="A476"/>
      <c r="B476"/>
      <c r="C476"/>
      <c r="D476"/>
      <c r="E476"/>
      <c r="F476"/>
      <c r="G476"/>
      <c r="H476"/>
      <c r="I476"/>
    </row>
    <row r="477" spans="1:9" ht="15">
      <c r="A477"/>
      <c r="B477"/>
      <c r="C477"/>
      <c r="D477"/>
      <c r="E477"/>
      <c r="F477"/>
      <c r="G477"/>
      <c r="H477"/>
      <c r="I477"/>
    </row>
    <row r="478" spans="1:9" ht="15">
      <c r="A478"/>
      <c r="B478"/>
      <c r="C478"/>
      <c r="D478"/>
      <c r="E478"/>
      <c r="F478"/>
      <c r="G478"/>
      <c r="H478"/>
      <c r="I478"/>
    </row>
    <row r="479" spans="1:9" ht="15">
      <c r="A479"/>
      <c r="B479"/>
      <c r="C479"/>
      <c r="D479"/>
      <c r="E479"/>
      <c r="F479"/>
      <c r="G479"/>
      <c r="H479"/>
      <c r="I479"/>
    </row>
    <row r="480" spans="1:9" ht="15">
      <c r="A480"/>
      <c r="B480"/>
      <c r="C480"/>
      <c r="D480"/>
      <c r="E480"/>
      <c r="F480"/>
      <c r="G480"/>
      <c r="H480"/>
      <c r="I480"/>
    </row>
    <row r="481" spans="1:9" ht="15">
      <c r="A481"/>
      <c r="B481"/>
      <c r="C481"/>
      <c r="D481"/>
      <c r="E481"/>
      <c r="F481"/>
      <c r="G481"/>
      <c r="H481"/>
      <c r="I481"/>
    </row>
    <row r="482" spans="1:9" ht="15">
      <c r="A482"/>
      <c r="B482"/>
      <c r="C482"/>
      <c r="D482"/>
      <c r="E482"/>
      <c r="F482"/>
      <c r="G482"/>
      <c r="H482"/>
      <c r="I482"/>
    </row>
    <row r="483" spans="1:9" ht="15">
      <c r="A483"/>
      <c r="B483"/>
      <c r="C483"/>
      <c r="D483"/>
      <c r="E483"/>
      <c r="F483"/>
      <c r="G483"/>
      <c r="H483"/>
      <c r="I483"/>
    </row>
    <row r="484" spans="1:9" ht="15">
      <c r="A484"/>
      <c r="B484"/>
      <c r="C484"/>
      <c r="D484"/>
      <c r="E484"/>
      <c r="F484"/>
      <c r="G484"/>
      <c r="H484"/>
      <c r="I484"/>
    </row>
    <row r="485" spans="1:9" ht="15">
      <c r="A485"/>
      <c r="B485"/>
      <c r="C485"/>
      <c r="D485"/>
      <c r="E485"/>
      <c r="F485"/>
      <c r="G485"/>
      <c r="H485"/>
      <c r="I485"/>
    </row>
    <row r="486" spans="1:9" ht="15">
      <c r="A486"/>
      <c r="B486"/>
      <c r="C486"/>
      <c r="D486"/>
      <c r="E486"/>
      <c r="F486"/>
      <c r="G486"/>
      <c r="H486"/>
      <c r="I486"/>
    </row>
    <row r="487" spans="1:9" ht="15">
      <c r="A487"/>
      <c r="B487"/>
      <c r="C487"/>
      <c r="D487"/>
      <c r="E487"/>
      <c r="F487"/>
      <c r="G487"/>
      <c r="H487"/>
      <c r="I487"/>
    </row>
    <row r="488" spans="1:9" ht="15">
      <c r="A488"/>
      <c r="B488"/>
      <c r="C488"/>
      <c r="D488"/>
      <c r="E488"/>
      <c r="F488"/>
      <c r="G488"/>
      <c r="H488"/>
      <c r="I488"/>
    </row>
    <row r="489" spans="1:9" ht="15">
      <c r="A489"/>
      <c r="B489"/>
      <c r="C489"/>
      <c r="D489"/>
      <c r="E489"/>
      <c r="F489"/>
      <c r="G489"/>
      <c r="H489"/>
      <c r="I489"/>
    </row>
    <row r="490" spans="1:9" ht="15">
      <c r="A490"/>
      <c r="B490"/>
      <c r="C490"/>
      <c r="D490"/>
      <c r="E490"/>
      <c r="F490"/>
      <c r="G490"/>
      <c r="H490"/>
      <c r="I490"/>
    </row>
    <row r="491" spans="1:9" ht="15">
      <c r="A491"/>
      <c r="B491"/>
      <c r="C491"/>
      <c r="D491"/>
      <c r="E491"/>
      <c r="F491"/>
      <c r="G491"/>
      <c r="H491"/>
      <c r="I491"/>
    </row>
    <row r="492" spans="1:9" ht="15">
      <c r="A492"/>
      <c r="B492"/>
      <c r="C492"/>
      <c r="D492"/>
      <c r="E492"/>
      <c r="F492"/>
      <c r="G492"/>
      <c r="H492"/>
      <c r="I492"/>
    </row>
    <row r="493" spans="1:9" ht="15">
      <c r="A493"/>
      <c r="B493"/>
      <c r="C493"/>
      <c r="D493"/>
      <c r="E493"/>
      <c r="F493"/>
      <c r="G493"/>
      <c r="H493"/>
      <c r="I493"/>
    </row>
    <row r="494" spans="1:9" ht="15">
      <c r="A494"/>
      <c r="B494"/>
      <c r="C494"/>
      <c r="D494"/>
      <c r="E494"/>
      <c r="F494"/>
      <c r="G494"/>
      <c r="H494"/>
      <c r="I494"/>
    </row>
    <row r="495" spans="1:9" ht="15">
      <c r="A495"/>
      <c r="B495"/>
      <c r="C495"/>
      <c r="D495"/>
      <c r="E495"/>
      <c r="F495"/>
      <c r="G495"/>
      <c r="H495"/>
      <c r="I495"/>
    </row>
    <row r="496" spans="1:9" ht="15">
      <c r="A496"/>
      <c r="B496"/>
      <c r="C496"/>
      <c r="D496"/>
      <c r="E496"/>
      <c r="F496"/>
      <c r="G496"/>
      <c r="H496"/>
      <c r="I496"/>
    </row>
    <row r="497" spans="1:9" ht="15">
      <c r="A497"/>
      <c r="B497"/>
      <c r="C497"/>
      <c r="D497"/>
      <c r="E497"/>
      <c r="F497"/>
      <c r="G497"/>
      <c r="H497"/>
      <c r="I497"/>
    </row>
    <row r="498" spans="1:9" ht="15">
      <c r="A498"/>
      <c r="B498"/>
      <c r="C498"/>
      <c r="D498"/>
      <c r="E498"/>
      <c r="F498"/>
      <c r="G498"/>
      <c r="H498"/>
      <c r="I498"/>
    </row>
    <row r="499" spans="1:9" ht="15">
      <c r="A499"/>
      <c r="B499"/>
      <c r="C499"/>
      <c r="D499"/>
      <c r="E499"/>
      <c r="F499"/>
      <c r="G499"/>
      <c r="H499"/>
      <c r="I499"/>
    </row>
    <row r="500" spans="1:9" ht="15">
      <c r="A500"/>
      <c r="B500"/>
      <c r="C500"/>
      <c r="D500"/>
      <c r="E500"/>
      <c r="F500"/>
      <c r="G500"/>
      <c r="H500"/>
      <c r="I500"/>
    </row>
    <row r="501" spans="1:9" ht="15">
      <c r="A501"/>
      <c r="B501"/>
      <c r="C501"/>
      <c r="D501"/>
      <c r="E501"/>
      <c r="F501"/>
      <c r="G501"/>
      <c r="H501"/>
      <c r="I501"/>
    </row>
    <row r="502" spans="1:9" ht="15">
      <c r="A502"/>
      <c r="B502"/>
      <c r="C502"/>
      <c r="D502"/>
      <c r="E502"/>
      <c r="F502"/>
      <c r="G502"/>
      <c r="H502"/>
      <c r="I502"/>
    </row>
    <row r="503" spans="1:9" ht="15">
      <c r="A503"/>
      <c r="B503"/>
      <c r="C503"/>
      <c r="D503"/>
      <c r="E503"/>
      <c r="F503"/>
      <c r="G503"/>
      <c r="H503"/>
      <c r="I503"/>
    </row>
    <row r="504" spans="1:9" ht="15">
      <c r="A504"/>
      <c r="B504"/>
      <c r="C504"/>
      <c r="D504"/>
      <c r="E504"/>
      <c r="F504"/>
      <c r="G504"/>
      <c r="H504"/>
      <c r="I504"/>
    </row>
    <row r="505" spans="1:9" ht="15">
      <c r="A505"/>
      <c r="B505"/>
      <c r="C505"/>
      <c r="D505"/>
      <c r="E505"/>
      <c r="F505"/>
      <c r="G505"/>
      <c r="H505"/>
      <c r="I505"/>
    </row>
    <row r="506" spans="1:9" ht="15">
      <c r="A506"/>
      <c r="B506"/>
      <c r="C506"/>
      <c r="D506"/>
      <c r="E506"/>
      <c r="F506"/>
      <c r="G506"/>
      <c r="H506"/>
      <c r="I506"/>
    </row>
    <row r="507" spans="1:9" ht="15">
      <c r="A507"/>
      <c r="B507"/>
      <c r="C507"/>
      <c r="D507"/>
      <c r="E507"/>
      <c r="F507"/>
      <c r="G507"/>
      <c r="H507"/>
      <c r="I507"/>
    </row>
    <row r="508" spans="1:9" ht="15">
      <c r="A508"/>
      <c r="B508"/>
      <c r="C508"/>
      <c r="D508"/>
      <c r="E508"/>
      <c r="F508"/>
      <c r="G508"/>
      <c r="H508"/>
      <c r="I508"/>
    </row>
    <row r="509" spans="1:9" ht="15">
      <c r="A509"/>
      <c r="B509"/>
      <c r="C509"/>
      <c r="D509"/>
      <c r="E509"/>
      <c r="F509"/>
      <c r="G509"/>
      <c r="H509"/>
      <c r="I509"/>
    </row>
    <row r="510" spans="1:9" ht="15">
      <c r="A510"/>
      <c r="B510"/>
      <c r="C510"/>
      <c r="D510"/>
      <c r="E510"/>
      <c r="F510"/>
      <c r="G510"/>
      <c r="H510"/>
      <c r="I510"/>
    </row>
    <row r="511" spans="1:9" ht="15">
      <c r="A511"/>
      <c r="B511"/>
      <c r="C511"/>
      <c r="D511"/>
      <c r="E511"/>
      <c r="F511"/>
      <c r="G511"/>
      <c r="H511"/>
      <c r="I511"/>
    </row>
    <row r="512" spans="1:9" ht="15">
      <c r="A512"/>
      <c r="B512"/>
      <c r="C512"/>
      <c r="D512"/>
      <c r="E512"/>
      <c r="F512"/>
      <c r="G512"/>
      <c r="H512"/>
      <c r="I512"/>
    </row>
    <row r="513" spans="1:9" ht="15">
      <c r="A513"/>
      <c r="B513"/>
      <c r="C513"/>
      <c r="D513"/>
      <c r="E513"/>
      <c r="F513"/>
      <c r="G513"/>
      <c r="H513"/>
      <c r="I513"/>
    </row>
    <row r="514" spans="1:9" ht="15">
      <c r="A514"/>
      <c r="B514"/>
      <c r="C514"/>
      <c r="D514"/>
      <c r="E514"/>
      <c r="F514"/>
      <c r="G514"/>
      <c r="H514"/>
      <c r="I514"/>
    </row>
    <row r="515" spans="1:9" ht="15">
      <c r="A515"/>
      <c r="B515"/>
      <c r="C515"/>
      <c r="D515"/>
      <c r="E515"/>
      <c r="F515"/>
      <c r="G515"/>
      <c r="H515"/>
      <c r="I515"/>
    </row>
    <row r="516" spans="1:9" ht="15">
      <c r="A516"/>
      <c r="B516"/>
      <c r="C516"/>
      <c r="D516"/>
      <c r="E516"/>
      <c r="F516"/>
      <c r="G516"/>
      <c r="H516"/>
      <c r="I516"/>
    </row>
    <row r="517" spans="1:9" ht="15">
      <c r="A517"/>
      <c r="B517"/>
      <c r="C517"/>
      <c r="D517"/>
      <c r="E517"/>
      <c r="F517"/>
      <c r="G517"/>
      <c r="H517"/>
      <c r="I517"/>
    </row>
    <row r="518" spans="1:9" ht="15">
      <c r="A518"/>
      <c r="B518"/>
      <c r="C518"/>
      <c r="D518"/>
      <c r="E518"/>
      <c r="F518"/>
      <c r="G518"/>
      <c r="H518"/>
      <c r="I518"/>
    </row>
    <row r="519" spans="1:9" ht="15">
      <c r="A519"/>
      <c r="B519"/>
      <c r="C519"/>
      <c r="D519"/>
      <c r="E519"/>
      <c r="F519"/>
      <c r="G519"/>
      <c r="H519"/>
      <c r="I519"/>
    </row>
    <row r="520" spans="1:9" ht="15">
      <c r="A520"/>
      <c r="B520"/>
      <c r="C520"/>
      <c r="D520"/>
      <c r="E520"/>
      <c r="F520"/>
      <c r="G520"/>
      <c r="H520"/>
      <c r="I520"/>
    </row>
    <row r="521" spans="1:9" ht="15">
      <c r="A521"/>
      <c r="B521"/>
      <c r="C521"/>
      <c r="D521"/>
      <c r="E521"/>
      <c r="F521"/>
      <c r="G521"/>
      <c r="H521"/>
      <c r="I521"/>
    </row>
    <row r="522" spans="1:9" ht="15">
      <c r="A522"/>
      <c r="B522"/>
      <c r="C522"/>
      <c r="D522"/>
      <c r="E522"/>
      <c r="F522"/>
      <c r="G522"/>
      <c r="H522"/>
      <c r="I522"/>
    </row>
    <row r="523" spans="1:9" ht="15">
      <c r="A523"/>
      <c r="B523"/>
      <c r="C523"/>
      <c r="D523"/>
      <c r="E523"/>
      <c r="F523"/>
      <c r="G523"/>
      <c r="H523"/>
      <c r="I523"/>
    </row>
    <row r="524" spans="1:9" ht="15">
      <c r="A524"/>
      <c r="B524"/>
      <c r="C524"/>
      <c r="D524"/>
      <c r="E524"/>
      <c r="F524"/>
      <c r="G524"/>
      <c r="H524"/>
      <c r="I524"/>
    </row>
    <row r="525" spans="1:9" ht="15">
      <c r="A525"/>
      <c r="B525"/>
      <c r="C525"/>
      <c r="D525"/>
      <c r="E525"/>
      <c r="F525"/>
      <c r="G525"/>
      <c r="H525"/>
      <c r="I525"/>
    </row>
    <row r="526" spans="1:9" ht="15">
      <c r="A526"/>
      <c r="B526"/>
      <c r="C526"/>
      <c r="D526"/>
      <c r="E526"/>
      <c r="F526"/>
      <c r="G526"/>
      <c r="H526"/>
      <c r="I526"/>
    </row>
    <row r="527" spans="1:9" ht="15">
      <c r="A527"/>
      <c r="B527"/>
      <c r="C527"/>
      <c r="D527"/>
      <c r="E527"/>
      <c r="F527"/>
      <c r="G527"/>
      <c r="H527"/>
      <c r="I527"/>
    </row>
    <row r="528" spans="1:9" ht="15">
      <c r="A528"/>
      <c r="B528"/>
      <c r="C528"/>
      <c r="D528"/>
      <c r="E528"/>
      <c r="F528"/>
      <c r="G528"/>
      <c r="H528"/>
      <c r="I528"/>
    </row>
    <row r="529" spans="1:9" ht="15">
      <c r="A529"/>
      <c r="B529"/>
      <c r="C529"/>
      <c r="D529"/>
      <c r="E529"/>
      <c r="F529"/>
      <c r="G529"/>
      <c r="H529"/>
      <c r="I529"/>
    </row>
    <row r="530" spans="1:9" ht="15">
      <c r="A530"/>
      <c r="B530"/>
      <c r="C530"/>
      <c r="D530"/>
      <c r="E530"/>
      <c r="F530"/>
      <c r="G530"/>
      <c r="H530"/>
      <c r="I530"/>
    </row>
    <row r="531" spans="1:9" ht="15">
      <c r="A531"/>
      <c r="B531"/>
      <c r="C531"/>
      <c r="D531"/>
      <c r="E531"/>
      <c r="F531"/>
      <c r="G531"/>
      <c r="H531"/>
      <c r="I531"/>
    </row>
    <row r="532" spans="1:9" ht="15">
      <c r="A532"/>
      <c r="B532"/>
      <c r="C532"/>
      <c r="D532"/>
      <c r="E532"/>
      <c r="F532"/>
      <c r="G532"/>
      <c r="H532"/>
      <c r="I532"/>
    </row>
    <row r="533" spans="1:9" ht="15">
      <c r="A533"/>
      <c r="B533"/>
      <c r="C533"/>
      <c r="D533"/>
      <c r="E533"/>
      <c r="F533"/>
      <c r="G533"/>
      <c r="H533"/>
      <c r="I533"/>
    </row>
    <row r="534" spans="1:9" ht="15">
      <c r="A534"/>
      <c r="B534"/>
      <c r="C534"/>
      <c r="D534"/>
      <c r="E534"/>
      <c r="F534"/>
      <c r="G534"/>
      <c r="H534"/>
      <c r="I534"/>
    </row>
    <row r="535" spans="1:9" ht="15">
      <c r="A535"/>
      <c r="B535"/>
      <c r="C535"/>
      <c r="D535"/>
      <c r="E535"/>
      <c r="F535"/>
      <c r="G535"/>
      <c r="H535"/>
      <c r="I535"/>
    </row>
    <row r="536" spans="1:9" ht="15">
      <c r="A536"/>
      <c r="B536"/>
      <c r="C536"/>
      <c r="D536"/>
      <c r="E536"/>
      <c r="F536"/>
      <c r="G536"/>
      <c r="H536"/>
      <c r="I536"/>
    </row>
    <row r="537" spans="1:9" ht="15">
      <c r="A537"/>
      <c r="B537"/>
      <c r="C537"/>
      <c r="D537"/>
      <c r="E537"/>
      <c r="F537"/>
      <c r="G537"/>
      <c r="H537"/>
      <c r="I537"/>
    </row>
    <row r="538" spans="1:9" ht="15">
      <c r="A538"/>
      <c r="B538"/>
      <c r="C538"/>
      <c r="D538"/>
      <c r="E538"/>
      <c r="F538"/>
      <c r="G538"/>
      <c r="H538"/>
      <c r="I538"/>
    </row>
    <row r="539" spans="1:9" ht="15">
      <c r="A539"/>
      <c r="B539"/>
      <c r="C539"/>
      <c r="D539"/>
      <c r="E539"/>
      <c r="F539"/>
      <c r="G539"/>
      <c r="H539"/>
      <c r="I539"/>
    </row>
    <row r="540" spans="1:9" ht="15">
      <c r="A540"/>
      <c r="B540"/>
      <c r="C540"/>
      <c r="D540"/>
      <c r="E540"/>
      <c r="F540"/>
      <c r="G540"/>
      <c r="H540"/>
      <c r="I540"/>
    </row>
    <row r="541" spans="1:9" ht="15">
      <c r="A541"/>
      <c r="B541"/>
      <c r="C541"/>
      <c r="D541"/>
      <c r="E541"/>
      <c r="F541"/>
      <c r="G541"/>
      <c r="H541"/>
      <c r="I541"/>
    </row>
    <row r="542" spans="1:9" ht="15">
      <c r="A542"/>
      <c r="B542"/>
      <c r="C542"/>
      <c r="D542"/>
      <c r="E542"/>
      <c r="F542"/>
      <c r="G542"/>
      <c r="H542"/>
      <c r="I542"/>
    </row>
    <row r="543" spans="1:9" ht="15">
      <c r="A543"/>
      <c r="B543"/>
      <c r="C543"/>
      <c r="D543"/>
      <c r="E543"/>
      <c r="F543"/>
      <c r="G543"/>
      <c r="H543"/>
      <c r="I543"/>
    </row>
    <row r="544" spans="1:9" ht="15">
      <c r="A544"/>
      <c r="B544"/>
      <c r="C544"/>
      <c r="D544"/>
      <c r="E544"/>
      <c r="F544"/>
      <c r="G544"/>
      <c r="H544"/>
      <c r="I544"/>
    </row>
    <row r="545" spans="1:9" ht="15">
      <c r="A545"/>
      <c r="B545"/>
      <c r="C545"/>
      <c r="D545"/>
      <c r="E545"/>
      <c r="F545"/>
      <c r="G545"/>
      <c r="H545"/>
      <c r="I545"/>
    </row>
    <row r="546" spans="1:9" ht="15">
      <c r="A546"/>
      <c r="B546"/>
      <c r="C546"/>
      <c r="D546"/>
      <c r="E546"/>
      <c r="F546"/>
      <c r="G546"/>
      <c r="H546"/>
      <c r="I546"/>
    </row>
    <row r="547" spans="1:9" ht="15">
      <c r="A547"/>
      <c r="B547"/>
      <c r="C547"/>
      <c r="D547"/>
      <c r="E547"/>
      <c r="F547"/>
      <c r="G547"/>
      <c r="H547"/>
      <c r="I547"/>
    </row>
    <row r="548" spans="1:9" ht="15">
      <c r="A548"/>
      <c r="B548"/>
      <c r="C548"/>
      <c r="D548"/>
      <c r="E548"/>
      <c r="F548"/>
      <c r="G548"/>
      <c r="H548"/>
      <c r="I548"/>
    </row>
    <row r="549" spans="1:9" ht="15">
      <c r="A549"/>
      <c r="B549"/>
      <c r="C549"/>
      <c r="D549"/>
      <c r="E549"/>
      <c r="F549"/>
      <c r="G549"/>
      <c r="H549"/>
      <c r="I549"/>
    </row>
    <row r="550" spans="1:9" ht="15">
      <c r="A550"/>
      <c r="B550"/>
      <c r="C550"/>
      <c r="D550"/>
      <c r="E550"/>
      <c r="F550"/>
      <c r="G550"/>
      <c r="H550"/>
      <c r="I550"/>
    </row>
    <row r="551" spans="1:9" ht="15">
      <c r="A551"/>
      <c r="B551"/>
      <c r="C551"/>
      <c r="D551"/>
      <c r="E551"/>
      <c r="F551"/>
      <c r="G551"/>
      <c r="H551"/>
      <c r="I551"/>
    </row>
    <row r="552" spans="1:9" ht="15">
      <c r="A552"/>
      <c r="B552"/>
      <c r="C552"/>
      <c r="D552"/>
      <c r="E552"/>
      <c r="F552"/>
      <c r="G552"/>
      <c r="H552"/>
      <c r="I552"/>
    </row>
    <row r="553" spans="1:9" ht="15">
      <c r="A553"/>
      <c r="B553"/>
      <c r="C553"/>
      <c r="D553"/>
      <c r="E553"/>
      <c r="F553"/>
      <c r="G553"/>
      <c r="H553"/>
      <c r="I553"/>
    </row>
    <row r="554" spans="1:9" ht="15">
      <c r="A554"/>
      <c r="B554"/>
      <c r="C554"/>
      <c r="D554"/>
      <c r="E554"/>
      <c r="F554"/>
      <c r="G554"/>
      <c r="H554"/>
      <c r="I554"/>
    </row>
    <row r="555" spans="1:9" ht="15">
      <c r="A555"/>
      <c r="B555"/>
      <c r="C555"/>
      <c r="D555"/>
      <c r="E555"/>
      <c r="F555"/>
      <c r="G555"/>
      <c r="H555"/>
      <c r="I555"/>
    </row>
    <row r="556" spans="1:9" ht="15">
      <c r="A556"/>
      <c r="B556"/>
      <c r="C556"/>
      <c r="D556"/>
      <c r="E556"/>
      <c r="F556"/>
      <c r="G556"/>
      <c r="H556"/>
      <c r="I556"/>
    </row>
    <row r="557" spans="1:9" ht="15">
      <c r="A557"/>
      <c r="B557"/>
      <c r="C557"/>
      <c r="D557"/>
      <c r="E557"/>
      <c r="F557"/>
      <c r="G557"/>
      <c r="H557"/>
      <c r="I557"/>
    </row>
    <row r="558" spans="1:9" ht="15">
      <c r="A558"/>
      <c r="B558"/>
      <c r="C558"/>
      <c r="D558"/>
      <c r="E558"/>
      <c r="F558"/>
      <c r="G558"/>
      <c r="H558"/>
      <c r="I558"/>
    </row>
    <row r="559" spans="1:9" ht="15">
      <c r="A559"/>
      <c r="B559"/>
      <c r="C559"/>
      <c r="D559"/>
      <c r="E559"/>
      <c r="F559"/>
      <c r="G559"/>
      <c r="H559"/>
      <c r="I559"/>
    </row>
    <row r="560" spans="1:9" ht="15">
      <c r="A560"/>
      <c r="B560"/>
      <c r="C560"/>
      <c r="D560"/>
      <c r="E560"/>
      <c r="F560"/>
      <c r="G560"/>
      <c r="H560"/>
      <c r="I560"/>
    </row>
    <row r="561" spans="1:9" ht="15">
      <c r="A561"/>
      <c r="B561"/>
      <c r="C561"/>
      <c r="D561"/>
      <c r="E561"/>
      <c r="F561"/>
      <c r="G561"/>
      <c r="H561"/>
      <c r="I561"/>
    </row>
    <row r="562" spans="1:9" ht="15">
      <c r="A562"/>
      <c r="B562"/>
      <c r="C562"/>
      <c r="D562"/>
      <c r="E562"/>
      <c r="F562"/>
      <c r="G562"/>
      <c r="H562"/>
      <c r="I562"/>
    </row>
    <row r="563" spans="1:9" ht="15">
      <c r="A563"/>
      <c r="B563"/>
      <c r="C563"/>
      <c r="D563"/>
      <c r="E563"/>
      <c r="F563"/>
      <c r="G563"/>
      <c r="H563"/>
      <c r="I563"/>
    </row>
    <row r="564" spans="1:9" ht="15">
      <c r="A564"/>
      <c r="B564"/>
      <c r="C564"/>
      <c r="D564"/>
      <c r="E564"/>
      <c r="F564"/>
      <c r="G564"/>
      <c r="H564"/>
      <c r="I564"/>
    </row>
    <row r="565" spans="1:9" ht="15">
      <c r="A565"/>
      <c r="B565"/>
      <c r="C565"/>
      <c r="D565"/>
      <c r="E565"/>
      <c r="F565"/>
      <c r="G565"/>
      <c r="H565"/>
      <c r="I565"/>
    </row>
    <row r="566" spans="1:9" ht="15">
      <c r="A566"/>
      <c r="B566"/>
      <c r="C566"/>
      <c r="D566"/>
      <c r="E566"/>
      <c r="F566"/>
      <c r="G566"/>
      <c r="H566"/>
      <c r="I566"/>
    </row>
    <row r="567" spans="1:9" ht="15">
      <c r="A567"/>
      <c r="B567"/>
      <c r="C567"/>
      <c r="D567"/>
      <c r="E567"/>
      <c r="F567"/>
      <c r="G567"/>
      <c r="H567"/>
      <c r="I567"/>
    </row>
    <row r="568" spans="1:9" ht="15">
      <c r="A568"/>
      <c r="B568"/>
      <c r="C568"/>
      <c r="D568"/>
      <c r="E568"/>
      <c r="F568"/>
      <c r="G568"/>
      <c r="H568"/>
      <c r="I568"/>
    </row>
    <row r="569" spans="1:9" ht="15">
      <c r="A569"/>
      <c r="B569"/>
      <c r="C569"/>
      <c r="D569"/>
      <c r="E569"/>
      <c r="F569"/>
      <c r="G569"/>
      <c r="H569"/>
      <c r="I569"/>
    </row>
    <row r="570" spans="1:9" ht="15">
      <c r="A570"/>
      <c r="B570"/>
      <c r="C570"/>
      <c r="D570"/>
      <c r="E570"/>
      <c r="F570"/>
      <c r="G570"/>
      <c r="H570"/>
      <c r="I570"/>
    </row>
    <row r="571" spans="1:9" ht="15">
      <c r="A571"/>
      <c r="B571"/>
      <c r="C571"/>
      <c r="D571"/>
      <c r="E571"/>
      <c r="F571"/>
      <c r="G571"/>
      <c r="H571"/>
      <c r="I571"/>
    </row>
    <row r="572" spans="1:9" ht="15">
      <c r="A572"/>
      <c r="B572"/>
      <c r="C572"/>
      <c r="D572"/>
      <c r="E572"/>
      <c r="F572"/>
      <c r="G572"/>
      <c r="H572"/>
      <c r="I572"/>
    </row>
    <row r="573" spans="1:9" ht="15">
      <c r="A573"/>
      <c r="B573"/>
      <c r="C573"/>
      <c r="D573"/>
      <c r="E573"/>
      <c r="F573"/>
      <c r="G573"/>
      <c r="H573"/>
      <c r="I573"/>
    </row>
    <row r="574" spans="1:9" ht="15">
      <c r="A574"/>
      <c r="B574"/>
      <c r="C574"/>
      <c r="D574"/>
      <c r="E574"/>
      <c r="F574"/>
      <c r="G574"/>
      <c r="H574"/>
      <c r="I574"/>
    </row>
    <row r="575" spans="1:9" ht="15">
      <c r="A575"/>
      <c r="B575"/>
      <c r="C575"/>
      <c r="D575"/>
      <c r="E575"/>
      <c r="F575"/>
      <c r="G575"/>
      <c r="H575"/>
      <c r="I575"/>
    </row>
    <row r="576" spans="1:9" ht="15">
      <c r="A576"/>
      <c r="B576"/>
      <c r="C576"/>
      <c r="D576"/>
      <c r="E576"/>
      <c r="F576"/>
      <c r="G576"/>
      <c r="H576"/>
      <c r="I576"/>
    </row>
    <row r="577" spans="1:9" ht="15">
      <c r="A577"/>
      <c r="B577"/>
      <c r="C577"/>
      <c r="D577"/>
      <c r="E577"/>
      <c r="F577"/>
      <c r="G577"/>
      <c r="H577"/>
      <c r="I577"/>
    </row>
    <row r="578" spans="1:9" ht="15">
      <c r="A578"/>
      <c r="B578"/>
      <c r="C578"/>
      <c r="D578"/>
      <c r="E578"/>
      <c r="F578"/>
      <c r="G578"/>
      <c r="H578"/>
      <c r="I578"/>
    </row>
    <row r="579" spans="1:9" ht="15">
      <c r="A579"/>
      <c r="B579"/>
      <c r="C579"/>
      <c r="D579"/>
      <c r="E579"/>
      <c r="F579"/>
      <c r="G579"/>
      <c r="H579"/>
      <c r="I579"/>
    </row>
    <row r="580" spans="1:9" ht="15">
      <c r="A580"/>
      <c r="B580"/>
      <c r="C580"/>
      <c r="D580"/>
      <c r="E580"/>
      <c r="F580"/>
      <c r="G580"/>
      <c r="H580"/>
      <c r="I580"/>
    </row>
    <row r="581" spans="1:9" ht="15">
      <c r="A581"/>
      <c r="B581"/>
      <c r="C581"/>
      <c r="D581"/>
      <c r="E581"/>
      <c r="F581"/>
      <c r="G581"/>
      <c r="H581"/>
      <c r="I581"/>
    </row>
    <row r="582" spans="1:9" ht="15">
      <c r="A582"/>
      <c r="B582"/>
      <c r="C582"/>
      <c r="D582"/>
      <c r="E582"/>
      <c r="F582"/>
      <c r="G582"/>
      <c r="H582"/>
      <c r="I582"/>
    </row>
    <row r="583" spans="1:9" ht="15">
      <c r="A583"/>
      <c r="B583"/>
      <c r="C583"/>
      <c r="D583"/>
      <c r="E583"/>
      <c r="F583"/>
      <c r="G583"/>
      <c r="H583"/>
      <c r="I583"/>
    </row>
    <row r="584" spans="1:9" ht="15">
      <c r="A584"/>
      <c r="B584"/>
      <c r="C584"/>
      <c r="D584"/>
      <c r="E584"/>
      <c r="F584"/>
      <c r="G584"/>
      <c r="H584"/>
      <c r="I584"/>
    </row>
    <row r="585" spans="1:9" ht="15">
      <c r="A585"/>
      <c r="B585"/>
      <c r="C585"/>
      <c r="D585"/>
      <c r="E585"/>
      <c r="F585"/>
      <c r="G585"/>
      <c r="H585"/>
      <c r="I585"/>
    </row>
    <row r="586" spans="1:9" ht="15">
      <c r="A586"/>
      <c r="B586"/>
      <c r="C586"/>
      <c r="D586"/>
      <c r="E586"/>
      <c r="F586"/>
      <c r="G586"/>
      <c r="H586"/>
      <c r="I586"/>
    </row>
    <row r="587" spans="1:9" ht="15">
      <c r="A587"/>
      <c r="B587"/>
      <c r="C587"/>
      <c r="D587"/>
      <c r="E587"/>
      <c r="F587"/>
      <c r="G587"/>
      <c r="H587"/>
      <c r="I587"/>
    </row>
    <row r="588" spans="1:9" ht="15">
      <c r="A588"/>
      <c r="B588"/>
      <c r="C588"/>
      <c r="D588"/>
      <c r="E588"/>
      <c r="F588"/>
      <c r="G588"/>
      <c r="H588"/>
      <c r="I588"/>
    </row>
    <row r="589" spans="1:9" ht="15">
      <c r="A589"/>
      <c r="B589"/>
      <c r="C589"/>
      <c r="D589"/>
      <c r="E589"/>
      <c r="F589"/>
      <c r="G589"/>
      <c r="H589"/>
      <c r="I589"/>
    </row>
    <row r="590" spans="1:9" ht="15">
      <c r="A590"/>
      <c r="B590"/>
      <c r="C590"/>
      <c r="D590"/>
      <c r="E590"/>
      <c r="F590"/>
      <c r="G590"/>
      <c r="H590"/>
      <c r="I590"/>
    </row>
    <row r="591" spans="1:9" ht="15">
      <c r="A591"/>
      <c r="B591"/>
      <c r="C591"/>
      <c r="D591"/>
      <c r="E591"/>
      <c r="F591"/>
      <c r="G591"/>
      <c r="H591"/>
      <c r="I591"/>
    </row>
    <row r="592" spans="1:9" ht="15">
      <c r="A592"/>
      <c r="B592"/>
      <c r="C592"/>
      <c r="D592"/>
      <c r="E592"/>
      <c r="F592"/>
      <c r="G592"/>
      <c r="H592"/>
      <c r="I592"/>
    </row>
    <row r="593" spans="1:9" ht="15">
      <c r="A593"/>
      <c r="B593"/>
      <c r="C593"/>
      <c r="D593"/>
      <c r="E593"/>
      <c r="F593"/>
      <c r="G593"/>
      <c r="H593"/>
      <c r="I593"/>
    </row>
    <row r="594" spans="1:9" ht="15">
      <c r="A594"/>
      <c r="B594"/>
      <c r="C594"/>
      <c r="D594"/>
      <c r="E594"/>
      <c r="F594"/>
      <c r="G594"/>
      <c r="H594"/>
      <c r="I594"/>
    </row>
    <row r="595" spans="1:9" ht="15">
      <c r="A595"/>
      <c r="B595"/>
      <c r="C595"/>
      <c r="D595"/>
      <c r="E595"/>
      <c r="F595"/>
      <c r="G595"/>
      <c r="H595"/>
      <c r="I595"/>
    </row>
    <row r="596" spans="1:9" ht="15">
      <c r="A596"/>
      <c r="B596"/>
      <c r="C596"/>
      <c r="D596"/>
      <c r="E596"/>
      <c r="F596"/>
      <c r="G596"/>
      <c r="H596"/>
      <c r="I596"/>
    </row>
    <row r="597" spans="1:9" ht="15">
      <c r="A597"/>
      <c r="B597"/>
      <c r="C597"/>
      <c r="D597"/>
      <c r="E597"/>
      <c r="F597"/>
      <c r="G597"/>
      <c r="H597"/>
      <c r="I597"/>
    </row>
    <row r="598" spans="1:9" ht="15">
      <c r="A598"/>
      <c r="B598"/>
      <c r="C598"/>
      <c r="D598"/>
      <c r="E598"/>
      <c r="F598"/>
      <c r="G598"/>
      <c r="H598"/>
      <c r="I598"/>
    </row>
    <row r="599" spans="1:9" ht="15">
      <c r="A599"/>
      <c r="B599"/>
      <c r="C599"/>
      <c r="D599"/>
      <c r="E599"/>
      <c r="F599"/>
      <c r="G599"/>
      <c r="H599"/>
      <c r="I599"/>
    </row>
    <row r="600" spans="1:9" ht="15">
      <c r="A600"/>
      <c r="B600"/>
      <c r="C600"/>
      <c r="D600"/>
      <c r="E600"/>
      <c r="F600"/>
      <c r="G600"/>
      <c r="H600"/>
      <c r="I600"/>
    </row>
    <row r="601" spans="1:9" ht="15">
      <c r="A601"/>
      <c r="B601"/>
      <c r="C601"/>
      <c r="D601"/>
      <c r="E601"/>
      <c r="F601"/>
      <c r="G601"/>
      <c r="H601"/>
      <c r="I601"/>
    </row>
    <row r="602" spans="1:9" ht="15">
      <c r="A602"/>
      <c r="B602"/>
      <c r="C602"/>
      <c r="D602"/>
      <c r="E602"/>
      <c r="F602"/>
      <c r="G602"/>
      <c r="H602"/>
      <c r="I602"/>
    </row>
    <row r="603" spans="1:9" ht="15">
      <c r="A603"/>
      <c r="B603"/>
      <c r="C603"/>
      <c r="D603"/>
      <c r="E603"/>
      <c r="F603"/>
      <c r="G603"/>
      <c r="H603"/>
      <c r="I603"/>
    </row>
    <row r="604" spans="1:9" ht="15">
      <c r="A604"/>
      <c r="B604"/>
      <c r="C604"/>
      <c r="D604"/>
      <c r="E604"/>
      <c r="F604"/>
      <c r="G604"/>
      <c r="H604"/>
      <c r="I604"/>
    </row>
    <row r="605" spans="1:9" ht="15">
      <c r="A605"/>
      <c r="B605"/>
      <c r="C605"/>
      <c r="D605"/>
      <c r="E605"/>
      <c r="F605"/>
      <c r="G605"/>
      <c r="H605"/>
      <c r="I605"/>
    </row>
    <row r="606" spans="1:9" ht="15">
      <c r="A606"/>
      <c r="B606"/>
      <c r="C606"/>
      <c r="D606"/>
      <c r="E606"/>
      <c r="F606"/>
      <c r="G606"/>
      <c r="H606"/>
      <c r="I606"/>
    </row>
    <row r="607" spans="1:9" ht="15">
      <c r="A607"/>
      <c r="B607"/>
      <c r="C607"/>
      <c r="D607"/>
      <c r="E607"/>
      <c r="F607"/>
      <c r="G607"/>
      <c r="H607"/>
      <c r="I607"/>
    </row>
    <row r="608" spans="1:9" ht="15">
      <c r="A608"/>
      <c r="B608"/>
      <c r="C608"/>
      <c r="D608"/>
      <c r="E608"/>
      <c r="F608"/>
      <c r="G608"/>
      <c r="H608"/>
      <c r="I608"/>
    </row>
    <row r="609" spans="1:9" ht="15">
      <c r="A609"/>
      <c r="B609"/>
      <c r="C609"/>
      <c r="D609"/>
      <c r="E609"/>
      <c r="F609"/>
      <c r="G609"/>
      <c r="H609"/>
      <c r="I609"/>
    </row>
    <row r="610" spans="1:9" ht="15">
      <c r="A610"/>
      <c r="B610"/>
      <c r="C610"/>
      <c r="D610"/>
      <c r="E610"/>
      <c r="F610"/>
      <c r="G610"/>
      <c r="H610"/>
      <c r="I610"/>
    </row>
    <row r="611" spans="1:9" ht="15">
      <c r="A611"/>
      <c r="B611"/>
      <c r="C611"/>
      <c r="D611"/>
      <c r="E611"/>
      <c r="F611"/>
      <c r="G611"/>
      <c r="H611"/>
      <c r="I611"/>
    </row>
    <row r="612" spans="1:9" ht="15">
      <c r="A612"/>
      <c r="B612"/>
      <c r="C612"/>
      <c r="D612"/>
      <c r="E612"/>
      <c r="F612"/>
      <c r="G612"/>
      <c r="H612"/>
      <c r="I612"/>
    </row>
    <row r="613" spans="1:9" ht="15">
      <c r="A613"/>
      <c r="B613"/>
      <c r="C613"/>
      <c r="D613"/>
      <c r="E613"/>
      <c r="F613"/>
      <c r="G613"/>
      <c r="H613"/>
      <c r="I613"/>
    </row>
    <row r="614" spans="1:9" ht="15">
      <c r="A614"/>
      <c r="B614"/>
      <c r="C614"/>
      <c r="D614"/>
      <c r="E614"/>
      <c r="F614"/>
      <c r="G614"/>
      <c r="H614"/>
      <c r="I614"/>
    </row>
    <row r="615" spans="1:9" ht="15">
      <c r="A615"/>
      <c r="B615"/>
      <c r="C615"/>
      <c r="D615"/>
      <c r="E615"/>
      <c r="F615"/>
      <c r="G615"/>
      <c r="H615"/>
      <c r="I615"/>
    </row>
    <row r="616" spans="1:9" ht="15">
      <c r="A616"/>
      <c r="B616"/>
      <c r="C616"/>
      <c r="D616"/>
      <c r="E616"/>
      <c r="F616"/>
      <c r="G616"/>
      <c r="H616"/>
      <c r="I616"/>
    </row>
    <row r="617" spans="1:9" ht="15">
      <c r="A617"/>
      <c r="B617"/>
      <c r="C617"/>
      <c r="D617"/>
      <c r="E617"/>
      <c r="F617"/>
      <c r="G617"/>
      <c r="H617"/>
      <c r="I617"/>
    </row>
    <row r="618" spans="1:9" ht="15">
      <c r="A618"/>
      <c r="B618"/>
      <c r="C618"/>
      <c r="D618"/>
      <c r="E618"/>
      <c r="F618"/>
      <c r="G618"/>
      <c r="H618"/>
      <c r="I618"/>
    </row>
    <row r="619" spans="1:9" ht="15">
      <c r="A619"/>
      <c r="B619"/>
      <c r="C619"/>
      <c r="D619"/>
      <c r="E619"/>
      <c r="F619"/>
      <c r="G619"/>
      <c r="H619"/>
      <c r="I619"/>
    </row>
    <row r="620" spans="1:9" ht="15">
      <c r="A620"/>
      <c r="B620"/>
      <c r="C620"/>
      <c r="D620"/>
      <c r="E620"/>
      <c r="F620"/>
      <c r="G620"/>
      <c r="H620"/>
      <c r="I620"/>
    </row>
    <row r="621" spans="1:9" ht="15">
      <c r="A621"/>
      <c r="B621"/>
      <c r="C621"/>
      <c r="D621"/>
      <c r="E621"/>
      <c r="F621"/>
      <c r="G621"/>
      <c r="H621"/>
      <c r="I621"/>
    </row>
    <row r="622" spans="1:9" ht="15">
      <c r="A622"/>
      <c r="B622"/>
      <c r="C622"/>
      <c r="D622"/>
      <c r="E622"/>
      <c r="F622"/>
      <c r="G622"/>
      <c r="H622"/>
      <c r="I622"/>
    </row>
    <row r="623" spans="1:9" ht="15">
      <c r="A623"/>
      <c r="B623"/>
      <c r="C623"/>
      <c r="D623"/>
      <c r="E623"/>
      <c r="F623"/>
      <c r="G623"/>
      <c r="H623"/>
      <c r="I623"/>
    </row>
    <row r="624" spans="1:9" ht="15">
      <c r="A624"/>
      <c r="B624"/>
      <c r="C624"/>
      <c r="D624"/>
      <c r="E624"/>
      <c r="F624"/>
      <c r="G624"/>
      <c r="H624"/>
      <c r="I624"/>
    </row>
    <row r="625" spans="1:9" ht="15">
      <c r="A625"/>
      <c r="B625"/>
      <c r="C625"/>
      <c r="D625"/>
      <c r="E625"/>
      <c r="F625"/>
      <c r="G625"/>
      <c r="H625"/>
      <c r="I625"/>
    </row>
    <row r="626" spans="1:9" ht="15">
      <c r="A626"/>
      <c r="B626"/>
      <c r="C626"/>
      <c r="D626"/>
      <c r="E626"/>
      <c r="F626"/>
      <c r="G626"/>
      <c r="H626"/>
      <c r="I626"/>
    </row>
    <row r="627" spans="1:9" ht="15">
      <c r="A627"/>
      <c r="B627"/>
      <c r="C627"/>
      <c r="D627"/>
      <c r="E627"/>
      <c r="F627"/>
      <c r="G627"/>
      <c r="H627"/>
      <c r="I627"/>
    </row>
    <row r="628" spans="1:9" ht="15">
      <c r="A628"/>
      <c r="B628"/>
      <c r="C628"/>
      <c r="D628"/>
      <c r="E628"/>
      <c r="F628"/>
      <c r="G628"/>
      <c r="H628"/>
      <c r="I628"/>
    </row>
    <row r="629" spans="1:9" ht="15">
      <c r="A629"/>
      <c r="B629"/>
      <c r="C629"/>
      <c r="D629"/>
      <c r="E629"/>
      <c r="F629"/>
      <c r="G629"/>
      <c r="H629"/>
      <c r="I629"/>
    </row>
    <row r="630" spans="1:9" ht="15">
      <c r="A630"/>
      <c r="B630"/>
      <c r="C630"/>
      <c r="D630"/>
      <c r="E630"/>
      <c r="F630"/>
      <c r="G630"/>
      <c r="H630"/>
      <c r="I630"/>
    </row>
    <row r="631" spans="1:9" ht="15">
      <c r="A631"/>
      <c r="B631"/>
      <c r="C631"/>
      <c r="D631"/>
      <c r="E631"/>
      <c r="F631"/>
      <c r="G631"/>
      <c r="H631"/>
      <c r="I631"/>
    </row>
    <row r="632" spans="1:9" ht="15">
      <c r="A632"/>
      <c r="B632"/>
      <c r="C632"/>
      <c r="D632"/>
      <c r="E632"/>
      <c r="F632"/>
      <c r="G632"/>
      <c r="H632"/>
      <c r="I632"/>
    </row>
    <row r="633" spans="1:9" ht="15">
      <c r="A633"/>
      <c r="B633"/>
      <c r="C633"/>
      <c r="D633"/>
      <c r="E633"/>
      <c r="F633"/>
      <c r="G633"/>
      <c r="H633"/>
      <c r="I633"/>
    </row>
    <row r="634" spans="1:9" ht="15">
      <c r="A634"/>
      <c r="B634"/>
      <c r="C634"/>
      <c r="D634"/>
      <c r="E634"/>
      <c r="F634"/>
      <c r="G634"/>
      <c r="H634"/>
      <c r="I634"/>
    </row>
    <row r="635" spans="1:9" ht="15">
      <c r="A635"/>
      <c r="B635"/>
      <c r="C635"/>
      <c r="D635"/>
      <c r="E635"/>
      <c r="F635"/>
      <c r="G635"/>
      <c r="H635"/>
      <c r="I635"/>
    </row>
    <row r="636" spans="1:9" ht="15">
      <c r="A636"/>
      <c r="B636"/>
      <c r="C636"/>
      <c r="D636"/>
      <c r="E636"/>
      <c r="F636"/>
      <c r="G636"/>
      <c r="H636"/>
      <c r="I636"/>
    </row>
    <row r="637" spans="1:9" ht="15">
      <c r="A637"/>
      <c r="B637"/>
      <c r="C637"/>
      <c r="D637"/>
      <c r="E637"/>
      <c r="F637"/>
      <c r="G637"/>
      <c r="H637"/>
      <c r="I637"/>
    </row>
    <row r="638" spans="1:9" ht="15">
      <c r="A638"/>
      <c r="B638"/>
      <c r="C638"/>
      <c r="D638"/>
      <c r="E638"/>
      <c r="F638"/>
      <c r="G638"/>
      <c r="H638"/>
      <c r="I638"/>
    </row>
    <row r="639" spans="1:9" ht="15">
      <c r="A639"/>
      <c r="B639"/>
      <c r="C639"/>
      <c r="D639"/>
      <c r="E639"/>
      <c r="F639"/>
      <c r="G639"/>
      <c r="H639"/>
      <c r="I639"/>
    </row>
    <row r="640" spans="1:9" ht="15">
      <c r="A640"/>
      <c r="B640"/>
      <c r="C640"/>
      <c r="D640"/>
      <c r="E640"/>
      <c r="F640"/>
      <c r="G640"/>
      <c r="H640"/>
      <c r="I640"/>
    </row>
    <row r="641" spans="1:9" ht="15">
      <c r="A641"/>
      <c r="B641"/>
      <c r="C641"/>
      <c r="D641"/>
      <c r="E641"/>
      <c r="F641"/>
      <c r="G641"/>
      <c r="H641"/>
      <c r="I641"/>
    </row>
    <row r="642" spans="1:9" ht="15">
      <c r="A642"/>
      <c r="B642"/>
      <c r="C642"/>
      <c r="D642"/>
      <c r="E642"/>
      <c r="F642"/>
      <c r="G642"/>
      <c r="H642"/>
      <c r="I642"/>
    </row>
    <row r="643" spans="1:9" ht="15">
      <c r="A643"/>
      <c r="B643"/>
      <c r="C643"/>
      <c r="D643"/>
      <c r="E643"/>
      <c r="F643"/>
      <c r="G643"/>
      <c r="H643"/>
      <c r="I643"/>
    </row>
    <row r="644" spans="1:9" ht="15">
      <c r="A644"/>
      <c r="B644"/>
      <c r="C644"/>
      <c r="D644"/>
      <c r="E644"/>
      <c r="F644"/>
      <c r="G644"/>
      <c r="H644"/>
      <c r="I644"/>
    </row>
    <row r="645" spans="1:9" ht="15">
      <c r="A645"/>
      <c r="B645"/>
      <c r="C645"/>
      <c r="D645"/>
      <c r="E645"/>
      <c r="F645"/>
      <c r="G645"/>
      <c r="H645"/>
      <c r="I645"/>
    </row>
    <row r="646" spans="1:9" ht="15">
      <c r="A646"/>
      <c r="B646"/>
      <c r="C646"/>
      <c r="D646"/>
      <c r="E646"/>
      <c r="F646"/>
      <c r="G646"/>
      <c r="H646"/>
      <c r="I646"/>
    </row>
    <row r="647" spans="1:9" ht="15">
      <c r="A647"/>
      <c r="B647"/>
      <c r="C647"/>
      <c r="D647"/>
      <c r="E647"/>
      <c r="F647"/>
      <c r="G647"/>
      <c r="H647"/>
      <c r="I647"/>
    </row>
    <row r="648" spans="1:9" ht="15">
      <c r="A648"/>
      <c r="B648"/>
      <c r="C648"/>
      <c r="D648"/>
      <c r="E648"/>
      <c r="F648"/>
      <c r="G648"/>
      <c r="H648"/>
      <c r="I648"/>
    </row>
    <row r="649" spans="1:9" ht="15">
      <c r="A649"/>
      <c r="B649"/>
      <c r="C649"/>
      <c r="D649"/>
      <c r="E649"/>
      <c r="F649"/>
      <c r="G649"/>
      <c r="H649"/>
      <c r="I649"/>
    </row>
    <row r="650" spans="1:9" ht="15">
      <c r="A650"/>
      <c r="B650"/>
      <c r="C650"/>
      <c r="D650"/>
      <c r="E650"/>
      <c r="F650"/>
      <c r="G650"/>
      <c r="H650"/>
      <c r="I650"/>
    </row>
    <row r="651" spans="1:9" ht="15">
      <c r="A651"/>
      <c r="B651"/>
      <c r="C651"/>
      <c r="D651"/>
      <c r="E651"/>
      <c r="F651"/>
      <c r="G651"/>
      <c r="H651"/>
      <c r="I651"/>
    </row>
    <row r="652" spans="1:9" ht="15">
      <c r="A652"/>
      <c r="B652"/>
      <c r="C652"/>
      <c r="D652"/>
      <c r="E652"/>
      <c r="F652"/>
      <c r="G652"/>
      <c r="H652"/>
      <c r="I652"/>
    </row>
    <row r="653" spans="1:9" ht="15">
      <c r="A653"/>
      <c r="B653"/>
      <c r="C653"/>
      <c r="D653"/>
      <c r="E653"/>
      <c r="F653"/>
      <c r="G653"/>
      <c r="H653"/>
      <c r="I653"/>
    </row>
    <row r="654" spans="1:9" ht="15">
      <c r="A654"/>
      <c r="B654"/>
      <c r="C654"/>
      <c r="D654"/>
      <c r="E654"/>
      <c r="F654"/>
      <c r="G654"/>
      <c r="H654"/>
      <c r="I654"/>
    </row>
    <row r="655" spans="1:9" ht="15">
      <c r="A655"/>
      <c r="B655"/>
      <c r="C655"/>
      <c r="D655"/>
      <c r="E655"/>
      <c r="F655"/>
      <c r="G655"/>
      <c r="H655"/>
      <c r="I655"/>
    </row>
    <row r="656" spans="1:9" ht="15">
      <c r="A656"/>
      <c r="B656"/>
      <c r="C656"/>
      <c r="D656"/>
      <c r="E656"/>
      <c r="F656"/>
      <c r="G656"/>
      <c r="H656"/>
      <c r="I656"/>
    </row>
    <row r="657" spans="1:9" ht="15">
      <c r="A657"/>
      <c r="B657"/>
      <c r="C657"/>
      <c r="D657"/>
      <c r="E657"/>
      <c r="F657"/>
      <c r="G657"/>
      <c r="H657"/>
      <c r="I657"/>
    </row>
    <row r="658" spans="1:9" ht="15">
      <c r="A658"/>
      <c r="B658"/>
      <c r="C658"/>
      <c r="D658"/>
      <c r="E658"/>
      <c r="F658"/>
      <c r="G658"/>
      <c r="H658"/>
      <c r="I658"/>
    </row>
    <row r="659" spans="1:9" ht="15">
      <c r="A659"/>
      <c r="B659"/>
      <c r="C659"/>
      <c r="D659"/>
      <c r="E659"/>
      <c r="F659"/>
      <c r="G659"/>
      <c r="H659"/>
      <c r="I659"/>
    </row>
    <row r="660" spans="1:9" ht="15">
      <c r="A660"/>
      <c r="B660"/>
      <c r="C660"/>
      <c r="D660"/>
      <c r="E660"/>
      <c r="F660"/>
      <c r="G660"/>
      <c r="H660"/>
      <c r="I660"/>
    </row>
    <row r="661" spans="1:9" ht="15">
      <c r="A661"/>
      <c r="B661"/>
      <c r="C661"/>
      <c r="D661"/>
      <c r="E661"/>
      <c r="F661"/>
      <c r="G661"/>
      <c r="H661"/>
      <c r="I661"/>
    </row>
    <row r="662" spans="1:9" ht="15">
      <c r="A662"/>
      <c r="B662"/>
      <c r="C662"/>
      <c r="D662"/>
      <c r="E662"/>
      <c r="F662"/>
      <c r="G662"/>
      <c r="H662"/>
      <c r="I662"/>
    </row>
    <row r="663" spans="1:9" ht="15">
      <c r="A663"/>
      <c r="B663"/>
      <c r="C663"/>
      <c r="D663"/>
      <c r="E663"/>
      <c r="F663"/>
      <c r="G663"/>
      <c r="H663"/>
      <c r="I663"/>
    </row>
    <row r="664" spans="1:9" ht="15">
      <c r="A664"/>
      <c r="B664"/>
      <c r="C664"/>
      <c r="D664"/>
      <c r="E664"/>
      <c r="F664"/>
      <c r="G664"/>
      <c r="H664"/>
      <c r="I664"/>
    </row>
    <row r="665" spans="1:9" ht="15">
      <c r="A665"/>
      <c r="B665"/>
      <c r="C665"/>
      <c r="D665"/>
      <c r="E665"/>
      <c r="F665"/>
      <c r="G665"/>
      <c r="H665"/>
      <c r="I665"/>
    </row>
    <row r="666" spans="1:9" ht="15">
      <c r="A666"/>
      <c r="B666"/>
      <c r="C666"/>
      <c r="D666"/>
      <c r="E666"/>
      <c r="F666"/>
      <c r="G666"/>
      <c r="H666"/>
      <c r="I666"/>
    </row>
    <row r="667" spans="1:9" ht="15">
      <c r="A667"/>
      <c r="B667"/>
      <c r="C667"/>
      <c r="D667"/>
      <c r="E667"/>
      <c r="F667"/>
      <c r="G667"/>
      <c r="H667"/>
      <c r="I667"/>
    </row>
    <row r="668" spans="1:9" ht="15">
      <c r="A668"/>
      <c r="B668"/>
      <c r="C668"/>
      <c r="D668"/>
      <c r="E668"/>
      <c r="F668"/>
      <c r="G668"/>
      <c r="H668"/>
      <c r="I668"/>
    </row>
    <row r="669" spans="1:9" ht="15">
      <c r="A669"/>
      <c r="B669"/>
      <c r="C669"/>
      <c r="D669"/>
      <c r="E669"/>
      <c r="F669"/>
      <c r="G669"/>
      <c r="H669"/>
      <c r="I669"/>
    </row>
    <row r="670" spans="1:9" ht="15">
      <c r="A670"/>
      <c r="B670"/>
      <c r="C670"/>
      <c r="D670"/>
      <c r="E670"/>
      <c r="F670"/>
      <c r="G670"/>
      <c r="H670"/>
      <c r="I670"/>
    </row>
    <row r="671" spans="1:9" ht="15">
      <c r="A671"/>
      <c r="B671"/>
      <c r="C671"/>
      <c r="D671"/>
      <c r="E671"/>
      <c r="F671"/>
      <c r="G671"/>
      <c r="H671"/>
      <c r="I671"/>
    </row>
    <row r="672" spans="1:9" ht="15">
      <c r="A672"/>
      <c r="B672"/>
      <c r="C672"/>
      <c r="D672"/>
      <c r="E672"/>
      <c r="F672"/>
      <c r="G672"/>
      <c r="H672"/>
      <c r="I672"/>
    </row>
    <row r="673" spans="1:9" ht="15">
      <c r="A673"/>
      <c r="B673"/>
      <c r="C673"/>
      <c r="D673"/>
      <c r="E673"/>
      <c r="F673"/>
      <c r="G673"/>
      <c r="H673"/>
      <c r="I673"/>
    </row>
    <row r="674" spans="1:9" ht="15">
      <c r="A674"/>
      <c r="B674"/>
      <c r="C674"/>
      <c r="D674"/>
      <c r="E674"/>
      <c r="F674"/>
      <c r="G674"/>
      <c r="H674"/>
      <c r="I674"/>
    </row>
    <row r="675" spans="1:9" ht="15">
      <c r="A675"/>
      <c r="B675"/>
      <c r="C675"/>
      <c r="D675"/>
      <c r="E675"/>
      <c r="F675"/>
      <c r="G675"/>
      <c r="H675"/>
      <c r="I675"/>
    </row>
    <row r="676" spans="1:9" ht="15">
      <c r="A676"/>
      <c r="B676"/>
      <c r="C676"/>
      <c r="D676"/>
      <c r="E676"/>
      <c r="F676"/>
      <c r="G676"/>
      <c r="H676"/>
      <c r="I676"/>
    </row>
    <row r="677" spans="1:9" ht="15">
      <c r="A677"/>
      <c r="B677"/>
      <c r="C677"/>
      <c r="D677"/>
      <c r="E677"/>
      <c r="F677"/>
      <c r="G677"/>
      <c r="H677"/>
      <c r="I677"/>
    </row>
    <row r="678" spans="1:9" ht="15">
      <c r="A678"/>
      <c r="B678"/>
      <c r="C678"/>
      <c r="D678"/>
      <c r="E678"/>
      <c r="F678"/>
      <c r="G678"/>
      <c r="H678"/>
      <c r="I678"/>
    </row>
    <row r="679" spans="1:9" ht="15">
      <c r="A679"/>
      <c r="B679"/>
      <c r="C679"/>
      <c r="D679"/>
      <c r="E679"/>
      <c r="F679"/>
      <c r="G679"/>
      <c r="H679"/>
      <c r="I679"/>
    </row>
    <row r="680" spans="1:9" ht="15">
      <c r="A680"/>
      <c r="B680"/>
      <c r="C680"/>
      <c r="D680"/>
      <c r="E680"/>
      <c r="F680"/>
      <c r="G680"/>
      <c r="H680"/>
      <c r="I680"/>
    </row>
    <row r="681" spans="1:9" ht="15">
      <c r="A681"/>
      <c r="B681"/>
      <c r="C681"/>
      <c r="D681"/>
      <c r="E681"/>
      <c r="F681"/>
      <c r="G681"/>
      <c r="H681"/>
      <c r="I681"/>
    </row>
    <row r="682" spans="1:9" ht="15">
      <c r="A682"/>
      <c r="B682"/>
      <c r="C682"/>
      <c r="D682"/>
      <c r="E682"/>
      <c r="F682"/>
      <c r="G682"/>
      <c r="H682"/>
      <c r="I682"/>
    </row>
    <row r="683" spans="1:9" ht="15">
      <c r="A683"/>
      <c r="B683"/>
      <c r="C683"/>
      <c r="D683"/>
      <c r="E683"/>
      <c r="F683"/>
      <c r="G683"/>
      <c r="H683"/>
      <c r="I683"/>
    </row>
    <row r="684" spans="1:9" ht="15">
      <c r="A684"/>
      <c r="B684"/>
      <c r="C684"/>
      <c r="D684"/>
      <c r="E684"/>
      <c r="F684"/>
      <c r="G684"/>
      <c r="H684"/>
      <c r="I684"/>
    </row>
    <row r="685" spans="1:9" ht="15">
      <c r="A685"/>
      <c r="B685"/>
      <c r="C685"/>
      <c r="D685"/>
      <c r="E685"/>
      <c r="F685"/>
      <c r="G685"/>
      <c r="H685"/>
      <c r="I685"/>
    </row>
    <row r="686" spans="1:9" ht="15">
      <c r="A686"/>
      <c r="B686"/>
      <c r="C686"/>
      <c r="D686"/>
      <c r="E686"/>
      <c r="F686"/>
      <c r="G686"/>
      <c r="H686"/>
      <c r="I686"/>
    </row>
    <row r="687" spans="1:9" ht="15">
      <c r="A687"/>
      <c r="B687"/>
      <c r="C687"/>
      <c r="D687"/>
      <c r="E687"/>
      <c r="F687"/>
      <c r="G687"/>
      <c r="H687"/>
      <c r="I687"/>
    </row>
    <row r="688" spans="1:9" ht="15">
      <c r="A688"/>
      <c r="B688"/>
      <c r="C688"/>
      <c r="D688"/>
      <c r="E688"/>
      <c r="F688"/>
      <c r="G688"/>
      <c r="H688"/>
      <c r="I688"/>
    </row>
    <row r="689" spans="1:9" ht="15">
      <c r="A689"/>
      <c r="B689"/>
      <c r="C689"/>
      <c r="D689"/>
      <c r="E689"/>
      <c r="F689"/>
      <c r="G689"/>
      <c r="H689"/>
      <c r="I689"/>
    </row>
    <row r="690" spans="1:9" ht="15">
      <c r="A690"/>
      <c r="B690"/>
      <c r="C690"/>
      <c r="D690"/>
      <c r="E690"/>
      <c r="F690"/>
      <c r="G690"/>
      <c r="H690"/>
      <c r="I690"/>
    </row>
    <row r="691" spans="1:9" ht="15">
      <c r="A691"/>
      <c r="B691"/>
      <c r="C691"/>
      <c r="D691"/>
      <c r="E691"/>
      <c r="F691"/>
      <c r="G691"/>
      <c r="H691"/>
      <c r="I691"/>
    </row>
    <row r="692" spans="1:9" ht="15">
      <c r="A692"/>
      <c r="B692"/>
      <c r="C692"/>
      <c r="D692"/>
      <c r="E692"/>
      <c r="F692"/>
      <c r="G692"/>
      <c r="H692"/>
      <c r="I692"/>
    </row>
    <row r="693" spans="1:9" ht="15">
      <c r="A693"/>
      <c r="B693"/>
      <c r="C693"/>
      <c r="D693"/>
      <c r="E693"/>
      <c r="F693"/>
      <c r="G693"/>
      <c r="H693"/>
      <c r="I693"/>
    </row>
    <row r="694" spans="1:9" ht="15">
      <c r="A694"/>
      <c r="B694"/>
      <c r="C694"/>
      <c r="D694"/>
      <c r="E694"/>
      <c r="F694"/>
      <c r="G694"/>
      <c r="H694"/>
      <c r="I694"/>
    </row>
    <row r="695" spans="1:9" ht="15">
      <c r="A695"/>
      <c r="B695"/>
      <c r="C695"/>
      <c r="D695"/>
      <c r="E695"/>
      <c r="F695"/>
      <c r="G695"/>
      <c r="H695"/>
      <c r="I695"/>
    </row>
    <row r="696" spans="1:9" ht="15">
      <c r="A696"/>
      <c r="B696"/>
      <c r="C696"/>
      <c r="D696"/>
      <c r="E696"/>
      <c r="F696"/>
      <c r="G696"/>
      <c r="H696"/>
      <c r="I696"/>
    </row>
    <row r="697" spans="1:9" ht="15">
      <c r="A697"/>
      <c r="B697"/>
      <c r="C697"/>
      <c r="D697"/>
      <c r="E697"/>
      <c r="F697"/>
      <c r="G697"/>
      <c r="H697"/>
      <c r="I697"/>
    </row>
    <row r="698" spans="1:9" ht="15">
      <c r="A698"/>
      <c r="B698"/>
      <c r="C698"/>
      <c r="D698"/>
      <c r="E698"/>
      <c r="F698"/>
      <c r="G698"/>
      <c r="H698"/>
      <c r="I698"/>
    </row>
    <row r="699" spans="1:9" ht="15">
      <c r="A699"/>
      <c r="B699"/>
      <c r="C699"/>
      <c r="D699"/>
      <c r="E699"/>
      <c r="F699"/>
      <c r="G699"/>
      <c r="H699"/>
      <c r="I699"/>
    </row>
    <row r="700" spans="1:9" ht="15">
      <c r="A700"/>
      <c r="B700"/>
      <c r="C700"/>
      <c r="D700"/>
      <c r="E700"/>
      <c r="F700"/>
      <c r="G700"/>
      <c r="H700"/>
      <c r="I700"/>
    </row>
    <row r="701" spans="1:9" ht="15">
      <c r="A701"/>
      <c r="B701"/>
      <c r="C701"/>
      <c r="D701"/>
      <c r="E701"/>
      <c r="F701"/>
      <c r="G701"/>
      <c r="H701"/>
      <c r="I701"/>
    </row>
    <row r="702" spans="1:9" ht="15">
      <c r="A702"/>
      <c r="B702"/>
      <c r="C702"/>
      <c r="D702"/>
      <c r="E702"/>
      <c r="F702"/>
      <c r="G702"/>
      <c r="H702"/>
      <c r="I702"/>
    </row>
    <row r="703" spans="1:9" ht="15">
      <c r="A703"/>
      <c r="B703"/>
      <c r="C703"/>
      <c r="D703"/>
      <c r="E703"/>
      <c r="F703"/>
      <c r="G703"/>
      <c r="H703"/>
      <c r="I703"/>
    </row>
    <row r="704" spans="1:9" ht="15">
      <c r="A704"/>
      <c r="B704"/>
      <c r="C704"/>
      <c r="D704"/>
      <c r="E704"/>
      <c r="F704"/>
      <c r="G704"/>
      <c r="H704"/>
      <c r="I704"/>
    </row>
    <row r="705" spans="1:9" ht="15">
      <c r="A705"/>
      <c r="B705"/>
      <c r="C705"/>
      <c r="D705"/>
      <c r="E705"/>
      <c r="F705"/>
      <c r="G705"/>
      <c r="H705"/>
      <c r="I705"/>
    </row>
    <row r="706" spans="1:9" ht="15">
      <c r="A706"/>
      <c r="B706"/>
      <c r="C706"/>
      <c r="D706"/>
      <c r="E706"/>
      <c r="F706"/>
      <c r="G706"/>
      <c r="H706"/>
      <c r="I706"/>
    </row>
    <row r="707" spans="1:9" ht="15">
      <c r="A707"/>
      <c r="B707"/>
      <c r="C707"/>
      <c r="D707"/>
      <c r="E707"/>
      <c r="F707"/>
      <c r="G707"/>
      <c r="H707"/>
      <c r="I707"/>
    </row>
    <row r="708" spans="1:9" ht="15">
      <c r="A708"/>
      <c r="B708"/>
      <c r="C708"/>
      <c r="D708"/>
      <c r="E708"/>
      <c r="F708"/>
      <c r="G708"/>
      <c r="H708"/>
      <c r="I708"/>
    </row>
    <row r="709" spans="1:9" ht="15">
      <c r="A709"/>
      <c r="B709"/>
      <c r="C709"/>
      <c r="D709"/>
      <c r="E709"/>
      <c r="F709"/>
      <c r="G709"/>
      <c r="H709"/>
      <c r="I709"/>
    </row>
    <row r="710" spans="1:9" ht="15">
      <c r="A710"/>
      <c r="B710"/>
      <c r="C710"/>
      <c r="D710"/>
      <c r="E710"/>
      <c r="F710"/>
      <c r="G710"/>
      <c r="H710"/>
      <c r="I710"/>
    </row>
    <row r="711" spans="1:9" ht="15">
      <c r="A711"/>
      <c r="B711"/>
      <c r="C711"/>
      <c r="D711"/>
      <c r="E711"/>
      <c r="F711"/>
      <c r="G711"/>
      <c r="H711"/>
      <c r="I711"/>
    </row>
    <row r="712" spans="1:9" ht="15">
      <c r="A712"/>
      <c r="B712"/>
      <c r="C712"/>
      <c r="D712"/>
      <c r="E712"/>
      <c r="F712"/>
      <c r="G712"/>
      <c r="H712"/>
      <c r="I712"/>
    </row>
    <row r="713" spans="1:9" ht="15">
      <c r="A713"/>
      <c r="B713"/>
      <c r="C713"/>
      <c r="D713"/>
      <c r="E713"/>
      <c r="F713"/>
      <c r="G713"/>
      <c r="H713"/>
      <c r="I713"/>
    </row>
    <row r="714" spans="1:9" ht="15">
      <c r="A714"/>
      <c r="B714"/>
      <c r="C714"/>
      <c r="D714"/>
      <c r="E714"/>
      <c r="F714"/>
      <c r="G714"/>
      <c r="H714"/>
      <c r="I714"/>
    </row>
    <row r="715" spans="1:9" ht="15">
      <c r="A715"/>
      <c r="B715"/>
      <c r="C715"/>
      <c r="D715"/>
      <c r="E715"/>
      <c r="F715"/>
      <c r="G715"/>
      <c r="H715"/>
      <c r="I715"/>
    </row>
    <row r="716" spans="1:9" ht="15">
      <c r="A716"/>
      <c r="B716"/>
      <c r="C716"/>
      <c r="D716"/>
      <c r="E716"/>
      <c r="F716"/>
      <c r="G716"/>
      <c r="H716"/>
      <c r="I716"/>
    </row>
    <row r="717" spans="1:9" ht="15">
      <c r="A717"/>
      <c r="B717"/>
      <c r="C717"/>
      <c r="D717"/>
      <c r="E717"/>
      <c r="F717"/>
      <c r="G717"/>
      <c r="H717"/>
      <c r="I717"/>
    </row>
    <row r="718" spans="1:9" ht="15">
      <c r="A718"/>
      <c r="B718"/>
      <c r="C718"/>
      <c r="D718"/>
      <c r="E718"/>
      <c r="F718"/>
      <c r="G718"/>
      <c r="H718"/>
      <c r="I718"/>
    </row>
    <row r="719" spans="1:9" ht="15">
      <c r="A719"/>
      <c r="B719"/>
      <c r="C719"/>
      <c r="D719"/>
      <c r="E719"/>
      <c r="F719"/>
      <c r="G719"/>
      <c r="H719"/>
      <c r="I719"/>
    </row>
    <row r="720" spans="1:9" ht="15">
      <c r="A720"/>
      <c r="B720"/>
      <c r="C720"/>
      <c r="D720"/>
      <c r="E720"/>
      <c r="F720"/>
      <c r="G720"/>
      <c r="H720"/>
      <c r="I720"/>
    </row>
    <row r="721" spans="1:9" ht="15">
      <c r="A721"/>
      <c r="B721"/>
      <c r="C721"/>
      <c r="D721"/>
      <c r="E721"/>
      <c r="F721"/>
      <c r="G721"/>
      <c r="H721"/>
      <c r="I721"/>
    </row>
    <row r="722" spans="1:9" ht="15">
      <c r="A722"/>
      <c r="B722"/>
      <c r="C722"/>
      <c r="D722"/>
      <c r="E722"/>
      <c r="F722"/>
      <c r="G722"/>
      <c r="H722"/>
      <c r="I722"/>
    </row>
    <row r="723" spans="1:9" ht="15">
      <c r="A723"/>
      <c r="B723"/>
      <c r="C723"/>
      <c r="D723"/>
      <c r="E723"/>
      <c r="F723"/>
      <c r="G723"/>
      <c r="H723"/>
      <c r="I723"/>
    </row>
    <row r="724" spans="1:9" ht="15">
      <c r="A724"/>
      <c r="B724"/>
      <c r="C724"/>
      <c r="D724"/>
      <c r="E724"/>
      <c r="F724"/>
      <c r="G724"/>
      <c r="H724"/>
      <c r="I724"/>
    </row>
    <row r="725" spans="1:9" ht="15">
      <c r="A725"/>
      <c r="B725"/>
      <c r="C725"/>
      <c r="D725"/>
      <c r="E725"/>
      <c r="F725"/>
      <c r="G725"/>
      <c r="H725"/>
      <c r="I725"/>
    </row>
    <row r="726" spans="1:9" ht="15">
      <c r="A726"/>
      <c r="B726"/>
      <c r="C726"/>
      <c r="D726"/>
      <c r="E726"/>
      <c r="F726"/>
      <c r="G726"/>
      <c r="H726"/>
      <c r="I726"/>
    </row>
    <row r="727" spans="1:9" ht="15">
      <c r="A727"/>
      <c r="B727"/>
      <c r="C727"/>
      <c r="D727"/>
      <c r="E727"/>
      <c r="F727"/>
      <c r="G727"/>
      <c r="H727"/>
      <c r="I727"/>
    </row>
    <row r="728" spans="1:9" ht="15">
      <c r="A728"/>
      <c r="B728"/>
      <c r="C728"/>
      <c r="D728"/>
      <c r="E728"/>
      <c r="F728"/>
      <c r="G728"/>
      <c r="H728"/>
      <c r="I728"/>
    </row>
    <row r="729" spans="1:9" ht="15">
      <c r="A729"/>
      <c r="B729"/>
      <c r="C729"/>
      <c r="D729"/>
      <c r="E729"/>
      <c r="F729"/>
      <c r="G729"/>
      <c r="H729"/>
      <c r="I729"/>
    </row>
    <row r="730" spans="1:9" ht="15">
      <c r="A730"/>
      <c r="B730"/>
      <c r="C730"/>
      <c r="D730"/>
      <c r="E730"/>
      <c r="F730"/>
      <c r="G730"/>
      <c r="H730"/>
      <c r="I730"/>
    </row>
    <row r="731" spans="1:9" ht="15">
      <c r="A731"/>
      <c r="B731"/>
      <c r="C731"/>
      <c r="D731"/>
      <c r="E731"/>
      <c r="F731"/>
      <c r="G731"/>
      <c r="H731"/>
      <c r="I731"/>
    </row>
    <row r="732" spans="1:9" ht="15">
      <c r="A732"/>
      <c r="B732"/>
      <c r="C732"/>
      <c r="D732"/>
      <c r="E732"/>
      <c r="F732"/>
      <c r="G732"/>
      <c r="H732"/>
      <c r="I732"/>
    </row>
    <row r="733" spans="1:9" ht="15">
      <c r="A733"/>
      <c r="B733"/>
      <c r="C733"/>
      <c r="D733"/>
      <c r="E733"/>
      <c r="F733"/>
      <c r="G733"/>
      <c r="H733"/>
      <c r="I733"/>
    </row>
    <row r="734" spans="1:9" ht="15">
      <c r="A734"/>
      <c r="B734"/>
      <c r="C734"/>
      <c r="D734"/>
      <c r="E734"/>
      <c r="F734"/>
      <c r="G734"/>
      <c r="H734"/>
      <c r="I734"/>
    </row>
    <row r="735" spans="1:9" ht="15">
      <c r="A735"/>
      <c r="B735"/>
      <c r="C735"/>
      <c r="D735"/>
      <c r="E735"/>
      <c r="F735"/>
      <c r="G735"/>
      <c r="H735"/>
      <c r="I735"/>
    </row>
    <row r="736" spans="1:9" ht="15">
      <c r="A736"/>
      <c r="B736"/>
      <c r="C736"/>
      <c r="D736"/>
      <c r="E736"/>
      <c r="F736"/>
      <c r="G736"/>
      <c r="H736"/>
      <c r="I736"/>
    </row>
    <row r="737" spans="1:9" ht="15">
      <c r="A737"/>
      <c r="B737"/>
      <c r="C737"/>
      <c r="D737"/>
      <c r="E737"/>
      <c r="F737"/>
      <c r="G737"/>
      <c r="H737"/>
      <c r="I737"/>
    </row>
    <row r="738" spans="1:9" ht="15">
      <c r="A738"/>
      <c r="B738"/>
      <c r="C738"/>
      <c r="D738"/>
      <c r="E738"/>
      <c r="F738"/>
      <c r="G738"/>
      <c r="H738"/>
      <c r="I738"/>
    </row>
    <row r="739" spans="1:9" ht="15">
      <c r="A739"/>
      <c r="B739"/>
      <c r="C739"/>
      <c r="D739"/>
      <c r="E739"/>
      <c r="F739"/>
      <c r="G739"/>
      <c r="H739"/>
      <c r="I739"/>
    </row>
    <row r="740" spans="1:9" ht="15">
      <c r="A740"/>
      <c r="B740"/>
      <c r="C740"/>
      <c r="D740"/>
      <c r="E740"/>
      <c r="F740"/>
      <c r="G740"/>
      <c r="H740"/>
      <c r="I740"/>
    </row>
    <row r="741" spans="1:9" ht="15">
      <c r="A741"/>
      <c r="B741"/>
      <c r="C741"/>
      <c r="D741"/>
      <c r="E741"/>
      <c r="F741"/>
      <c r="G741"/>
      <c r="H741"/>
      <c r="I741"/>
    </row>
    <row r="742" spans="1:9" ht="15">
      <c r="A742"/>
      <c r="B742"/>
      <c r="C742"/>
      <c r="D742"/>
      <c r="E742"/>
      <c r="F742"/>
      <c r="G742"/>
      <c r="H742"/>
      <c r="I742"/>
    </row>
    <row r="743" spans="1:9" ht="15">
      <c r="A743"/>
      <c r="B743"/>
      <c r="C743"/>
      <c r="D743"/>
      <c r="E743"/>
      <c r="F743"/>
      <c r="G743"/>
      <c r="H743"/>
      <c r="I743"/>
    </row>
    <row r="744" spans="1:9" ht="15">
      <c r="A744"/>
      <c r="B744"/>
      <c r="C744"/>
      <c r="D744"/>
      <c r="E744"/>
      <c r="F744"/>
      <c r="G744"/>
      <c r="H744"/>
      <c r="I744"/>
    </row>
    <row r="745" spans="1:9" ht="15">
      <c r="A745"/>
      <c r="B745"/>
      <c r="C745"/>
      <c r="D745"/>
      <c r="E745"/>
      <c r="F745"/>
      <c r="G745"/>
      <c r="H745"/>
      <c r="I745"/>
    </row>
    <row r="746" spans="1:9" ht="15">
      <c r="A746"/>
      <c r="B746"/>
      <c r="C746"/>
      <c r="D746"/>
      <c r="E746"/>
      <c r="F746"/>
      <c r="G746"/>
      <c r="H746"/>
      <c r="I746"/>
    </row>
    <row r="747" spans="1:9" ht="15">
      <c r="A747"/>
      <c r="B747"/>
      <c r="C747"/>
      <c r="D747"/>
      <c r="E747"/>
      <c r="F747"/>
      <c r="G747"/>
      <c r="H747"/>
      <c r="I747"/>
    </row>
    <row r="748" spans="1:9" ht="15">
      <c r="A748"/>
      <c r="B748"/>
      <c r="C748"/>
      <c r="D748"/>
      <c r="E748"/>
      <c r="F748"/>
      <c r="G748"/>
      <c r="H748"/>
      <c r="I748"/>
    </row>
    <row r="749" spans="1:9" ht="15">
      <c r="A749"/>
      <c r="B749"/>
      <c r="C749"/>
      <c r="D749"/>
      <c r="E749"/>
      <c r="F749"/>
      <c r="G749"/>
      <c r="H749"/>
      <c r="I749"/>
    </row>
    <row r="750" spans="1:9" ht="15">
      <c r="A750"/>
      <c r="B750"/>
      <c r="C750"/>
      <c r="D750"/>
      <c r="E750"/>
      <c r="F750"/>
      <c r="G750"/>
      <c r="H750"/>
      <c r="I750"/>
    </row>
    <row r="751" spans="1:9" ht="15">
      <c r="A751"/>
      <c r="B751"/>
      <c r="C751"/>
      <c r="D751"/>
      <c r="E751"/>
      <c r="F751"/>
      <c r="G751"/>
      <c r="H751"/>
      <c r="I751"/>
    </row>
    <row r="752" spans="1:9" ht="15">
      <c r="A752"/>
      <c r="B752"/>
      <c r="C752"/>
      <c r="D752"/>
      <c r="E752"/>
      <c r="F752"/>
      <c r="G752"/>
      <c r="H752"/>
      <c r="I752"/>
    </row>
    <row r="753" spans="1:9" ht="15">
      <c r="A753"/>
      <c r="B753"/>
      <c r="C753"/>
      <c r="D753"/>
      <c r="E753"/>
      <c r="F753"/>
      <c r="G753"/>
      <c r="H753"/>
      <c r="I753"/>
    </row>
    <row r="754" spans="1:9" ht="15">
      <c r="A754"/>
      <c r="B754"/>
      <c r="C754"/>
      <c r="D754"/>
      <c r="E754"/>
      <c r="F754"/>
      <c r="G754"/>
      <c r="H754"/>
      <c r="I754"/>
    </row>
    <row r="755" spans="1:9" ht="15">
      <c r="A755"/>
      <c r="B755"/>
      <c r="C755"/>
      <c r="D755"/>
      <c r="E755"/>
      <c r="F755"/>
      <c r="G755"/>
      <c r="H755"/>
      <c r="I755"/>
    </row>
    <row r="756" spans="1:9" ht="15">
      <c r="A756"/>
      <c r="B756"/>
      <c r="C756"/>
      <c r="D756"/>
      <c r="E756"/>
      <c r="F756"/>
      <c r="G756"/>
      <c r="H756"/>
      <c r="I756"/>
    </row>
    <row r="757" spans="1:9" ht="15">
      <c r="A757"/>
      <c r="B757"/>
      <c r="C757"/>
      <c r="D757"/>
      <c r="E757"/>
      <c r="F757"/>
      <c r="G757"/>
      <c r="H757"/>
      <c r="I757"/>
    </row>
    <row r="758" spans="1:9" ht="15">
      <c r="A758"/>
      <c r="B758"/>
      <c r="C758"/>
      <c r="D758"/>
      <c r="E758"/>
      <c r="F758"/>
      <c r="G758"/>
      <c r="H758"/>
      <c r="I758"/>
    </row>
    <row r="759" spans="1:9" ht="15">
      <c r="A759"/>
      <c r="B759"/>
      <c r="C759"/>
      <c r="D759"/>
      <c r="E759"/>
      <c r="F759"/>
      <c r="G759"/>
      <c r="H759"/>
      <c r="I759"/>
    </row>
    <row r="760" spans="1:9" ht="15">
      <c r="A760"/>
      <c r="B760"/>
      <c r="C760"/>
      <c r="D760"/>
      <c r="E760"/>
      <c r="F760"/>
      <c r="G760"/>
      <c r="H760"/>
      <c r="I760"/>
    </row>
    <row r="761" spans="1:9" ht="15">
      <c r="A761"/>
      <c r="B761"/>
      <c r="C761"/>
      <c r="D761"/>
      <c r="E761"/>
      <c r="F761"/>
      <c r="G761"/>
      <c r="H761"/>
      <c r="I761"/>
    </row>
    <row r="762" spans="1:9" ht="15">
      <c r="A762"/>
      <c r="B762"/>
      <c r="C762"/>
      <c r="D762"/>
      <c r="E762"/>
      <c r="F762"/>
      <c r="G762"/>
      <c r="H762"/>
      <c r="I762"/>
    </row>
    <row r="763" spans="1:9" ht="15">
      <c r="A763"/>
      <c r="B763"/>
      <c r="C763"/>
      <c r="D763"/>
      <c r="E763"/>
      <c r="F763"/>
      <c r="G763"/>
      <c r="H763"/>
      <c r="I763"/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AI320"/>
  <sheetViews>
    <sheetView workbookViewId="0">
      <selection activeCell="A10" sqref="A10"/>
    </sheetView>
  </sheetViews>
  <sheetFormatPr defaultColWidth="11.42578125" defaultRowHeight="15"/>
  <cols>
    <col min="1" max="1" width="34.7109375" style="93" customWidth="1"/>
    <col min="2" max="2" width="24.85546875" style="93" customWidth="1"/>
    <col min="3" max="3" width="11.42578125" style="94" customWidth="1"/>
    <col min="4" max="35" width="11.42578125" style="94"/>
    <col min="36" max="16384" width="11.42578125" style="93"/>
  </cols>
  <sheetData>
    <row r="1" spans="1:2" s="94" customFormat="1"/>
    <row r="2" spans="1:2">
      <c r="A2" s="180" t="s">
        <v>360</v>
      </c>
      <c r="B2" s="181" t="s">
        <v>342</v>
      </c>
    </row>
    <row r="4" spans="1:2">
      <c r="A4" s="180" t="s">
        <v>345</v>
      </c>
      <c r="B4" s="181" t="s">
        <v>361</v>
      </c>
    </row>
    <row r="5" spans="1:2">
      <c r="A5" s="182" t="s">
        <v>203</v>
      </c>
      <c r="B5" s="183">
        <v>7</v>
      </c>
    </row>
    <row r="6" spans="1:2">
      <c r="A6" s="182" t="s">
        <v>107</v>
      </c>
      <c r="B6" s="183"/>
    </row>
    <row r="7" spans="1:2">
      <c r="A7" s="186" t="s">
        <v>1484</v>
      </c>
      <c r="B7" s="183">
        <v>19</v>
      </c>
    </row>
    <row r="8" spans="1:2">
      <c r="A8" s="187" t="s">
        <v>1451</v>
      </c>
      <c r="B8" s="183">
        <v>19</v>
      </c>
    </row>
    <row r="9" spans="1:2">
      <c r="A9" s="188" t="s">
        <v>16</v>
      </c>
      <c r="B9" s="183">
        <v>8</v>
      </c>
    </row>
    <row r="10" spans="1:2">
      <c r="A10" s="188" t="s">
        <v>1431</v>
      </c>
      <c r="B10" s="183">
        <v>1</v>
      </c>
    </row>
    <row r="11" spans="1:2">
      <c r="A11" s="188" t="s">
        <v>1449</v>
      </c>
      <c r="B11" s="183">
        <v>6</v>
      </c>
    </row>
    <row r="12" spans="1:2">
      <c r="A12" s="188" t="s">
        <v>1452</v>
      </c>
      <c r="B12" s="183">
        <v>4</v>
      </c>
    </row>
    <row r="13" spans="1:2">
      <c r="A13" s="190" t="s">
        <v>239</v>
      </c>
      <c r="B13" s="183">
        <v>3</v>
      </c>
    </row>
    <row r="14" spans="1:2">
      <c r="A14" s="182" t="s">
        <v>125</v>
      </c>
      <c r="B14" s="183">
        <v>10</v>
      </c>
    </row>
    <row r="15" spans="1:2">
      <c r="A15" s="182" t="s">
        <v>114</v>
      </c>
      <c r="B15" s="183">
        <v>20</v>
      </c>
    </row>
    <row r="16" spans="1:2">
      <c r="A16" s="182" t="s">
        <v>264</v>
      </c>
      <c r="B16" s="183">
        <v>59</v>
      </c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 s="94" customFormat="1">
      <c r="A34"/>
      <c r="B34"/>
    </row>
    <row r="35" spans="1:2" s="94" customFormat="1">
      <c r="A35"/>
      <c r="B35"/>
    </row>
    <row r="36" spans="1:2" s="94" customFormat="1">
      <c r="A36"/>
      <c r="B36"/>
    </row>
    <row r="37" spans="1:2" s="94" customFormat="1">
      <c r="A37"/>
      <c r="B37"/>
    </row>
    <row r="38" spans="1:2" s="94" customFormat="1">
      <c r="A38"/>
      <c r="B38"/>
    </row>
    <row r="39" spans="1:2" s="94" customFormat="1">
      <c r="A39"/>
      <c r="B39"/>
    </row>
    <row r="40" spans="1:2" s="94" customFormat="1">
      <c r="A40"/>
      <c r="B40"/>
    </row>
    <row r="41" spans="1:2" s="94" customFormat="1">
      <c r="A41"/>
      <c r="B41"/>
    </row>
    <row r="42" spans="1:2" s="94" customFormat="1">
      <c r="A42"/>
      <c r="B42"/>
    </row>
    <row r="43" spans="1:2" s="94" customFormat="1">
      <c r="A43"/>
      <c r="B43"/>
    </row>
    <row r="44" spans="1:2" s="94" customFormat="1">
      <c r="A44"/>
      <c r="B44"/>
    </row>
    <row r="45" spans="1:2" s="94" customFormat="1">
      <c r="A45"/>
      <c r="B45"/>
    </row>
    <row r="46" spans="1:2" s="94" customFormat="1">
      <c r="A46"/>
      <c r="B46"/>
    </row>
    <row r="47" spans="1:2" s="94" customFormat="1">
      <c r="A47"/>
      <c r="B47"/>
    </row>
    <row r="48" spans="1:2" s="94" customFormat="1">
      <c r="A48"/>
      <c r="B48"/>
    </row>
    <row r="49" spans="1:2" s="94" customFormat="1">
      <c r="A49"/>
      <c r="B49"/>
    </row>
    <row r="50" spans="1:2" s="94" customFormat="1">
      <c r="A50"/>
      <c r="B50"/>
    </row>
    <row r="51" spans="1:2" s="94" customFormat="1">
      <c r="A51"/>
      <c r="B51"/>
    </row>
    <row r="52" spans="1:2" s="94" customFormat="1">
      <c r="A52"/>
      <c r="B52"/>
    </row>
    <row r="53" spans="1:2" s="94" customFormat="1">
      <c r="A53"/>
      <c r="B53"/>
    </row>
    <row r="54" spans="1:2" s="94" customFormat="1">
      <c r="A54"/>
      <c r="B54"/>
    </row>
    <row r="55" spans="1:2" s="94" customFormat="1">
      <c r="A55"/>
      <c r="B55"/>
    </row>
    <row r="56" spans="1:2" s="94" customFormat="1">
      <c r="A56"/>
      <c r="B56"/>
    </row>
    <row r="57" spans="1:2" s="94" customFormat="1">
      <c r="A57"/>
      <c r="B57"/>
    </row>
    <row r="58" spans="1:2" s="94" customFormat="1">
      <c r="A58"/>
      <c r="B58"/>
    </row>
    <row r="59" spans="1:2" s="94" customFormat="1">
      <c r="A59"/>
      <c r="B59"/>
    </row>
    <row r="60" spans="1:2" s="94" customFormat="1">
      <c r="A60"/>
      <c r="B60"/>
    </row>
    <row r="61" spans="1:2" s="94" customFormat="1">
      <c r="A61"/>
      <c r="B61"/>
    </row>
    <row r="62" spans="1:2" s="94" customFormat="1">
      <c r="A62"/>
      <c r="B62"/>
    </row>
    <row r="63" spans="1:2" s="94" customFormat="1">
      <c r="A63"/>
      <c r="B63"/>
    </row>
    <row r="64" spans="1:2" s="94" customFormat="1">
      <c r="A64"/>
      <c r="B64"/>
    </row>
    <row r="65" spans="1:2" s="94" customFormat="1">
      <c r="A65"/>
      <c r="B65"/>
    </row>
    <row r="66" spans="1:2" s="94" customFormat="1">
      <c r="A66"/>
      <c r="B66"/>
    </row>
    <row r="67" spans="1:2" s="94" customFormat="1">
      <c r="A67"/>
      <c r="B67"/>
    </row>
    <row r="68" spans="1:2" s="94" customFormat="1">
      <c r="A68"/>
      <c r="B68"/>
    </row>
    <row r="69" spans="1:2" s="94" customFormat="1">
      <c r="A69"/>
      <c r="B69"/>
    </row>
    <row r="70" spans="1:2" s="94" customFormat="1">
      <c r="A70"/>
      <c r="B70"/>
    </row>
    <row r="71" spans="1:2" s="94" customFormat="1">
      <c r="A71"/>
      <c r="B71"/>
    </row>
    <row r="72" spans="1:2" s="94" customFormat="1">
      <c r="A72"/>
      <c r="B72"/>
    </row>
    <row r="73" spans="1:2" s="94" customFormat="1">
      <c r="A73"/>
      <c r="B73"/>
    </row>
    <row r="74" spans="1:2" s="94" customFormat="1">
      <c r="A74"/>
      <c r="B74"/>
    </row>
    <row r="75" spans="1:2" s="94" customFormat="1">
      <c r="A75"/>
      <c r="B75"/>
    </row>
    <row r="76" spans="1:2" s="94" customFormat="1"/>
    <row r="77" spans="1:2" s="94" customFormat="1"/>
    <row r="78" spans="1:2" s="94" customFormat="1"/>
    <row r="79" spans="1:2" s="94" customFormat="1"/>
    <row r="80" spans="1:2" s="94" customFormat="1"/>
    <row r="81" s="94" customFormat="1"/>
    <row r="82" s="94" customFormat="1"/>
    <row r="83" s="94" customFormat="1"/>
    <row r="84" s="94" customFormat="1"/>
    <row r="85" s="94" customFormat="1"/>
    <row r="86" s="94" customFormat="1"/>
    <row r="87" s="94" customFormat="1"/>
    <row r="88" s="94" customFormat="1"/>
    <row r="89" s="94" customFormat="1"/>
    <row r="90" s="94" customFormat="1"/>
    <row r="91" s="94" customFormat="1"/>
    <row r="92" s="94" customFormat="1"/>
    <row r="93" s="94" customFormat="1"/>
    <row r="94" s="94" customFormat="1"/>
    <row r="95" s="94" customFormat="1"/>
    <row r="96" s="94" customFormat="1"/>
    <row r="97" s="94" customFormat="1"/>
    <row r="98" s="94" customFormat="1"/>
    <row r="99" s="94" customFormat="1"/>
    <row r="100" s="94" customFormat="1"/>
    <row r="101" s="94" customFormat="1"/>
    <row r="102" s="94" customFormat="1"/>
    <row r="103" s="94" customFormat="1"/>
    <row r="104" s="94" customFormat="1"/>
    <row r="105" s="94" customFormat="1"/>
    <row r="106" s="94" customFormat="1"/>
    <row r="107" s="94" customFormat="1"/>
    <row r="108" s="94" customFormat="1"/>
    <row r="109" s="94" customFormat="1"/>
    <row r="110" s="94" customFormat="1"/>
    <row r="111" s="94" customFormat="1"/>
    <row r="112" s="94" customFormat="1"/>
    <row r="113" s="94" customFormat="1"/>
    <row r="114" s="94" customFormat="1"/>
    <row r="115" s="94" customFormat="1"/>
    <row r="116" s="94" customFormat="1"/>
    <row r="117" s="94" customFormat="1"/>
    <row r="118" s="94" customFormat="1"/>
    <row r="119" s="94" customFormat="1"/>
    <row r="120" s="94" customFormat="1"/>
    <row r="121" s="94" customFormat="1"/>
    <row r="122" s="94" customFormat="1"/>
    <row r="123" s="94" customFormat="1"/>
    <row r="124" s="94" customFormat="1"/>
    <row r="125" s="94" customFormat="1"/>
    <row r="126" s="94" customFormat="1"/>
    <row r="127" s="94" customFormat="1"/>
    <row r="128" s="94" customFormat="1"/>
    <row r="129" s="94" customFormat="1"/>
    <row r="130" s="94" customFormat="1"/>
    <row r="131" s="94" customFormat="1"/>
    <row r="132" s="94" customFormat="1"/>
    <row r="133" s="94" customFormat="1"/>
    <row r="134" s="94" customFormat="1"/>
    <row r="135" s="94" customFormat="1"/>
    <row r="136" s="94" customFormat="1"/>
    <row r="137" s="94" customFormat="1"/>
    <row r="138" s="94" customFormat="1"/>
    <row r="139" s="94" customFormat="1"/>
    <row r="140" s="94" customFormat="1"/>
    <row r="141" s="94" customFormat="1"/>
    <row r="142" s="94" customFormat="1"/>
    <row r="143" s="94" customFormat="1"/>
    <row r="144" s="94" customFormat="1"/>
    <row r="145" s="94" customFormat="1"/>
    <row r="146" s="94" customFormat="1"/>
    <row r="147" s="94" customFormat="1"/>
    <row r="148" s="94" customFormat="1"/>
    <row r="149" s="94" customFormat="1"/>
    <row r="150" s="94" customFormat="1"/>
    <row r="151" s="94" customFormat="1"/>
    <row r="152" s="94" customFormat="1"/>
    <row r="153" s="94" customFormat="1"/>
    <row r="154" s="94" customFormat="1"/>
    <row r="155" s="94" customFormat="1"/>
    <row r="156" s="94" customFormat="1"/>
    <row r="157" s="94" customFormat="1"/>
    <row r="158" s="94" customFormat="1"/>
    <row r="159" s="94" customFormat="1"/>
    <row r="160" s="94" customFormat="1"/>
    <row r="161" s="94" customFormat="1"/>
    <row r="162" s="94" customFormat="1"/>
    <row r="163" s="94" customFormat="1"/>
    <row r="164" s="94" customFormat="1"/>
    <row r="165" s="94" customFormat="1"/>
    <row r="166" s="94" customFormat="1"/>
    <row r="167" s="94" customFormat="1"/>
    <row r="168" s="94" customFormat="1"/>
    <row r="169" s="94" customFormat="1"/>
    <row r="170" s="94" customFormat="1"/>
    <row r="171" s="94" customFormat="1"/>
    <row r="172" s="94" customFormat="1"/>
    <row r="173" s="94" customFormat="1"/>
    <row r="174" s="94" customFormat="1"/>
    <row r="175" s="94" customFormat="1"/>
    <row r="176" s="94" customFormat="1"/>
    <row r="177" s="94" customFormat="1"/>
    <row r="178" s="94" customFormat="1"/>
    <row r="179" s="94" customFormat="1"/>
    <row r="180" s="94" customFormat="1"/>
    <row r="181" s="94" customFormat="1"/>
    <row r="182" s="94" customFormat="1"/>
    <row r="183" s="94" customFormat="1"/>
    <row r="184" s="94" customFormat="1"/>
    <row r="185" s="94" customFormat="1"/>
    <row r="186" s="94" customFormat="1"/>
    <row r="187" s="94" customFormat="1"/>
    <row r="188" s="94" customFormat="1"/>
    <row r="189" s="94" customFormat="1"/>
    <row r="190" s="94" customFormat="1"/>
    <row r="191" s="94" customFormat="1"/>
    <row r="192" s="94" customFormat="1"/>
    <row r="193" s="94" customFormat="1"/>
    <row r="194" s="94" customFormat="1"/>
    <row r="195" s="94" customFormat="1"/>
    <row r="196" s="94" customFormat="1"/>
    <row r="197" s="94" customFormat="1"/>
    <row r="198" s="94" customFormat="1"/>
    <row r="199" s="94" customFormat="1"/>
    <row r="200" s="94" customFormat="1"/>
    <row r="201" s="94" customFormat="1"/>
    <row r="202" s="94" customFormat="1"/>
    <row r="203" s="94" customFormat="1"/>
    <row r="204" s="94" customFormat="1"/>
    <row r="205" s="94" customFormat="1"/>
    <row r="206" s="94" customFormat="1"/>
    <row r="207" s="94" customFormat="1"/>
    <row r="208" s="94" customFormat="1"/>
    <row r="209" s="94" customFormat="1"/>
    <row r="210" s="94" customFormat="1"/>
    <row r="211" s="94" customFormat="1"/>
    <row r="212" s="94" customFormat="1"/>
    <row r="213" s="94" customFormat="1"/>
    <row r="214" s="94" customFormat="1"/>
    <row r="215" s="94" customFormat="1"/>
    <row r="216" s="94" customFormat="1"/>
    <row r="217" s="94" customFormat="1"/>
    <row r="218" s="94" customFormat="1"/>
    <row r="219" s="94" customFormat="1"/>
    <row r="220" s="94" customFormat="1"/>
    <row r="221" s="94" customFormat="1"/>
    <row r="222" s="94" customFormat="1"/>
    <row r="223" s="94" customFormat="1"/>
    <row r="224" s="94" customFormat="1"/>
    <row r="225" s="94" customFormat="1"/>
    <row r="226" s="94" customFormat="1"/>
    <row r="227" s="94" customFormat="1"/>
    <row r="228" s="94" customFormat="1"/>
    <row r="229" s="94" customFormat="1"/>
    <row r="230" s="94" customFormat="1"/>
    <row r="231" s="94" customFormat="1"/>
    <row r="232" s="94" customFormat="1"/>
    <row r="233" s="94" customFormat="1"/>
    <row r="234" s="94" customFormat="1"/>
    <row r="235" s="94" customFormat="1"/>
    <row r="236" s="94" customFormat="1"/>
    <row r="237" s="94" customFormat="1"/>
    <row r="238" s="94" customFormat="1"/>
    <row r="239" s="94" customFormat="1"/>
    <row r="240" s="94" customFormat="1"/>
    <row r="241" s="94" customFormat="1"/>
    <row r="242" s="94" customFormat="1"/>
    <row r="243" s="94" customFormat="1"/>
    <row r="244" s="94" customFormat="1"/>
    <row r="245" s="94" customFormat="1"/>
    <row r="246" s="94" customFormat="1"/>
    <row r="247" s="94" customFormat="1"/>
    <row r="248" s="94" customFormat="1"/>
    <row r="249" s="94" customFormat="1"/>
    <row r="250" s="94" customFormat="1"/>
    <row r="251" s="94" customFormat="1"/>
    <row r="252" s="94" customFormat="1"/>
    <row r="253" s="94" customFormat="1"/>
    <row r="254" s="94" customFormat="1"/>
    <row r="255" s="94" customFormat="1"/>
    <row r="256" s="94" customFormat="1"/>
    <row r="257" s="94" customFormat="1"/>
    <row r="258" s="94" customFormat="1"/>
    <row r="259" s="94" customFormat="1"/>
    <row r="260" s="94" customFormat="1"/>
    <row r="261" s="94" customFormat="1"/>
    <row r="262" s="94" customFormat="1"/>
    <row r="263" s="94" customFormat="1"/>
    <row r="264" s="94" customFormat="1"/>
    <row r="265" s="94" customFormat="1"/>
    <row r="266" s="94" customFormat="1"/>
    <row r="267" s="94" customFormat="1"/>
    <row r="268" s="94" customFormat="1"/>
    <row r="269" s="94" customFormat="1"/>
    <row r="270" s="94" customFormat="1"/>
    <row r="271" s="94" customFormat="1"/>
    <row r="272" s="94" customFormat="1"/>
    <row r="273" s="94" customFormat="1"/>
    <row r="274" s="94" customFormat="1"/>
    <row r="275" s="94" customFormat="1"/>
    <row r="276" s="94" customFormat="1"/>
    <row r="277" s="94" customFormat="1"/>
    <row r="278" s="94" customFormat="1"/>
    <row r="279" s="94" customFormat="1"/>
    <row r="280" s="94" customFormat="1"/>
    <row r="281" s="94" customFormat="1"/>
    <row r="282" s="94" customFormat="1"/>
    <row r="283" s="94" customFormat="1"/>
    <row r="284" s="94" customFormat="1"/>
    <row r="285" s="94" customFormat="1"/>
    <row r="286" s="94" customFormat="1"/>
    <row r="287" s="94" customFormat="1"/>
    <row r="288" s="94" customFormat="1"/>
    <row r="289" s="94" customFormat="1"/>
    <row r="290" s="94" customFormat="1"/>
    <row r="291" s="94" customFormat="1"/>
    <row r="292" s="94" customFormat="1"/>
    <row r="293" s="94" customFormat="1"/>
    <row r="294" s="94" customFormat="1"/>
    <row r="295" s="94" customFormat="1"/>
    <row r="296" s="94" customFormat="1"/>
    <row r="297" s="94" customFormat="1"/>
    <row r="298" s="94" customFormat="1"/>
    <row r="299" s="94" customFormat="1"/>
    <row r="300" s="94" customFormat="1"/>
    <row r="301" s="94" customFormat="1"/>
    <row r="302" s="94" customFormat="1"/>
    <row r="303" s="94" customFormat="1"/>
    <row r="304" s="94" customFormat="1"/>
    <row r="305" s="94" customFormat="1"/>
    <row r="306" s="94" customFormat="1"/>
    <row r="307" s="94" customFormat="1"/>
    <row r="308" s="94" customFormat="1"/>
    <row r="309" s="94" customFormat="1"/>
    <row r="310" s="94" customFormat="1"/>
    <row r="311" s="94" customFormat="1"/>
    <row r="312" s="94" customFormat="1"/>
    <row r="313" s="94" customFormat="1"/>
    <row r="314" s="94" customFormat="1"/>
    <row r="315" s="94" customFormat="1"/>
    <row r="316" s="94" customFormat="1"/>
    <row r="317" s="94" customFormat="1"/>
    <row r="318" s="94" customFormat="1"/>
    <row r="319" s="94" customFormat="1"/>
    <row r="320" s="94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4.9989318521683403E-2"/>
  </sheetPr>
  <dimension ref="B1:K85"/>
  <sheetViews>
    <sheetView topLeftCell="A19" workbookViewId="0">
      <selection activeCell="A67" sqref="A67:XFD67"/>
    </sheetView>
  </sheetViews>
  <sheetFormatPr defaultColWidth="11.42578125" defaultRowHeight="12.75"/>
  <cols>
    <col min="1" max="1" width="4.5703125" style="88" customWidth="1"/>
    <col min="2" max="2" width="26.5703125" style="88" customWidth="1"/>
    <col min="3" max="3" width="5.5703125" style="88" customWidth="1"/>
    <col min="4" max="4" width="11" style="88" customWidth="1"/>
    <col min="5" max="5" width="20.85546875" style="88" customWidth="1"/>
    <col min="6" max="6" width="26" style="88" customWidth="1"/>
    <col min="7" max="7" width="26.85546875" style="106" customWidth="1"/>
    <col min="8" max="8" width="21.85546875" style="88" customWidth="1"/>
    <col min="9" max="9" width="18.85546875" style="88" customWidth="1"/>
    <col min="10" max="10" width="20.28515625" style="88" customWidth="1"/>
    <col min="11" max="11" width="17.85546875" style="88" customWidth="1"/>
    <col min="12" max="16384" width="11.42578125" style="88"/>
  </cols>
  <sheetData>
    <row r="1" spans="2:7">
      <c r="B1" s="184" t="s">
        <v>361</v>
      </c>
      <c r="C1" s="184"/>
      <c r="G1" s="88"/>
    </row>
    <row r="2" spans="2:7">
      <c r="B2" s="184" t="s">
        <v>358</v>
      </c>
      <c r="C2" s="184" t="s">
        <v>495</v>
      </c>
      <c r="G2" s="88"/>
    </row>
    <row r="3" spans="2:7">
      <c r="B3" s="184" t="s">
        <v>264</v>
      </c>
      <c r="C3" s="185"/>
      <c r="G3" s="88"/>
    </row>
    <row r="4" spans="2:7" ht="15">
      <c r="B4"/>
      <c r="C4"/>
      <c r="G4" s="88"/>
    </row>
    <row r="5" spans="2:7" ht="15">
      <c r="B5"/>
      <c r="C5"/>
      <c r="G5" s="88"/>
    </row>
    <row r="6" spans="2:7" ht="15">
      <c r="B6"/>
      <c r="C6"/>
      <c r="G6" s="88"/>
    </row>
    <row r="7" spans="2:7" ht="15">
      <c r="B7"/>
      <c r="C7"/>
      <c r="G7" s="88"/>
    </row>
    <row r="8" spans="2:7" ht="15">
      <c r="B8"/>
      <c r="C8"/>
      <c r="G8" s="88"/>
    </row>
    <row r="9" spans="2:7" ht="15">
      <c r="B9"/>
      <c r="C9"/>
      <c r="G9" s="88"/>
    </row>
    <row r="10" spans="2:7" ht="15">
      <c r="B10"/>
      <c r="C10"/>
      <c r="G10" s="88"/>
    </row>
    <row r="11" spans="2:7" ht="15">
      <c r="B11"/>
      <c r="C11"/>
      <c r="G11" s="88"/>
    </row>
    <row r="12" spans="2:7" ht="15">
      <c r="B12"/>
      <c r="C12"/>
      <c r="G12" s="88"/>
    </row>
    <row r="13" spans="2:7" ht="15">
      <c r="B13"/>
      <c r="C13"/>
      <c r="G13" s="88"/>
    </row>
    <row r="14" spans="2:7" ht="15">
      <c r="B14"/>
      <c r="C14"/>
      <c r="G14" s="88"/>
    </row>
    <row r="15" spans="2:7" ht="15">
      <c r="B15"/>
      <c r="C15"/>
      <c r="G15" s="88"/>
    </row>
    <row r="16" spans="2:7" ht="15">
      <c r="B16"/>
      <c r="C16"/>
      <c r="G16" s="88"/>
    </row>
    <row r="17" spans="2:11" ht="15">
      <c r="B17"/>
      <c r="C17"/>
      <c r="G17" s="88"/>
    </row>
    <row r="18" spans="2:11" ht="15">
      <c r="B18"/>
      <c r="C18"/>
      <c r="G18" s="88"/>
    </row>
    <row r="19" spans="2:11">
      <c r="B19" s="89"/>
      <c r="C19" s="89"/>
      <c r="G19" s="88"/>
    </row>
    <row r="20" spans="2:11" s="96" customFormat="1">
      <c r="B20" s="97"/>
      <c r="C20" s="98"/>
    </row>
    <row r="21" spans="2:11" s="96" customFormat="1">
      <c r="F21" s="99"/>
      <c r="G21" s="100"/>
    </row>
    <row r="22" spans="2:11" s="96" customFormat="1">
      <c r="G22" s="101"/>
    </row>
    <row r="23" spans="2:11" s="96" customFormat="1">
      <c r="B23" s="102" t="s">
        <v>514</v>
      </c>
      <c r="C23" s="102"/>
      <c r="G23" s="101"/>
    </row>
    <row r="24" spans="2:11">
      <c r="B24" s="103" t="s">
        <v>358</v>
      </c>
      <c r="C24" s="104" t="s">
        <v>495</v>
      </c>
      <c r="E24" s="105" t="s">
        <v>512</v>
      </c>
      <c r="F24" s="105" t="s">
        <v>508</v>
      </c>
      <c r="G24" s="105" t="s">
        <v>513</v>
      </c>
      <c r="H24" s="105" t="s">
        <v>509</v>
      </c>
      <c r="I24" s="105" t="s">
        <v>510</v>
      </c>
      <c r="J24" s="105" t="s">
        <v>511</v>
      </c>
      <c r="K24" s="151" t="s">
        <v>1226</v>
      </c>
    </row>
    <row r="25" spans="2:11">
      <c r="C25" s="95"/>
      <c r="E25" s="88">
        <f t="shared" ref="E25" si="0">+B25</f>
        <v>0</v>
      </c>
      <c r="F25" s="106" t="e">
        <f>+VLOOKUP(C49,ESTANDAR!B$3:C$8,2,FALSE)</f>
        <v>#N/A</v>
      </c>
      <c r="G25" s="106" t="e">
        <f>+VLOOKUP(D49,ESTANDAR!$E$3:$F$6,2,FALSE)</f>
        <v>#N/A</v>
      </c>
      <c r="H25" s="106">
        <f t="shared" ref="H25" si="1">+C25</f>
        <v>0</v>
      </c>
      <c r="I25" s="107" t="e">
        <f>+VLOOKUP(F49,ESTANDAR!$H$3:$I$5,2,FALSE)</f>
        <v>#N/A</v>
      </c>
      <c r="J25" s="136"/>
      <c r="K25" s="150">
        <v>8</v>
      </c>
    </row>
    <row r="26" spans="2:11">
      <c r="C26" s="95"/>
      <c r="E26" s="88">
        <f t="shared" ref="E26:E35" si="2">+B26</f>
        <v>0</v>
      </c>
      <c r="F26" s="106" t="e">
        <f>+VLOOKUP(C50,ESTANDAR!B$3:C$8,2,FALSE)</f>
        <v>#N/A</v>
      </c>
      <c r="G26" s="106" t="e">
        <f>+VLOOKUP(D50,ESTANDAR!$E$3:$F$6,2,FALSE)</f>
        <v>#N/A</v>
      </c>
      <c r="H26" s="106">
        <f t="shared" ref="H26:H35" si="3">+C26</f>
        <v>0</v>
      </c>
      <c r="I26" s="107" t="e">
        <f>+VLOOKUP(F50,ESTANDAR!$H$3:$I$5,2,FALSE)</f>
        <v>#N/A</v>
      </c>
      <c r="J26" s="136"/>
      <c r="K26" s="150">
        <v>5</v>
      </c>
    </row>
    <row r="27" spans="2:11">
      <c r="C27" s="95"/>
      <c r="E27" s="88">
        <f t="shared" si="2"/>
        <v>0</v>
      </c>
      <c r="F27" s="106" t="e">
        <f>+VLOOKUP(C51,ESTANDAR!B$3:C$8,2,FALSE)</f>
        <v>#N/A</v>
      </c>
      <c r="G27" s="106" t="e">
        <f>+VLOOKUP(D51,ESTANDAR!$E$3:$F$6,2,FALSE)</f>
        <v>#N/A</v>
      </c>
      <c r="H27" s="106">
        <f t="shared" si="3"/>
        <v>0</v>
      </c>
      <c r="I27" s="107" t="e">
        <f>+VLOOKUP(F51,ESTANDAR!$H$3:$I$5,2,FALSE)</f>
        <v>#N/A</v>
      </c>
      <c r="J27" s="136"/>
      <c r="K27" s="150">
        <v>7</v>
      </c>
    </row>
    <row r="28" spans="2:11">
      <c r="B28" s="134"/>
      <c r="C28" s="135"/>
      <c r="E28" s="88">
        <f t="shared" si="2"/>
        <v>0</v>
      </c>
      <c r="F28" s="106" t="e">
        <f>+VLOOKUP(C52,ESTANDAR!B$3:C$8,2,FALSE)</f>
        <v>#N/A</v>
      </c>
      <c r="G28" s="106" t="e">
        <f>+VLOOKUP(D52,ESTANDAR!$E$3:$F$6,2,FALSE)</f>
        <v>#N/A</v>
      </c>
      <c r="H28" s="106">
        <f t="shared" si="3"/>
        <v>0</v>
      </c>
      <c r="I28" s="107" t="e">
        <f>+VLOOKUP(F52,ESTANDAR!$H$3:$I$5,2,FALSE)</f>
        <v>#N/A</v>
      </c>
      <c r="J28" s="136"/>
      <c r="K28" s="150"/>
    </row>
    <row r="29" spans="2:11">
      <c r="B29" s="134"/>
      <c r="C29" s="135"/>
      <c r="E29" s="88">
        <f t="shared" si="2"/>
        <v>0</v>
      </c>
      <c r="F29" s="106" t="e">
        <f>+VLOOKUP(C53,ESTANDAR!B$3:C$8,2,FALSE)</f>
        <v>#N/A</v>
      </c>
      <c r="G29" s="106" t="e">
        <f>+VLOOKUP(D53,ESTANDAR!$E$3:$F$6,2,FALSE)</f>
        <v>#N/A</v>
      </c>
      <c r="H29" s="106">
        <f t="shared" si="3"/>
        <v>0</v>
      </c>
      <c r="I29" s="107" t="e">
        <f>+VLOOKUP(F53,ESTANDAR!$H$3:$I$5,2,FALSE)</f>
        <v>#N/A</v>
      </c>
      <c r="J29" s="136"/>
      <c r="K29" s="150"/>
    </row>
    <row r="30" spans="2:11">
      <c r="B30" s="134"/>
      <c r="C30" s="135"/>
      <c r="E30" s="88">
        <f t="shared" si="2"/>
        <v>0</v>
      </c>
      <c r="F30" s="106" t="e">
        <f>+VLOOKUP(C54,ESTANDAR!B$3:C$8,2,FALSE)</f>
        <v>#N/A</v>
      </c>
      <c r="G30" s="106" t="e">
        <f>+VLOOKUP(D54,ESTANDAR!$E$3:$F$6,2,FALSE)</f>
        <v>#N/A</v>
      </c>
      <c r="H30" s="106">
        <f t="shared" si="3"/>
        <v>0</v>
      </c>
      <c r="I30" s="107" t="e">
        <f>+VLOOKUP(F54,ESTANDAR!$H$3:$I$5,2,FALSE)</f>
        <v>#N/A</v>
      </c>
      <c r="J30" s="136"/>
      <c r="K30" s="150"/>
    </row>
    <row r="31" spans="2:11">
      <c r="B31" s="134"/>
      <c r="C31" s="135"/>
      <c r="E31" s="88">
        <f t="shared" si="2"/>
        <v>0</v>
      </c>
      <c r="F31" s="106" t="e">
        <f>+VLOOKUP(C55,ESTANDAR!B$3:C$8,2,FALSE)</f>
        <v>#N/A</v>
      </c>
      <c r="G31" s="106" t="e">
        <f>+VLOOKUP(D55,ESTANDAR!$E$3:$F$6,2,FALSE)</f>
        <v>#N/A</v>
      </c>
      <c r="H31" s="106">
        <f t="shared" si="3"/>
        <v>0</v>
      </c>
      <c r="I31" s="107" t="e">
        <f>+VLOOKUP(F55,ESTANDAR!$H$3:$I$5,2,FALSE)</f>
        <v>#N/A</v>
      </c>
      <c r="J31" s="136"/>
      <c r="K31" s="150"/>
    </row>
    <row r="32" spans="2:11">
      <c r="B32" s="134"/>
      <c r="C32" s="135"/>
      <c r="E32" s="88">
        <f t="shared" si="2"/>
        <v>0</v>
      </c>
      <c r="F32" s="106" t="e">
        <f>+VLOOKUP(C56,ESTANDAR!B$3:C$8,2,FALSE)</f>
        <v>#N/A</v>
      </c>
      <c r="G32" s="106" t="e">
        <f>+VLOOKUP(D56,ESTANDAR!$E$3:$F$6,2,FALSE)</f>
        <v>#N/A</v>
      </c>
      <c r="H32" s="106">
        <f t="shared" si="3"/>
        <v>0</v>
      </c>
      <c r="I32" s="107" t="e">
        <f>+VLOOKUP(F56,ESTANDAR!$H$3:$I$5,2,FALSE)</f>
        <v>#N/A</v>
      </c>
      <c r="J32" s="136"/>
      <c r="K32" s="150"/>
    </row>
    <row r="33" spans="2:11">
      <c r="B33" s="134"/>
      <c r="C33" s="135"/>
      <c r="E33" s="88">
        <f t="shared" si="2"/>
        <v>0</v>
      </c>
      <c r="F33" s="106" t="e">
        <f>+VLOOKUP(C57,ESTANDAR!B$3:C$8,2,FALSE)</f>
        <v>#N/A</v>
      </c>
      <c r="G33" s="106" t="e">
        <f>+VLOOKUP(D57,ESTANDAR!$E$3:$F$6,2,FALSE)</f>
        <v>#N/A</v>
      </c>
      <c r="H33" s="106">
        <f t="shared" si="3"/>
        <v>0</v>
      </c>
      <c r="I33" s="107" t="e">
        <f>+VLOOKUP(F57,ESTANDAR!$H$3:$I$5,2,FALSE)</f>
        <v>#N/A</v>
      </c>
      <c r="J33" s="136"/>
      <c r="K33" s="150"/>
    </row>
    <row r="34" spans="2:11">
      <c r="B34" s="134"/>
      <c r="C34" s="135"/>
      <c r="E34" s="88">
        <f t="shared" si="2"/>
        <v>0</v>
      </c>
      <c r="F34" s="106" t="e">
        <f>+VLOOKUP(C58,ESTANDAR!B$3:C$8,2,FALSE)</f>
        <v>#N/A</v>
      </c>
      <c r="G34" s="106" t="e">
        <f>+VLOOKUP(D58,ESTANDAR!$E$3:$F$6,2,FALSE)</f>
        <v>#N/A</v>
      </c>
      <c r="H34" s="106">
        <f t="shared" si="3"/>
        <v>0</v>
      </c>
      <c r="I34" s="107" t="e">
        <f>+VLOOKUP(F58,ESTANDAR!$H$3:$I$5,2,FALSE)</f>
        <v>#N/A</v>
      </c>
      <c r="J34" s="136"/>
      <c r="K34" s="150"/>
    </row>
    <row r="35" spans="2:11">
      <c r="B35" s="134"/>
      <c r="C35" s="135"/>
      <c r="E35" s="88">
        <f t="shared" si="2"/>
        <v>0</v>
      </c>
      <c r="F35" s="106" t="e">
        <f>+VLOOKUP(C59,ESTANDAR!B$3:C$8,2,FALSE)</f>
        <v>#N/A</v>
      </c>
      <c r="G35" s="106" t="e">
        <f>+VLOOKUP(D59,ESTANDAR!$E$3:$F$6,2,FALSE)</f>
        <v>#N/A</v>
      </c>
      <c r="H35" s="106">
        <f t="shared" si="3"/>
        <v>0</v>
      </c>
      <c r="I35" s="107" t="e">
        <f>+VLOOKUP(F59,ESTANDAR!$H$3:$I$5,2,FALSE)</f>
        <v>#N/A</v>
      </c>
      <c r="J35" s="136"/>
      <c r="K35" s="150"/>
    </row>
    <row r="36" spans="2:11">
      <c r="B36" s="134"/>
      <c r="C36" s="135"/>
      <c r="E36" s="88">
        <f t="shared" ref="E36" si="4">+B36</f>
        <v>0</v>
      </c>
      <c r="F36" s="106" t="e">
        <f>+VLOOKUP(C60,ESTANDAR!B$3:C$8,2,FALSE)</f>
        <v>#N/A</v>
      </c>
      <c r="G36" s="106" t="e">
        <f>+VLOOKUP(D60,ESTANDAR!$E$3:$F$6,2,FALSE)</f>
        <v>#N/A</v>
      </c>
      <c r="H36" s="106">
        <f t="shared" ref="H36" si="5">+C36</f>
        <v>0</v>
      </c>
      <c r="I36" s="107" t="e">
        <f>+VLOOKUP(F60,ESTANDAR!$H$3:$I$5,2,FALSE)</f>
        <v>#N/A</v>
      </c>
      <c r="J36" s="136"/>
      <c r="K36" s="150"/>
    </row>
    <row r="37" spans="2:11">
      <c r="C37" s="95"/>
      <c r="E37" s="88">
        <f t="shared" ref="E37:E39" si="6">+B37</f>
        <v>0</v>
      </c>
      <c r="F37" s="106" t="e">
        <f>+VLOOKUP(C61,ESTANDAR!B$3:C$8,2,FALSE)</f>
        <v>#N/A</v>
      </c>
      <c r="G37" s="106" t="e">
        <f>+VLOOKUP(D61,ESTANDAR!$E$3:$F$6,2,FALSE)</f>
        <v>#N/A</v>
      </c>
      <c r="H37" s="106">
        <f t="shared" ref="H37:H39" si="7">+C37</f>
        <v>0</v>
      </c>
      <c r="I37" s="107" t="e">
        <f>+VLOOKUP(F61,ESTANDAR!$H$3:$I$5,2,FALSE)</f>
        <v>#N/A</v>
      </c>
      <c r="J37" s="136"/>
      <c r="K37" s="150"/>
    </row>
    <row r="38" spans="2:11">
      <c r="C38" s="95"/>
      <c r="E38" s="88">
        <f t="shared" si="6"/>
        <v>0</v>
      </c>
      <c r="F38" s="106" t="e">
        <f>+VLOOKUP(C62,ESTANDAR!B$3:C$8,2,FALSE)</f>
        <v>#N/A</v>
      </c>
      <c r="G38" s="106" t="e">
        <f>+VLOOKUP(D62,ESTANDAR!$E$3:$F$6,2,FALSE)</f>
        <v>#N/A</v>
      </c>
      <c r="H38" s="106">
        <f t="shared" si="7"/>
        <v>0</v>
      </c>
      <c r="I38" s="107" t="e">
        <f>+VLOOKUP(F62,ESTANDAR!$H$3:$I$5,2,FALSE)</f>
        <v>#N/A</v>
      </c>
      <c r="J38" s="136"/>
      <c r="K38" s="150"/>
    </row>
    <row r="39" spans="2:11">
      <c r="C39" s="95"/>
      <c r="E39" s="88">
        <f t="shared" si="6"/>
        <v>0</v>
      </c>
      <c r="F39" s="106" t="e">
        <f>+VLOOKUP(C63,ESTANDAR!B$3:C$8,2,FALSE)</f>
        <v>#N/A</v>
      </c>
      <c r="G39" s="106" t="e">
        <f>+VLOOKUP(D63,ESTANDAR!$E$3:$F$6,2,FALSE)</f>
        <v>#N/A</v>
      </c>
      <c r="H39" s="106">
        <f t="shared" si="7"/>
        <v>0</v>
      </c>
      <c r="I39" s="107" t="e">
        <f>+VLOOKUP(F63,ESTANDAR!$H$3:$I$5,2,FALSE)</f>
        <v>#N/A</v>
      </c>
      <c r="J39" s="136"/>
      <c r="K39" s="150"/>
    </row>
    <row r="40" spans="2:11">
      <c r="B40" s="108" t="s">
        <v>519</v>
      </c>
      <c r="C40" s="109">
        <f>SUM(C25:C36)</f>
        <v>0</v>
      </c>
    </row>
    <row r="41" spans="2:11">
      <c r="B41" s="108"/>
      <c r="C41" s="109"/>
    </row>
    <row r="48" spans="2:11">
      <c r="C48" s="88" t="s">
        <v>491</v>
      </c>
      <c r="D48" s="88" t="s">
        <v>492</v>
      </c>
      <c r="E48" s="106" t="s">
        <v>493</v>
      </c>
      <c r="F48" s="88" t="s">
        <v>494</v>
      </c>
      <c r="G48" s="88"/>
      <c r="H48" s="110"/>
      <c r="I48" s="111"/>
    </row>
    <row r="49" spans="3:8">
      <c r="C49" s="88" t="str">
        <f>+MID(B25,10,1)</f>
        <v/>
      </c>
      <c r="D49" s="88" t="str">
        <f>+MID(B25,12,2)</f>
        <v/>
      </c>
      <c r="E49" s="106">
        <f>+C25</f>
        <v>0</v>
      </c>
      <c r="F49" s="112" t="str">
        <f>+MID(B25,15,1)</f>
        <v/>
      </c>
      <c r="G49" s="88"/>
      <c r="H49" s="110"/>
    </row>
    <row r="50" spans="3:8">
      <c r="C50" s="88" t="str">
        <f t="shared" ref="C50:C63" si="8">+MID(B26,10,1)</f>
        <v/>
      </c>
      <c r="D50" s="88" t="str">
        <f t="shared" ref="D50:D64" si="9">+MID(B26,12,2)</f>
        <v/>
      </c>
      <c r="E50" s="106">
        <f t="shared" ref="E50:E66" si="10">+C26</f>
        <v>0</v>
      </c>
      <c r="F50" s="112" t="str">
        <f t="shared" ref="F50:F66" si="11">+MID(B26,15,1)</f>
        <v/>
      </c>
      <c r="G50" s="88"/>
      <c r="H50" s="110"/>
    </row>
    <row r="51" spans="3:8">
      <c r="C51" s="88" t="str">
        <f t="shared" si="8"/>
        <v/>
      </c>
      <c r="D51" s="88" t="str">
        <f t="shared" si="9"/>
        <v/>
      </c>
      <c r="E51" s="106">
        <f t="shared" si="10"/>
        <v>0</v>
      </c>
      <c r="F51" s="112" t="str">
        <f t="shared" si="11"/>
        <v/>
      </c>
      <c r="G51" s="88"/>
    </row>
    <row r="52" spans="3:8">
      <c r="C52" s="88" t="str">
        <f t="shared" si="8"/>
        <v/>
      </c>
      <c r="D52" s="88" t="str">
        <f t="shared" si="9"/>
        <v/>
      </c>
      <c r="E52" s="106">
        <f t="shared" si="10"/>
        <v>0</v>
      </c>
      <c r="F52" s="112" t="str">
        <f t="shared" si="11"/>
        <v/>
      </c>
      <c r="G52" s="88"/>
    </row>
    <row r="53" spans="3:8">
      <c r="C53" s="88" t="str">
        <f t="shared" si="8"/>
        <v/>
      </c>
      <c r="D53" s="88" t="str">
        <f t="shared" si="9"/>
        <v/>
      </c>
      <c r="E53" s="106">
        <f t="shared" si="10"/>
        <v>0</v>
      </c>
      <c r="F53" s="112" t="str">
        <f t="shared" si="11"/>
        <v/>
      </c>
      <c r="G53" s="88"/>
    </row>
    <row r="54" spans="3:8">
      <c r="C54" s="88" t="str">
        <f t="shared" si="8"/>
        <v/>
      </c>
      <c r="D54" s="88" t="str">
        <f t="shared" si="9"/>
        <v/>
      </c>
      <c r="E54" s="106">
        <f t="shared" si="10"/>
        <v>0</v>
      </c>
      <c r="F54" s="112" t="str">
        <f t="shared" si="11"/>
        <v/>
      </c>
      <c r="G54" s="88"/>
    </row>
    <row r="55" spans="3:8">
      <c r="C55" s="88" t="str">
        <f t="shared" si="8"/>
        <v/>
      </c>
      <c r="D55" s="88" t="str">
        <f t="shared" si="9"/>
        <v/>
      </c>
      <c r="E55" s="106">
        <f t="shared" si="10"/>
        <v>0</v>
      </c>
      <c r="F55" s="112" t="str">
        <f t="shared" si="11"/>
        <v/>
      </c>
      <c r="G55" s="88"/>
    </row>
    <row r="56" spans="3:8">
      <c r="C56" s="88" t="str">
        <f t="shared" si="8"/>
        <v/>
      </c>
      <c r="D56" s="88" t="str">
        <f t="shared" si="9"/>
        <v/>
      </c>
      <c r="E56" s="106">
        <f t="shared" si="10"/>
        <v>0</v>
      </c>
      <c r="F56" s="112" t="str">
        <f t="shared" si="11"/>
        <v/>
      </c>
      <c r="G56" s="88"/>
    </row>
    <row r="57" spans="3:8">
      <c r="C57" s="88" t="str">
        <f t="shared" si="8"/>
        <v/>
      </c>
      <c r="D57" s="88" t="str">
        <f t="shared" si="9"/>
        <v/>
      </c>
      <c r="E57" s="106">
        <f t="shared" si="10"/>
        <v>0</v>
      </c>
      <c r="F57" s="112" t="str">
        <f t="shared" si="11"/>
        <v/>
      </c>
      <c r="G57" s="88"/>
    </row>
    <row r="58" spans="3:8">
      <c r="C58" s="88" t="str">
        <f t="shared" si="8"/>
        <v/>
      </c>
      <c r="D58" s="88" t="str">
        <f t="shared" si="9"/>
        <v/>
      </c>
      <c r="E58" s="106">
        <f t="shared" si="10"/>
        <v>0</v>
      </c>
      <c r="F58" s="112" t="str">
        <f t="shared" si="11"/>
        <v/>
      </c>
      <c r="G58" s="88"/>
    </row>
    <row r="59" spans="3:8">
      <c r="C59" s="88" t="str">
        <f t="shared" si="8"/>
        <v/>
      </c>
      <c r="D59" s="88" t="str">
        <f t="shared" si="9"/>
        <v/>
      </c>
      <c r="E59" s="106">
        <f t="shared" si="10"/>
        <v>0</v>
      </c>
      <c r="F59" s="112" t="str">
        <f t="shared" si="11"/>
        <v/>
      </c>
      <c r="G59" s="88"/>
    </row>
    <row r="60" spans="3:8">
      <c r="C60" s="88" t="str">
        <f t="shared" si="8"/>
        <v/>
      </c>
      <c r="D60" s="88" t="str">
        <f t="shared" si="9"/>
        <v/>
      </c>
      <c r="E60" s="106">
        <f t="shared" si="10"/>
        <v>0</v>
      </c>
      <c r="F60" s="112" t="str">
        <f t="shared" si="11"/>
        <v/>
      </c>
      <c r="G60" s="88"/>
    </row>
    <row r="61" spans="3:8">
      <c r="C61" s="88" t="str">
        <f t="shared" si="8"/>
        <v/>
      </c>
      <c r="D61" s="88" t="str">
        <f t="shared" si="9"/>
        <v/>
      </c>
      <c r="E61" s="106">
        <f t="shared" si="10"/>
        <v>0</v>
      </c>
      <c r="F61" s="112" t="str">
        <f t="shared" si="11"/>
        <v/>
      </c>
      <c r="G61" s="88"/>
    </row>
    <row r="62" spans="3:8">
      <c r="C62" s="88" t="str">
        <f t="shared" si="8"/>
        <v/>
      </c>
      <c r="D62" s="88" t="str">
        <f t="shared" si="9"/>
        <v/>
      </c>
      <c r="E62" s="106">
        <f t="shared" si="10"/>
        <v>0</v>
      </c>
      <c r="F62" s="112" t="str">
        <f t="shared" si="11"/>
        <v/>
      </c>
      <c r="G62" s="88"/>
    </row>
    <row r="63" spans="3:8">
      <c r="C63" s="88" t="str">
        <f t="shared" si="8"/>
        <v/>
      </c>
      <c r="D63" s="88" t="str">
        <f t="shared" si="9"/>
        <v/>
      </c>
      <c r="E63" s="106">
        <f t="shared" si="10"/>
        <v>0</v>
      </c>
      <c r="F63" s="112" t="str">
        <f t="shared" si="11"/>
        <v/>
      </c>
      <c r="G63" s="88"/>
    </row>
    <row r="64" spans="3:8">
      <c r="C64" s="88" t="str">
        <f t="shared" ref="C64:C66" si="12">+MID(B40,9,1)</f>
        <v>a</v>
      </c>
      <c r="D64" s="88" t="str">
        <f t="shared" si="9"/>
        <v/>
      </c>
      <c r="E64" s="106">
        <f t="shared" si="10"/>
        <v>0</v>
      </c>
      <c r="F64" s="112" t="str">
        <f t="shared" si="11"/>
        <v/>
      </c>
      <c r="G64" s="88"/>
    </row>
    <row r="65" spans="3:7">
      <c r="C65" s="88" t="str">
        <f t="shared" si="12"/>
        <v/>
      </c>
      <c r="D65" s="88" t="str">
        <f t="shared" ref="D65:D66" si="13">+MID(B41,11,2)</f>
        <v/>
      </c>
      <c r="E65" s="106">
        <f t="shared" si="10"/>
        <v>0</v>
      </c>
      <c r="F65" s="112" t="str">
        <f t="shared" si="11"/>
        <v/>
      </c>
    </row>
    <row r="66" spans="3:7">
      <c r="C66" s="88" t="str">
        <f t="shared" si="12"/>
        <v/>
      </c>
      <c r="D66" s="88" t="str">
        <f t="shared" si="13"/>
        <v/>
      </c>
      <c r="E66" s="106">
        <f t="shared" si="10"/>
        <v>0</v>
      </c>
      <c r="F66" s="112" t="str">
        <f t="shared" si="11"/>
        <v/>
      </c>
    </row>
    <row r="67" spans="3:7">
      <c r="E67" s="106"/>
      <c r="F67" s="112"/>
    </row>
    <row r="68" spans="3:7">
      <c r="E68" s="106"/>
      <c r="F68" s="112"/>
    </row>
    <row r="69" spans="3:7">
      <c r="E69" s="106"/>
      <c r="F69" s="112"/>
    </row>
    <row r="70" spans="3:7">
      <c r="G70" s="88"/>
    </row>
    <row r="71" spans="3:7">
      <c r="G71" s="88"/>
    </row>
    <row r="72" spans="3:7">
      <c r="G72" s="88"/>
    </row>
    <row r="73" spans="3:7">
      <c r="G73" s="88"/>
    </row>
    <row r="74" spans="3:7">
      <c r="G74" s="88"/>
    </row>
    <row r="75" spans="3:7">
      <c r="G75" s="88"/>
    </row>
    <row r="76" spans="3:7">
      <c r="G76" s="88"/>
    </row>
    <row r="77" spans="3:7">
      <c r="G77" s="88"/>
    </row>
    <row r="78" spans="3:7">
      <c r="G78" s="88"/>
    </row>
    <row r="79" spans="3:7">
      <c r="G79" s="88"/>
    </row>
    <row r="80" spans="3:7">
      <c r="G80" s="88"/>
    </row>
    <row r="81" spans="7:7">
      <c r="G81" s="88"/>
    </row>
    <row r="82" spans="7:7">
      <c r="G82" s="88"/>
    </row>
    <row r="83" spans="7:7">
      <c r="G83" s="88"/>
    </row>
    <row r="84" spans="7:7">
      <c r="G84" s="88"/>
    </row>
    <row r="85" spans="7:7">
      <c r="G85" s="88"/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43"/>
  <sheetViews>
    <sheetView workbookViewId="0">
      <pane ySplit="1" topLeftCell="A35" activePane="bottomLeft" state="frozen"/>
      <selection pane="bottomLeft" activeCell="I64" sqref="I64"/>
    </sheetView>
  </sheetViews>
  <sheetFormatPr defaultColWidth="11.42578125" defaultRowHeight="15"/>
  <cols>
    <col min="1" max="1" width="27.28515625" style="128" customWidth="1"/>
    <col min="2" max="2" width="26.140625" style="128" customWidth="1"/>
    <col min="3" max="3" width="8.140625" style="128" customWidth="1"/>
    <col min="4" max="4" width="8" style="128" customWidth="1"/>
    <col min="5" max="5" width="33.28515625" style="128" customWidth="1"/>
    <col min="6" max="6" width="31.5703125" style="128" customWidth="1"/>
    <col min="7" max="7" width="25.7109375" style="128" customWidth="1"/>
    <col min="8" max="8" width="12" style="128" customWidth="1"/>
    <col min="9" max="9" width="255.7109375" style="128" customWidth="1"/>
    <col min="10" max="10" width="33.85546875" style="128" bestFit="1" customWidth="1"/>
    <col min="11" max="11" width="18.42578125" style="128" bestFit="1" customWidth="1"/>
    <col min="12" max="12" width="26.5703125" style="128" customWidth="1"/>
    <col min="13" max="13" width="17.140625" style="128" customWidth="1"/>
    <col min="14" max="14" width="17.7109375" style="128" customWidth="1"/>
    <col min="15" max="15" width="12.28515625" style="147" customWidth="1"/>
    <col min="16" max="16" width="44" style="128" customWidth="1"/>
    <col min="17" max="17" width="17" style="128" customWidth="1"/>
    <col min="18" max="18" width="22" style="128" customWidth="1"/>
    <col min="19" max="19" width="13.85546875" style="128" bestFit="1" customWidth="1"/>
    <col min="20" max="16384" width="11.42578125" style="128"/>
  </cols>
  <sheetData>
    <row r="1" spans="1:20" s="19" customFormat="1">
      <c r="A1" s="19" t="s">
        <v>527</v>
      </c>
      <c r="B1" s="19" t="s">
        <v>528</v>
      </c>
      <c r="C1" s="19" t="s">
        <v>291</v>
      </c>
      <c r="D1" s="19" t="s">
        <v>529</v>
      </c>
      <c r="E1" s="19" t="s">
        <v>530</v>
      </c>
      <c r="F1" s="19" t="s">
        <v>531</v>
      </c>
      <c r="G1" s="19" t="s">
        <v>532</v>
      </c>
      <c r="H1" s="19" t="s">
        <v>533</v>
      </c>
      <c r="I1" s="19" t="s">
        <v>534</v>
      </c>
      <c r="J1" s="19" t="s">
        <v>535</v>
      </c>
      <c r="K1" s="19" t="s">
        <v>536</v>
      </c>
      <c r="L1" s="19" t="s">
        <v>537</v>
      </c>
      <c r="M1" s="19" t="s">
        <v>290</v>
      </c>
      <c r="N1" s="19" t="s">
        <v>538</v>
      </c>
      <c r="O1" s="144" t="s">
        <v>539</v>
      </c>
      <c r="P1" s="19" t="s">
        <v>540</v>
      </c>
      <c r="Q1" s="19" t="s">
        <v>533</v>
      </c>
      <c r="R1" s="19" t="s">
        <v>534</v>
      </c>
      <c r="S1" s="19" t="s">
        <v>541</v>
      </c>
    </row>
    <row r="2" spans="1:20">
      <c r="A2" s="128" t="s">
        <v>542</v>
      </c>
      <c r="B2" s="128" t="s">
        <v>543</v>
      </c>
      <c r="C2" s="128" t="s">
        <v>276</v>
      </c>
      <c r="D2" s="128" t="s">
        <v>544</v>
      </c>
      <c r="E2" s="128" t="s">
        <v>545</v>
      </c>
      <c r="F2" s="128" t="s">
        <v>545</v>
      </c>
      <c r="G2" s="128" t="s">
        <v>546</v>
      </c>
      <c r="H2" s="128">
        <v>3174348743</v>
      </c>
      <c r="I2" s="154" t="s">
        <v>1254</v>
      </c>
      <c r="J2" s="128" t="s">
        <v>547</v>
      </c>
      <c r="K2" s="128">
        <v>900426895</v>
      </c>
      <c r="L2" s="128" t="s">
        <v>548</v>
      </c>
      <c r="M2" s="128" t="s">
        <v>549</v>
      </c>
      <c r="N2" s="128" t="s">
        <v>550</v>
      </c>
      <c r="O2" s="145"/>
      <c r="P2" s="128" t="s">
        <v>546</v>
      </c>
      <c r="R2" s="146"/>
      <c r="T2" s="128">
        <f>+VLOOKUP(K2,[2]DATOS!$N$1:$N$1259,1,FALSE)</f>
        <v>900426895</v>
      </c>
    </row>
    <row r="3" spans="1:20">
      <c r="A3" s="128" t="s">
        <v>542</v>
      </c>
      <c r="B3" s="128" t="s">
        <v>543</v>
      </c>
      <c r="C3" s="128" t="s">
        <v>276</v>
      </c>
      <c r="D3" s="128" t="s">
        <v>544</v>
      </c>
      <c r="E3" s="128" t="s">
        <v>277</v>
      </c>
      <c r="F3" s="128" t="s">
        <v>277</v>
      </c>
      <c r="G3" s="128" t="s">
        <v>552</v>
      </c>
      <c r="H3" s="128">
        <v>3102267187</v>
      </c>
      <c r="I3" s="146" t="s">
        <v>1286</v>
      </c>
      <c r="J3" s="128" t="s">
        <v>547</v>
      </c>
      <c r="K3" s="128">
        <v>900481864</v>
      </c>
      <c r="L3" s="128" t="s">
        <v>553</v>
      </c>
      <c r="M3" s="128" t="s">
        <v>554</v>
      </c>
      <c r="N3" s="128" t="s">
        <v>555</v>
      </c>
      <c r="O3" s="145"/>
      <c r="P3" s="128" t="s">
        <v>556</v>
      </c>
      <c r="R3" s="146"/>
      <c r="T3" s="128" t="e">
        <f>+VLOOKUP(K3,[2]DATOS!$N$1:$N$1259,1,FALSE)</f>
        <v>#N/A</v>
      </c>
    </row>
    <row r="4" spans="1:20">
      <c r="A4" s="128" t="s">
        <v>542</v>
      </c>
      <c r="B4" s="128" t="s">
        <v>543</v>
      </c>
      <c r="C4" s="128" t="s">
        <v>276</v>
      </c>
      <c r="D4" s="128" t="s">
        <v>544</v>
      </c>
      <c r="E4" s="128" t="s">
        <v>192</v>
      </c>
      <c r="F4" s="128" t="s">
        <v>192</v>
      </c>
      <c r="G4" s="128" t="s">
        <v>557</v>
      </c>
      <c r="H4" s="128" t="s">
        <v>558</v>
      </c>
      <c r="I4" s="146" t="s">
        <v>1287</v>
      </c>
      <c r="J4" s="128" t="s">
        <v>559</v>
      </c>
      <c r="K4" s="128">
        <v>900500702</v>
      </c>
      <c r="L4" s="128" t="s">
        <v>553</v>
      </c>
      <c r="M4" s="128" t="s">
        <v>554</v>
      </c>
      <c r="N4" s="128" t="s">
        <v>555</v>
      </c>
      <c r="O4" s="145"/>
      <c r="P4" s="128" t="s">
        <v>560</v>
      </c>
      <c r="R4" s="146"/>
      <c r="T4" s="128">
        <f>+VLOOKUP(K4,[2]DATOS!$N$1:$N$1259,1,FALSE)</f>
        <v>900500702</v>
      </c>
    </row>
    <row r="5" spans="1:20">
      <c r="A5" s="128" t="s">
        <v>542</v>
      </c>
      <c r="B5" s="128" t="s">
        <v>543</v>
      </c>
      <c r="C5" s="128" t="s">
        <v>276</v>
      </c>
      <c r="D5" s="128" t="s">
        <v>544</v>
      </c>
      <c r="E5" s="128" t="s">
        <v>187</v>
      </c>
      <c r="F5" s="128" t="s">
        <v>187</v>
      </c>
      <c r="G5" s="128" t="s">
        <v>561</v>
      </c>
      <c r="H5" s="128">
        <v>3102353730</v>
      </c>
      <c r="I5" s="146" t="s">
        <v>1288</v>
      </c>
      <c r="J5" s="128" t="s">
        <v>559</v>
      </c>
      <c r="K5" s="128">
        <v>900695615</v>
      </c>
      <c r="L5" s="128" t="s">
        <v>553</v>
      </c>
      <c r="M5" s="128" t="s">
        <v>562</v>
      </c>
      <c r="N5" s="128" t="s">
        <v>555</v>
      </c>
      <c r="O5" s="145"/>
      <c r="P5" s="128" t="s">
        <v>563</v>
      </c>
      <c r="R5" s="146"/>
      <c r="T5" s="128">
        <f>+VLOOKUP(K5,[2]DATOS!$N$1:$N$1259,1,FALSE)</f>
        <v>900695615</v>
      </c>
    </row>
    <row r="6" spans="1:20">
      <c r="A6" s="128" t="s">
        <v>542</v>
      </c>
      <c r="B6" s="128" t="s">
        <v>543</v>
      </c>
      <c r="C6" s="128" t="s">
        <v>276</v>
      </c>
      <c r="D6" s="128" t="s">
        <v>544</v>
      </c>
      <c r="E6" s="128" t="s">
        <v>103</v>
      </c>
      <c r="F6" s="128" t="s">
        <v>564</v>
      </c>
      <c r="G6" s="128" t="s">
        <v>565</v>
      </c>
      <c r="H6" s="128">
        <v>3202301002</v>
      </c>
      <c r="I6" s="128" t="s">
        <v>1289</v>
      </c>
      <c r="J6" s="128" t="s">
        <v>559</v>
      </c>
      <c r="K6" s="128">
        <v>900425597</v>
      </c>
      <c r="L6" s="128" t="s">
        <v>548</v>
      </c>
      <c r="M6" s="128" t="s">
        <v>566</v>
      </c>
      <c r="N6" s="128" t="s">
        <v>550</v>
      </c>
      <c r="O6" s="145"/>
      <c r="P6" s="128" t="s">
        <v>567</v>
      </c>
      <c r="R6" s="146"/>
      <c r="T6" s="128">
        <f>+VLOOKUP(K6,[2]DATOS!$N$1:$N$1259,1,FALSE)</f>
        <v>900425597</v>
      </c>
    </row>
    <row r="7" spans="1:20">
      <c r="A7" s="128" t="s">
        <v>542</v>
      </c>
      <c r="B7" s="128" t="s">
        <v>543</v>
      </c>
      <c r="C7" s="128" t="s">
        <v>276</v>
      </c>
      <c r="D7" s="128" t="s">
        <v>544</v>
      </c>
      <c r="E7" s="128" t="s">
        <v>185</v>
      </c>
      <c r="F7" s="128" t="s">
        <v>185</v>
      </c>
      <c r="G7" s="128" t="s">
        <v>568</v>
      </c>
      <c r="H7" s="128" t="s">
        <v>569</v>
      </c>
      <c r="I7" s="146" t="s">
        <v>1290</v>
      </c>
      <c r="J7" s="128" t="s">
        <v>547</v>
      </c>
      <c r="K7" s="148">
        <v>900599349</v>
      </c>
      <c r="L7" s="128" t="s">
        <v>553</v>
      </c>
      <c r="M7" s="128" t="s">
        <v>570</v>
      </c>
      <c r="N7" s="128" t="s">
        <v>555</v>
      </c>
      <c r="O7" s="145"/>
      <c r="P7" s="128" t="s">
        <v>571</v>
      </c>
      <c r="R7" s="146"/>
      <c r="T7" s="128">
        <f>+VLOOKUP(K7,[2]DATOS!$N$1:$N$1259,1,FALSE)</f>
        <v>900599349</v>
      </c>
    </row>
    <row r="8" spans="1:20">
      <c r="A8" s="128" t="s">
        <v>542</v>
      </c>
      <c r="B8" s="128" t="s">
        <v>543</v>
      </c>
      <c r="C8" s="128" t="s">
        <v>276</v>
      </c>
      <c r="D8" s="128" t="s">
        <v>544</v>
      </c>
      <c r="E8" s="128" t="s">
        <v>102</v>
      </c>
      <c r="F8" s="128" t="s">
        <v>572</v>
      </c>
      <c r="G8" s="128" t="s">
        <v>573</v>
      </c>
      <c r="H8" s="128" t="s">
        <v>574</v>
      </c>
      <c r="I8" s="128" t="s">
        <v>1291</v>
      </c>
      <c r="J8" s="128" t="s">
        <v>559</v>
      </c>
      <c r="K8" s="128">
        <v>2907207</v>
      </c>
      <c r="L8" s="128" t="s">
        <v>548</v>
      </c>
      <c r="M8" s="128" t="s">
        <v>549</v>
      </c>
      <c r="N8" s="128" t="s">
        <v>550</v>
      </c>
      <c r="O8" s="145"/>
      <c r="P8" s="128" t="s">
        <v>575</v>
      </c>
      <c r="R8" s="146"/>
      <c r="T8" s="128">
        <f>+VLOOKUP(K8,[2]DATOS!$N$1:$N$1259,1,FALSE)</f>
        <v>2907207</v>
      </c>
    </row>
    <row r="9" spans="1:20">
      <c r="A9" s="128" t="s">
        <v>542</v>
      </c>
      <c r="B9" s="128" t="s">
        <v>543</v>
      </c>
      <c r="C9" s="128" t="s">
        <v>276</v>
      </c>
      <c r="D9" s="128" t="s">
        <v>544</v>
      </c>
      <c r="E9" s="128" t="s">
        <v>260</v>
      </c>
      <c r="F9" s="128" t="s">
        <v>260</v>
      </c>
      <c r="G9" s="128" t="s">
        <v>576</v>
      </c>
      <c r="H9" s="128" t="s">
        <v>577</v>
      </c>
      <c r="I9" s="146" t="s">
        <v>1292</v>
      </c>
      <c r="J9" s="128" t="s">
        <v>559</v>
      </c>
      <c r="K9" s="128">
        <v>900400965</v>
      </c>
      <c r="L9" s="128" t="s">
        <v>578</v>
      </c>
      <c r="M9" s="128" t="s">
        <v>579</v>
      </c>
      <c r="N9" s="128" t="s">
        <v>555</v>
      </c>
      <c r="O9" s="145"/>
      <c r="P9" s="128" t="s">
        <v>580</v>
      </c>
      <c r="R9" s="146"/>
      <c r="T9" s="128">
        <f>+VLOOKUP(K9,[2]DATOS!$N$1:$N$1259,1,FALSE)</f>
        <v>900400965</v>
      </c>
    </row>
    <row r="10" spans="1:20">
      <c r="A10" s="128" t="s">
        <v>542</v>
      </c>
      <c r="B10" s="128" t="s">
        <v>543</v>
      </c>
      <c r="C10" s="128" t="s">
        <v>276</v>
      </c>
      <c r="D10" s="128" t="s">
        <v>544</v>
      </c>
      <c r="E10" s="128" t="s">
        <v>581</v>
      </c>
      <c r="F10" s="128" t="s">
        <v>582</v>
      </c>
      <c r="G10" s="128" t="s">
        <v>583</v>
      </c>
      <c r="H10" s="128" t="s">
        <v>584</v>
      </c>
      <c r="I10" s="146" t="s">
        <v>1293</v>
      </c>
      <c r="J10" s="128" t="s">
        <v>559</v>
      </c>
      <c r="K10" s="128">
        <v>19291768</v>
      </c>
      <c r="L10" s="128" t="s">
        <v>585</v>
      </c>
      <c r="M10" s="128" t="s">
        <v>586</v>
      </c>
      <c r="N10" s="128" t="s">
        <v>555</v>
      </c>
      <c r="O10" s="145"/>
      <c r="P10" s="128" t="s">
        <v>587</v>
      </c>
      <c r="R10" s="146"/>
      <c r="T10" s="128">
        <f>+VLOOKUP(K10,[2]DATOS!$N$1:$N$1259,1,FALSE)</f>
        <v>19291768</v>
      </c>
    </row>
    <row r="11" spans="1:20">
      <c r="A11" s="128" t="s">
        <v>542</v>
      </c>
      <c r="B11" s="128" t="s">
        <v>543</v>
      </c>
      <c r="C11" s="128" t="s">
        <v>276</v>
      </c>
      <c r="D11" s="128" t="s">
        <v>544</v>
      </c>
      <c r="E11" s="128" t="s">
        <v>190</v>
      </c>
      <c r="F11" s="128" t="s">
        <v>588</v>
      </c>
      <c r="G11" s="128" t="s">
        <v>589</v>
      </c>
      <c r="H11" s="128" t="s">
        <v>590</v>
      </c>
      <c r="I11" s="146" t="s">
        <v>1294</v>
      </c>
      <c r="J11" s="128" t="s">
        <v>547</v>
      </c>
      <c r="K11" s="128">
        <v>79204832</v>
      </c>
      <c r="L11" s="128" t="s">
        <v>553</v>
      </c>
      <c r="M11" s="128" t="s">
        <v>591</v>
      </c>
      <c r="N11" s="128" t="s">
        <v>555</v>
      </c>
      <c r="O11" s="145"/>
      <c r="P11" s="128" t="s">
        <v>592</v>
      </c>
      <c r="R11" s="146"/>
      <c r="T11" s="128">
        <f>+VLOOKUP(K11,[2]DATOS!$N$1:$N$1259,1,FALSE)</f>
        <v>79204832</v>
      </c>
    </row>
    <row r="12" spans="1:20">
      <c r="A12" s="128" t="s">
        <v>542</v>
      </c>
      <c r="B12" s="128" t="s">
        <v>543</v>
      </c>
      <c r="C12" s="128" t="s">
        <v>276</v>
      </c>
      <c r="D12" s="128" t="s">
        <v>544</v>
      </c>
      <c r="E12" s="128" t="s">
        <v>337</v>
      </c>
      <c r="F12" s="128" t="s">
        <v>337</v>
      </c>
      <c r="G12" s="128" t="s">
        <v>593</v>
      </c>
      <c r="H12" s="128" t="s">
        <v>594</v>
      </c>
      <c r="I12" s="128" t="s">
        <v>1295</v>
      </c>
      <c r="J12" s="128" t="s">
        <v>547</v>
      </c>
      <c r="K12" s="128">
        <v>900337966</v>
      </c>
      <c r="L12" s="128" t="s">
        <v>595</v>
      </c>
      <c r="M12" s="128" t="s">
        <v>596</v>
      </c>
      <c r="N12" s="128" t="s">
        <v>555</v>
      </c>
      <c r="O12" s="145"/>
      <c r="P12" s="128" t="s">
        <v>593</v>
      </c>
      <c r="T12" s="128" t="e">
        <f>+VLOOKUP(K12,[2]DATOS!$N$1:$N$1259,1,FALSE)</f>
        <v>#N/A</v>
      </c>
    </row>
    <row r="13" spans="1:20" ht="20.25" customHeight="1">
      <c r="A13" s="128" t="s">
        <v>542</v>
      </c>
      <c r="B13" s="128" t="s">
        <v>543</v>
      </c>
      <c r="C13" s="128" t="s">
        <v>276</v>
      </c>
      <c r="D13" s="128" t="s">
        <v>544</v>
      </c>
      <c r="E13" s="128" t="s">
        <v>252</v>
      </c>
      <c r="F13" s="128" t="s">
        <v>252</v>
      </c>
      <c r="G13" s="128" t="s">
        <v>597</v>
      </c>
      <c r="H13" s="128" t="s">
        <v>598</v>
      </c>
      <c r="I13" s="146" t="s">
        <v>1296</v>
      </c>
      <c r="J13" s="128" t="s">
        <v>559</v>
      </c>
      <c r="K13" s="128">
        <v>79487375</v>
      </c>
      <c r="L13" s="128" t="s">
        <v>599</v>
      </c>
      <c r="M13" s="128" t="s">
        <v>600</v>
      </c>
      <c r="N13" s="128" t="s">
        <v>555</v>
      </c>
      <c r="O13" s="145"/>
      <c r="P13" s="128" t="s">
        <v>597</v>
      </c>
      <c r="R13" s="146"/>
      <c r="T13" s="128">
        <f>+VLOOKUP(K13,[2]DATOS!$N$1:$N$1259,1,FALSE)</f>
        <v>79487375</v>
      </c>
    </row>
    <row r="14" spans="1:20" ht="21.75" customHeight="1">
      <c r="A14" s="128" t="s">
        <v>542</v>
      </c>
      <c r="B14" s="128" t="s">
        <v>543</v>
      </c>
      <c r="C14" s="128" t="s">
        <v>276</v>
      </c>
      <c r="D14" s="128" t="s">
        <v>544</v>
      </c>
      <c r="E14" s="128" t="s">
        <v>99</v>
      </c>
      <c r="F14" s="128" t="s">
        <v>99</v>
      </c>
      <c r="G14" s="128" t="s">
        <v>601</v>
      </c>
      <c r="H14" s="128" t="s">
        <v>602</v>
      </c>
      <c r="I14" s="147" t="s">
        <v>1297</v>
      </c>
      <c r="J14" s="128" t="s">
        <v>383</v>
      </c>
      <c r="K14" s="128">
        <v>900334447</v>
      </c>
      <c r="L14" s="128" t="s">
        <v>603</v>
      </c>
      <c r="M14" s="128" t="s">
        <v>604</v>
      </c>
      <c r="N14" s="128" t="s">
        <v>605</v>
      </c>
      <c r="O14" s="145"/>
      <c r="P14" s="128" t="s">
        <v>606</v>
      </c>
      <c r="R14" s="146"/>
      <c r="T14" s="128">
        <f>+VLOOKUP(K14,[2]DATOS!$N$1:$N$1259,1,FALSE)</f>
        <v>900334447</v>
      </c>
    </row>
    <row r="15" spans="1:20">
      <c r="A15" s="128" t="s">
        <v>542</v>
      </c>
      <c r="B15" s="128" t="s">
        <v>543</v>
      </c>
      <c r="C15" s="128" t="s">
        <v>276</v>
      </c>
      <c r="D15" s="128" t="s">
        <v>544</v>
      </c>
      <c r="E15" s="128" t="s">
        <v>607</v>
      </c>
      <c r="F15" s="128" t="s">
        <v>607</v>
      </c>
      <c r="G15" s="128" t="s">
        <v>608</v>
      </c>
      <c r="H15" s="128">
        <v>3176467281</v>
      </c>
      <c r="I15" s="146" t="s">
        <v>1298</v>
      </c>
      <c r="J15" s="128" t="s">
        <v>559</v>
      </c>
      <c r="K15" s="128">
        <v>900367920</v>
      </c>
      <c r="L15" s="128" t="s">
        <v>609</v>
      </c>
      <c r="M15" s="128" t="s">
        <v>184</v>
      </c>
      <c r="N15" s="128" t="s">
        <v>555</v>
      </c>
      <c r="O15" s="145"/>
      <c r="P15" s="128" t="s">
        <v>610</v>
      </c>
      <c r="R15" s="146"/>
      <c r="T15" s="128">
        <f>+VLOOKUP(K15,[2]DATOS!$N$1:$N$1259,1,FALSE)</f>
        <v>900367920</v>
      </c>
    </row>
    <row r="16" spans="1:20">
      <c r="A16" s="128" t="s">
        <v>542</v>
      </c>
      <c r="B16" s="128" t="s">
        <v>543</v>
      </c>
      <c r="C16" s="128" t="s">
        <v>276</v>
      </c>
      <c r="D16" s="128" t="s">
        <v>544</v>
      </c>
      <c r="E16" s="128" t="s">
        <v>611</v>
      </c>
      <c r="F16" s="128" t="s">
        <v>611</v>
      </c>
      <c r="G16" s="128" t="s">
        <v>612</v>
      </c>
      <c r="H16" s="128">
        <v>3132971288</v>
      </c>
      <c r="I16" s="146" t="s">
        <v>1299</v>
      </c>
      <c r="J16" s="128" t="s">
        <v>559</v>
      </c>
      <c r="K16" s="128">
        <v>60345082</v>
      </c>
      <c r="L16" s="128" t="s">
        <v>613</v>
      </c>
      <c r="M16" s="128" t="s">
        <v>614</v>
      </c>
      <c r="N16" s="128" t="s">
        <v>555</v>
      </c>
      <c r="O16" s="145"/>
      <c r="P16" s="128" t="s">
        <v>612</v>
      </c>
      <c r="R16" s="146"/>
      <c r="T16" s="128">
        <f>+VLOOKUP(K16,[2]DATOS!$N$1:$N$1259,1,FALSE)</f>
        <v>60345082</v>
      </c>
    </row>
    <row r="17" spans="1:20">
      <c r="A17" s="128" t="s">
        <v>542</v>
      </c>
      <c r="C17" s="128" t="s">
        <v>276</v>
      </c>
      <c r="D17" s="128" t="s">
        <v>615</v>
      </c>
      <c r="E17" s="128" t="s">
        <v>74</v>
      </c>
      <c r="F17" s="128" t="s">
        <v>616</v>
      </c>
      <c r="G17" s="128" t="s">
        <v>617</v>
      </c>
      <c r="H17" s="128">
        <v>3203453437</v>
      </c>
      <c r="I17" s="146" t="s">
        <v>1300</v>
      </c>
      <c r="J17" s="128" t="s">
        <v>559</v>
      </c>
      <c r="K17" s="128">
        <v>18184960</v>
      </c>
      <c r="L17" s="128" t="s">
        <v>618</v>
      </c>
      <c r="M17" s="128" t="s">
        <v>619</v>
      </c>
      <c r="N17" s="128" t="s">
        <v>620</v>
      </c>
      <c r="O17" s="145"/>
      <c r="P17" s="128" t="s">
        <v>621</v>
      </c>
      <c r="R17" s="146"/>
      <c r="T17" s="128">
        <f>+VLOOKUP(K17,[2]DATOS!$N$1:$N$1259,1,FALSE)</f>
        <v>18184960</v>
      </c>
    </row>
    <row r="18" spans="1:20">
      <c r="A18" s="128" t="s">
        <v>542</v>
      </c>
      <c r="C18" s="128" t="s">
        <v>276</v>
      </c>
      <c r="D18" s="128" t="s">
        <v>615</v>
      </c>
      <c r="E18" s="128" t="s">
        <v>211</v>
      </c>
      <c r="F18" s="128" t="s">
        <v>623</v>
      </c>
      <c r="G18" s="128" t="s">
        <v>624</v>
      </c>
      <c r="H18" s="128" t="s">
        <v>625</v>
      </c>
      <c r="I18" s="146" t="s">
        <v>1301</v>
      </c>
      <c r="J18" s="128" t="s">
        <v>547</v>
      </c>
      <c r="K18" s="128">
        <v>1072648809</v>
      </c>
      <c r="L18" s="128" t="s">
        <v>626</v>
      </c>
      <c r="M18" s="128" t="s">
        <v>627</v>
      </c>
      <c r="N18" s="128" t="s">
        <v>628</v>
      </c>
      <c r="O18" s="145"/>
      <c r="P18" s="128" t="s">
        <v>629</v>
      </c>
      <c r="R18" s="146"/>
      <c r="T18" s="128">
        <f>+VLOOKUP(K18,[2]DATOS!$N$1:$N$1259,1,FALSE)</f>
        <v>1072648809</v>
      </c>
    </row>
    <row r="19" spans="1:20">
      <c r="A19" s="128" t="s">
        <v>542</v>
      </c>
      <c r="C19" s="128" t="s">
        <v>276</v>
      </c>
      <c r="D19" s="128" t="s">
        <v>615</v>
      </c>
      <c r="E19" s="128" t="s">
        <v>212</v>
      </c>
      <c r="F19" s="128" t="s">
        <v>630</v>
      </c>
      <c r="G19" s="128" t="s">
        <v>631</v>
      </c>
      <c r="H19" s="128" t="s">
        <v>632</v>
      </c>
      <c r="I19" s="146" t="s">
        <v>1302</v>
      </c>
      <c r="J19" s="128" t="s">
        <v>559</v>
      </c>
      <c r="K19" s="128">
        <v>4520699</v>
      </c>
      <c r="L19" s="128" t="s">
        <v>633</v>
      </c>
      <c r="M19" s="128" t="s">
        <v>634</v>
      </c>
      <c r="N19" s="128" t="s">
        <v>628</v>
      </c>
      <c r="O19" s="145"/>
      <c r="P19" s="128" t="s">
        <v>635</v>
      </c>
      <c r="R19" s="146"/>
      <c r="T19" s="128" t="e">
        <f>+VLOOKUP(K19,[2]DATOS!$N$1:$N$1259,1,FALSE)</f>
        <v>#N/A</v>
      </c>
    </row>
    <row r="20" spans="1:20">
      <c r="A20" s="128" t="s">
        <v>542</v>
      </c>
      <c r="C20" s="128" t="s">
        <v>276</v>
      </c>
      <c r="D20" s="128" t="s">
        <v>615</v>
      </c>
      <c r="E20" s="128" t="s">
        <v>69</v>
      </c>
      <c r="F20" s="128" t="s">
        <v>636</v>
      </c>
      <c r="G20" s="128" t="s">
        <v>637</v>
      </c>
      <c r="H20" s="128" t="s">
        <v>638</v>
      </c>
      <c r="I20" s="146" t="s">
        <v>1303</v>
      </c>
      <c r="J20" s="128" t="s">
        <v>547</v>
      </c>
      <c r="K20" s="128">
        <v>18125225</v>
      </c>
      <c r="L20" s="128" t="s">
        <v>639</v>
      </c>
      <c r="M20" s="128" t="s">
        <v>627</v>
      </c>
      <c r="N20" s="128" t="s">
        <v>628</v>
      </c>
      <c r="O20" s="145"/>
      <c r="P20" s="128" t="s">
        <v>640</v>
      </c>
      <c r="R20" s="146"/>
      <c r="T20" s="128">
        <f>+VLOOKUP(K20,[2]DATOS!$N$1:$N$1259,1,FALSE)</f>
        <v>18125225</v>
      </c>
    </row>
    <row r="21" spans="1:20">
      <c r="A21" s="128" t="s">
        <v>542</v>
      </c>
      <c r="C21" s="128" t="s">
        <v>276</v>
      </c>
      <c r="D21" s="128" t="s">
        <v>615</v>
      </c>
      <c r="E21" s="128" t="s">
        <v>72</v>
      </c>
      <c r="F21" s="128" t="s">
        <v>643</v>
      </c>
      <c r="G21" s="128" t="s">
        <v>644</v>
      </c>
      <c r="H21" s="128">
        <v>3154135396</v>
      </c>
      <c r="I21" s="146" t="s">
        <v>1304</v>
      </c>
      <c r="J21" s="128" t="s">
        <v>559</v>
      </c>
      <c r="K21" s="128">
        <v>16614938</v>
      </c>
      <c r="L21" s="128" t="s">
        <v>645</v>
      </c>
      <c r="M21" s="128" t="s">
        <v>646</v>
      </c>
      <c r="N21" s="128" t="s">
        <v>620</v>
      </c>
      <c r="O21" s="145"/>
      <c r="P21" s="128" t="s">
        <v>647</v>
      </c>
      <c r="R21" s="146"/>
      <c r="T21" s="128">
        <f>+VLOOKUP(K21,[2]DATOS!$N$1:$N$1259,1,FALSE)</f>
        <v>16614938</v>
      </c>
    </row>
    <row r="22" spans="1:20">
      <c r="A22" s="128" t="s">
        <v>542</v>
      </c>
      <c r="C22" s="128" t="s">
        <v>276</v>
      </c>
      <c r="D22" s="128" t="s">
        <v>615</v>
      </c>
      <c r="E22" s="128" t="s">
        <v>33</v>
      </c>
      <c r="F22" s="128" t="s">
        <v>648</v>
      </c>
      <c r="G22" s="128" t="s">
        <v>649</v>
      </c>
      <c r="H22" s="128" t="s">
        <v>650</v>
      </c>
      <c r="I22" s="146" t="s">
        <v>1305</v>
      </c>
      <c r="J22" s="128" t="s">
        <v>559</v>
      </c>
      <c r="K22" s="128">
        <v>93402073</v>
      </c>
      <c r="L22" s="128" t="s">
        <v>651</v>
      </c>
      <c r="M22" s="128" t="s">
        <v>652</v>
      </c>
      <c r="N22" s="128" t="s">
        <v>653</v>
      </c>
      <c r="O22" s="145"/>
      <c r="P22" s="128" t="s">
        <v>654</v>
      </c>
      <c r="R22" s="146"/>
      <c r="T22" s="128">
        <f>+VLOOKUP(K22,[2]DATOS!$N$1:$N$1259,1,FALSE)</f>
        <v>93402073</v>
      </c>
    </row>
    <row r="23" spans="1:20">
      <c r="A23" s="128" t="s">
        <v>542</v>
      </c>
      <c r="C23" s="128" t="s">
        <v>276</v>
      </c>
      <c r="D23" s="128" t="s">
        <v>615</v>
      </c>
      <c r="E23" s="128" t="s">
        <v>35</v>
      </c>
      <c r="F23" s="128" t="s">
        <v>655</v>
      </c>
      <c r="G23" s="128" t="s">
        <v>656</v>
      </c>
      <c r="H23" s="128" t="s">
        <v>657</v>
      </c>
      <c r="I23" s="146" t="s">
        <v>1306</v>
      </c>
      <c r="J23" s="128" t="s">
        <v>383</v>
      </c>
      <c r="K23" s="128">
        <v>14011711</v>
      </c>
      <c r="L23" s="128" t="s">
        <v>658</v>
      </c>
      <c r="M23" s="128" t="s">
        <v>659</v>
      </c>
      <c r="N23" s="128" t="s">
        <v>555</v>
      </c>
      <c r="O23" s="145"/>
      <c r="P23" s="128" t="s">
        <v>660</v>
      </c>
      <c r="R23" s="146"/>
      <c r="T23" s="128">
        <f>+VLOOKUP(K23,[2]DATOS!$N$1:$N$1259,1,FALSE)</f>
        <v>14011711</v>
      </c>
    </row>
    <row r="24" spans="1:20">
      <c r="A24" s="128" t="s">
        <v>542</v>
      </c>
      <c r="C24" s="128" t="s">
        <v>276</v>
      </c>
      <c r="D24" s="128" t="s">
        <v>615</v>
      </c>
      <c r="E24" s="128" t="s">
        <v>203</v>
      </c>
      <c r="F24" s="128" t="s">
        <v>203</v>
      </c>
      <c r="G24" s="128" t="s">
        <v>661</v>
      </c>
      <c r="H24" s="128" t="s">
        <v>662</v>
      </c>
      <c r="I24" s="146" t="s">
        <v>1307</v>
      </c>
      <c r="J24" s="128" t="s">
        <v>559</v>
      </c>
      <c r="K24" s="128">
        <v>811044897</v>
      </c>
      <c r="L24" s="128" t="s">
        <v>663</v>
      </c>
      <c r="M24" s="128" t="s">
        <v>664</v>
      </c>
      <c r="N24" s="128" t="s">
        <v>551</v>
      </c>
      <c r="O24" s="145"/>
      <c r="P24" s="128" t="s">
        <v>665</v>
      </c>
      <c r="R24" s="146"/>
      <c r="T24" s="128">
        <f>+VLOOKUP(K24,[2]DATOS!$N$1:$N$1259,1,FALSE)</f>
        <v>811044897</v>
      </c>
    </row>
    <row r="25" spans="1:20">
      <c r="A25" s="128" t="s">
        <v>542</v>
      </c>
      <c r="B25" s="128" t="s">
        <v>667</v>
      </c>
      <c r="C25" s="128" t="s">
        <v>276</v>
      </c>
      <c r="D25" s="128" t="s">
        <v>668</v>
      </c>
      <c r="E25" s="128" t="s">
        <v>77</v>
      </c>
      <c r="F25" s="128" t="s">
        <v>669</v>
      </c>
      <c r="G25" s="128" t="s">
        <v>670</v>
      </c>
      <c r="H25" s="128" t="s">
        <v>671</v>
      </c>
      <c r="I25" s="146" t="s">
        <v>1308</v>
      </c>
      <c r="J25" s="128" t="s">
        <v>547</v>
      </c>
      <c r="K25" s="128">
        <v>79754560</v>
      </c>
      <c r="L25" s="128" t="s">
        <v>672</v>
      </c>
      <c r="M25" s="128" t="s">
        <v>672</v>
      </c>
      <c r="N25" s="128" t="s">
        <v>673</v>
      </c>
      <c r="O25" s="145"/>
      <c r="P25" s="128" t="s">
        <v>674</v>
      </c>
      <c r="R25" s="146"/>
      <c r="T25" s="128" t="e">
        <f>+VLOOKUP(K25,[2]DATOS!$N$1:$N$1259,1,FALSE)</f>
        <v>#N/A</v>
      </c>
    </row>
    <row r="26" spans="1:20">
      <c r="A26" s="128" t="s">
        <v>542</v>
      </c>
      <c r="B26" s="128" t="s">
        <v>667</v>
      </c>
      <c r="C26" s="128" t="s">
        <v>276</v>
      </c>
      <c r="D26" s="128" t="s">
        <v>668</v>
      </c>
      <c r="E26" s="128" t="s">
        <v>78</v>
      </c>
      <c r="F26" s="128" t="s">
        <v>78</v>
      </c>
      <c r="G26" s="128" t="s">
        <v>675</v>
      </c>
      <c r="H26" s="128" t="s">
        <v>676</v>
      </c>
      <c r="I26" s="146" t="s">
        <v>1309</v>
      </c>
      <c r="J26" s="128" t="s">
        <v>547</v>
      </c>
      <c r="K26" s="128">
        <v>900465916</v>
      </c>
      <c r="L26" s="128" t="s">
        <v>677</v>
      </c>
      <c r="M26" s="128" t="s">
        <v>677</v>
      </c>
      <c r="N26" s="128" t="s">
        <v>678</v>
      </c>
      <c r="O26" s="145"/>
      <c r="P26" s="128" t="s">
        <v>675</v>
      </c>
      <c r="R26" s="146"/>
      <c r="T26" s="128" t="e">
        <f>+VLOOKUP(K26,[2]DATOS!$N$1:$N$1259,1,FALSE)</f>
        <v>#N/A</v>
      </c>
    </row>
    <row r="27" spans="1:20">
      <c r="A27" s="128" t="s">
        <v>542</v>
      </c>
      <c r="B27" s="128" t="s">
        <v>667</v>
      </c>
      <c r="C27" s="128" t="s">
        <v>276</v>
      </c>
      <c r="D27" s="128" t="s">
        <v>668</v>
      </c>
      <c r="E27" s="128" t="s">
        <v>61</v>
      </c>
      <c r="F27" s="128" t="s">
        <v>61</v>
      </c>
      <c r="G27" s="128" t="s">
        <v>679</v>
      </c>
      <c r="H27" s="128" t="s">
        <v>680</v>
      </c>
      <c r="I27" s="146" t="s">
        <v>1310</v>
      </c>
      <c r="J27" s="128" t="s">
        <v>547</v>
      </c>
      <c r="K27" s="128">
        <v>800186618</v>
      </c>
      <c r="L27" s="128" t="s">
        <v>681</v>
      </c>
      <c r="M27" s="128" t="s">
        <v>681</v>
      </c>
      <c r="N27" s="128" t="s">
        <v>682</v>
      </c>
      <c r="O27" s="145"/>
      <c r="P27" s="128" t="s">
        <v>683</v>
      </c>
      <c r="R27" s="146"/>
      <c r="T27" s="128">
        <f>+VLOOKUP(K27,[2]DATOS!$N$1:$N$1259,1,FALSE)</f>
        <v>800186618</v>
      </c>
    </row>
    <row r="28" spans="1:20">
      <c r="A28" s="128" t="s">
        <v>542</v>
      </c>
      <c r="B28" s="128" t="s">
        <v>667</v>
      </c>
      <c r="C28" s="128" t="s">
        <v>276</v>
      </c>
      <c r="D28" s="128" t="s">
        <v>668</v>
      </c>
      <c r="E28" s="128" t="s">
        <v>116</v>
      </c>
      <c r="F28" s="128" t="s">
        <v>685</v>
      </c>
      <c r="G28" s="128" t="s">
        <v>686</v>
      </c>
      <c r="H28" s="128" t="s">
        <v>687</v>
      </c>
      <c r="I28" s="146" t="s">
        <v>1311</v>
      </c>
      <c r="J28" s="128" t="s">
        <v>383</v>
      </c>
      <c r="K28" s="128">
        <v>5084051</v>
      </c>
      <c r="L28" s="128" t="s">
        <v>688</v>
      </c>
      <c r="M28" s="128" t="s">
        <v>689</v>
      </c>
      <c r="N28" s="128" t="s">
        <v>690</v>
      </c>
      <c r="O28" s="145"/>
      <c r="P28" s="128" t="s">
        <v>691</v>
      </c>
      <c r="R28" s="146"/>
      <c r="T28" s="128">
        <f>+VLOOKUP(K28,[2]DATOS!$N$1:$N$1259,1,FALSE)</f>
        <v>5084051</v>
      </c>
    </row>
    <row r="29" spans="1:20">
      <c r="A29" s="128" t="s">
        <v>542</v>
      </c>
      <c r="B29" s="128" t="s">
        <v>667</v>
      </c>
      <c r="C29" s="128" t="s">
        <v>276</v>
      </c>
      <c r="D29" s="128" t="s">
        <v>668</v>
      </c>
      <c r="E29" s="128" t="s">
        <v>692</v>
      </c>
      <c r="F29" s="128" t="s">
        <v>693</v>
      </c>
      <c r="G29" s="128" t="s">
        <v>694</v>
      </c>
      <c r="H29" s="128" t="s">
        <v>695</v>
      </c>
      <c r="I29" s="146" t="s">
        <v>1312</v>
      </c>
      <c r="J29" s="128" t="s">
        <v>559</v>
      </c>
      <c r="K29" s="128">
        <v>17529200</v>
      </c>
      <c r="L29" s="128" t="s">
        <v>684</v>
      </c>
      <c r="M29" s="128" t="s">
        <v>684</v>
      </c>
      <c r="N29" s="128" t="s">
        <v>682</v>
      </c>
      <c r="O29" s="145"/>
      <c r="P29" s="128" t="s">
        <v>696</v>
      </c>
      <c r="R29" s="146"/>
      <c r="T29" s="128">
        <f>+VLOOKUP(K29,[2]DATOS!$N$1:$N$1259,1,FALSE)</f>
        <v>17529200</v>
      </c>
    </row>
    <row r="30" spans="1:20">
      <c r="A30" s="128" t="s">
        <v>542</v>
      </c>
      <c r="B30" s="128" t="s">
        <v>667</v>
      </c>
      <c r="C30" s="128" t="s">
        <v>276</v>
      </c>
      <c r="D30" s="128" t="s">
        <v>668</v>
      </c>
      <c r="E30" s="128" t="s">
        <v>697</v>
      </c>
      <c r="F30" s="128" t="s">
        <v>697</v>
      </c>
      <c r="G30" s="128" t="s">
        <v>698</v>
      </c>
      <c r="H30" s="128" t="s">
        <v>699</v>
      </c>
      <c r="I30" s="146" t="s">
        <v>1313</v>
      </c>
      <c r="J30" s="128" t="s">
        <v>700</v>
      </c>
      <c r="K30" s="128">
        <v>900917237</v>
      </c>
      <c r="L30" s="128" t="s">
        <v>701</v>
      </c>
      <c r="M30" s="128" t="s">
        <v>702</v>
      </c>
      <c r="N30" s="128" t="s">
        <v>690</v>
      </c>
      <c r="O30" s="145"/>
      <c r="P30" s="128" t="s">
        <v>703</v>
      </c>
      <c r="R30" s="146"/>
      <c r="T30" s="128" t="e">
        <f>+VLOOKUP(K30,[2]DATOS!$N$1:$N$1259,1,FALSE)</f>
        <v>#N/A</v>
      </c>
    </row>
    <row r="31" spans="1:20">
      <c r="A31" s="128" t="s">
        <v>542</v>
      </c>
      <c r="B31" s="128" t="s">
        <v>667</v>
      </c>
      <c r="C31" s="128" t="s">
        <v>276</v>
      </c>
      <c r="D31" s="128" t="s">
        <v>668</v>
      </c>
      <c r="E31" s="128" t="s">
        <v>269</v>
      </c>
      <c r="F31" s="128" t="s">
        <v>269</v>
      </c>
      <c r="G31" s="128" t="s">
        <v>705</v>
      </c>
      <c r="H31" s="128" t="s">
        <v>706</v>
      </c>
      <c r="I31" s="146" t="s">
        <v>1314</v>
      </c>
      <c r="J31" s="128" t="s">
        <v>547</v>
      </c>
      <c r="K31" s="128">
        <v>900531076</v>
      </c>
      <c r="L31" s="128" t="s">
        <v>707</v>
      </c>
      <c r="M31" s="128" t="s">
        <v>708</v>
      </c>
      <c r="N31" s="128" t="s">
        <v>704</v>
      </c>
      <c r="O31" s="145"/>
      <c r="P31" s="128" t="s">
        <v>709</v>
      </c>
      <c r="R31" s="146"/>
      <c r="T31" s="128" t="e">
        <f>+VLOOKUP(K31,[2]DATOS!$N$1:$N$1259,1,FALSE)</f>
        <v>#N/A</v>
      </c>
    </row>
    <row r="32" spans="1:20">
      <c r="A32" s="128" t="s">
        <v>542</v>
      </c>
      <c r="B32" s="128" t="s">
        <v>667</v>
      </c>
      <c r="C32" s="128" t="s">
        <v>276</v>
      </c>
      <c r="D32" s="128" t="s">
        <v>668</v>
      </c>
      <c r="E32" s="128" t="s">
        <v>1260</v>
      </c>
      <c r="F32" s="128" t="s">
        <v>1261</v>
      </c>
      <c r="I32" s="172" t="s">
        <v>1315</v>
      </c>
      <c r="O32" s="145"/>
      <c r="R32" s="146"/>
    </row>
    <row r="33" spans="1:20">
      <c r="A33" s="128" t="s">
        <v>710</v>
      </c>
      <c r="B33" s="128" t="s">
        <v>711</v>
      </c>
      <c r="C33" s="128" t="s">
        <v>275</v>
      </c>
      <c r="D33" s="128" t="s">
        <v>544</v>
      </c>
      <c r="E33" s="128" t="s">
        <v>152</v>
      </c>
      <c r="F33" s="128" t="s">
        <v>152</v>
      </c>
      <c r="G33" s="128" t="s">
        <v>712</v>
      </c>
      <c r="H33" s="128" t="s">
        <v>713</v>
      </c>
      <c r="I33" s="146" t="s">
        <v>1316</v>
      </c>
      <c r="J33" s="128" t="s">
        <v>547</v>
      </c>
      <c r="K33" s="128">
        <v>900371112</v>
      </c>
      <c r="L33" s="128" t="s">
        <v>714</v>
      </c>
      <c r="M33" s="128" t="s">
        <v>714</v>
      </c>
      <c r="N33" s="128" t="s">
        <v>605</v>
      </c>
      <c r="O33" s="145"/>
      <c r="P33" s="128" t="s">
        <v>715</v>
      </c>
      <c r="T33" s="128" t="e">
        <f>+VLOOKUP(K33,[2]DATOS!$N$1:$N$1259,1,FALSE)</f>
        <v>#N/A</v>
      </c>
    </row>
    <row r="34" spans="1:20">
      <c r="A34" s="128" t="s">
        <v>710</v>
      </c>
      <c r="B34" s="128" t="s">
        <v>711</v>
      </c>
      <c r="C34" s="128" t="s">
        <v>275</v>
      </c>
      <c r="D34" s="128" t="s">
        <v>544</v>
      </c>
      <c r="E34" s="128" t="s">
        <v>716</v>
      </c>
      <c r="F34" s="128" t="s">
        <v>717</v>
      </c>
      <c r="G34" s="128" t="s">
        <v>718</v>
      </c>
      <c r="H34" s="128" t="s">
        <v>719</v>
      </c>
      <c r="I34" s="146" t="s">
        <v>1317</v>
      </c>
      <c r="J34" s="128" t="s">
        <v>547</v>
      </c>
      <c r="K34" s="128">
        <v>32259672</v>
      </c>
      <c r="L34" s="128" t="s">
        <v>720</v>
      </c>
      <c r="M34" s="128" t="s">
        <v>720</v>
      </c>
      <c r="N34" s="128" t="s">
        <v>605</v>
      </c>
      <c r="O34" s="145"/>
      <c r="P34" s="128" t="s">
        <v>718</v>
      </c>
      <c r="T34" s="128">
        <f>+VLOOKUP(K34,[2]DATOS!$N$1:$N$1259,1,FALSE)</f>
        <v>32259672</v>
      </c>
    </row>
    <row r="35" spans="1:20">
      <c r="A35" s="128" t="s">
        <v>710</v>
      </c>
      <c r="B35" s="128" t="s">
        <v>711</v>
      </c>
      <c r="C35" s="128" t="s">
        <v>275</v>
      </c>
      <c r="D35" s="128" t="s">
        <v>544</v>
      </c>
      <c r="E35" s="128" t="s">
        <v>274</v>
      </c>
      <c r="F35" s="128" t="s">
        <v>274</v>
      </c>
      <c r="G35" s="128" t="s">
        <v>721</v>
      </c>
      <c r="H35" s="128" t="s">
        <v>722</v>
      </c>
      <c r="I35" s="146" t="s">
        <v>1318</v>
      </c>
      <c r="J35" s="128" t="s">
        <v>559</v>
      </c>
      <c r="K35" s="128">
        <v>900623159</v>
      </c>
      <c r="L35" s="128" t="s">
        <v>723</v>
      </c>
      <c r="M35" s="128" t="s">
        <v>723</v>
      </c>
      <c r="N35" s="128" t="s">
        <v>605</v>
      </c>
      <c r="O35" s="145"/>
      <c r="P35" s="128" t="s">
        <v>721</v>
      </c>
      <c r="T35" s="128" t="e">
        <f>+VLOOKUP(K35,[2]DATOS!$N$1:$N$1259,1,FALSE)</f>
        <v>#N/A</v>
      </c>
    </row>
    <row r="36" spans="1:20">
      <c r="A36" s="128" t="s">
        <v>710</v>
      </c>
      <c r="B36" s="128" t="s">
        <v>711</v>
      </c>
      <c r="C36" s="128" t="s">
        <v>275</v>
      </c>
      <c r="D36" s="128" t="s">
        <v>544</v>
      </c>
      <c r="E36" s="128" t="s">
        <v>262</v>
      </c>
      <c r="F36" s="128" t="s">
        <v>724</v>
      </c>
      <c r="G36" s="128" t="s">
        <v>725</v>
      </c>
      <c r="H36" s="128" t="s">
        <v>726</v>
      </c>
      <c r="I36" s="146" t="s">
        <v>1319</v>
      </c>
      <c r="J36" s="128" t="s">
        <v>547</v>
      </c>
      <c r="K36" s="128">
        <v>8357438</v>
      </c>
      <c r="L36" s="128" t="s">
        <v>727</v>
      </c>
      <c r="M36" s="128" t="s">
        <v>728</v>
      </c>
      <c r="N36" s="128" t="s">
        <v>729</v>
      </c>
      <c r="O36" s="145"/>
      <c r="P36" s="128" t="s">
        <v>725</v>
      </c>
      <c r="T36" s="128">
        <f>+VLOOKUP(K36,[2]DATOS!$N$1:$N$1259,1,FALSE)</f>
        <v>8357438</v>
      </c>
    </row>
    <row r="37" spans="1:20">
      <c r="A37" s="128" t="s">
        <v>710</v>
      </c>
      <c r="B37" s="128" t="s">
        <v>711</v>
      </c>
      <c r="C37" s="128" t="s">
        <v>275</v>
      </c>
      <c r="D37" s="128" t="s">
        <v>544</v>
      </c>
      <c r="E37" s="128" t="s">
        <v>159</v>
      </c>
      <c r="F37" s="128" t="s">
        <v>159</v>
      </c>
      <c r="G37" s="128" t="s">
        <v>730</v>
      </c>
      <c r="H37" s="128" t="s">
        <v>731</v>
      </c>
      <c r="I37" s="146" t="s">
        <v>1320</v>
      </c>
      <c r="J37" s="128" t="s">
        <v>547</v>
      </c>
      <c r="K37" s="128">
        <v>900521663</v>
      </c>
      <c r="L37" s="128" t="s">
        <v>732</v>
      </c>
      <c r="M37" s="128" t="s">
        <v>732</v>
      </c>
      <c r="N37" s="128" t="s">
        <v>605</v>
      </c>
      <c r="O37" s="145"/>
      <c r="P37" s="128" t="s">
        <v>730</v>
      </c>
      <c r="T37" s="128" t="e">
        <f>+VLOOKUP(K37,[2]DATOS!$N$1:$N$1259,1,FALSE)</f>
        <v>#N/A</v>
      </c>
    </row>
    <row r="38" spans="1:20">
      <c r="A38" s="128" t="s">
        <v>710</v>
      </c>
      <c r="B38" s="128" t="s">
        <v>711</v>
      </c>
      <c r="C38" s="128" t="s">
        <v>275</v>
      </c>
      <c r="D38" s="128" t="s">
        <v>544</v>
      </c>
      <c r="E38" s="128" t="s">
        <v>163</v>
      </c>
      <c r="F38" s="128" t="s">
        <v>163</v>
      </c>
      <c r="G38" s="128" t="s">
        <v>733</v>
      </c>
      <c r="H38" s="128" t="s">
        <v>734</v>
      </c>
      <c r="I38" s="146" t="s">
        <v>1321</v>
      </c>
      <c r="J38" s="128" t="s">
        <v>547</v>
      </c>
      <c r="K38" s="128">
        <v>900086154</v>
      </c>
      <c r="L38" s="128" t="s">
        <v>735</v>
      </c>
      <c r="M38" s="128" t="s">
        <v>735</v>
      </c>
      <c r="N38" s="128" t="s">
        <v>605</v>
      </c>
      <c r="O38" s="145"/>
      <c r="P38" s="128" t="s">
        <v>733</v>
      </c>
      <c r="T38" s="128">
        <f>+VLOOKUP(K38,[2]DATOS!$N$1:$N$1259,1,FALSE)</f>
        <v>900086154</v>
      </c>
    </row>
    <row r="39" spans="1:20">
      <c r="A39" s="128" t="s">
        <v>710</v>
      </c>
      <c r="B39" s="128" t="s">
        <v>711</v>
      </c>
      <c r="C39" s="128" t="s">
        <v>275</v>
      </c>
      <c r="D39" s="128" t="s">
        <v>544</v>
      </c>
      <c r="E39" s="128" t="s">
        <v>163</v>
      </c>
      <c r="F39" s="128" t="s">
        <v>163</v>
      </c>
      <c r="G39" s="128" t="s">
        <v>733</v>
      </c>
      <c r="H39" s="128" t="s">
        <v>734</v>
      </c>
      <c r="I39" s="146" t="s">
        <v>1321</v>
      </c>
      <c r="J39" s="128" t="s">
        <v>547</v>
      </c>
      <c r="K39" s="128">
        <v>900086154</v>
      </c>
      <c r="L39" s="128" t="s">
        <v>736</v>
      </c>
      <c r="M39" s="128" t="s">
        <v>736</v>
      </c>
      <c r="N39" s="128" t="s">
        <v>605</v>
      </c>
      <c r="O39" s="145"/>
      <c r="P39" s="128" t="s">
        <v>733</v>
      </c>
      <c r="T39" s="128">
        <f>+VLOOKUP(K39,[2]DATOS!$N$1:$N$1259,1,FALSE)</f>
        <v>900086154</v>
      </c>
    </row>
    <row r="40" spans="1:20">
      <c r="A40" s="128" t="s">
        <v>710</v>
      </c>
      <c r="B40" s="128" t="s">
        <v>711</v>
      </c>
      <c r="C40" s="128" t="s">
        <v>275</v>
      </c>
      <c r="D40" s="128" t="s">
        <v>544</v>
      </c>
      <c r="E40" s="128" t="s">
        <v>244</v>
      </c>
      <c r="F40" s="128" t="s">
        <v>244</v>
      </c>
      <c r="G40" s="128" t="s">
        <v>737</v>
      </c>
      <c r="H40" s="128" t="s">
        <v>738</v>
      </c>
      <c r="I40" s="146" t="s">
        <v>1322</v>
      </c>
      <c r="J40" s="128" t="s">
        <v>559</v>
      </c>
      <c r="K40" s="128">
        <v>900502698</v>
      </c>
      <c r="L40" s="128" t="s">
        <v>739</v>
      </c>
      <c r="M40" s="128" t="s">
        <v>739</v>
      </c>
      <c r="N40" s="128" t="s">
        <v>740</v>
      </c>
      <c r="O40" s="145"/>
      <c r="P40" s="128" t="s">
        <v>737</v>
      </c>
      <c r="T40" s="128">
        <f>+VLOOKUP(K40,[2]DATOS!$N$1:$N$1259,1,FALSE)</f>
        <v>900502698</v>
      </c>
    </row>
    <row r="41" spans="1:20">
      <c r="A41" s="128" t="s">
        <v>710</v>
      </c>
      <c r="B41" s="128" t="s">
        <v>711</v>
      </c>
      <c r="C41" s="128" t="s">
        <v>275</v>
      </c>
      <c r="D41" s="128" t="s">
        <v>544</v>
      </c>
      <c r="E41" s="128" t="s">
        <v>244</v>
      </c>
      <c r="F41" s="128" t="s">
        <v>244</v>
      </c>
      <c r="G41" s="128" t="s">
        <v>737</v>
      </c>
      <c r="H41" s="128" t="s">
        <v>738</v>
      </c>
      <c r="I41" s="146" t="s">
        <v>1322</v>
      </c>
      <c r="J41" s="128" t="s">
        <v>559</v>
      </c>
      <c r="K41" s="128">
        <v>900502698</v>
      </c>
      <c r="L41" s="128" t="s">
        <v>739</v>
      </c>
      <c r="M41" s="128" t="s">
        <v>739</v>
      </c>
      <c r="N41" s="128" t="s">
        <v>740</v>
      </c>
      <c r="O41" s="145"/>
      <c r="P41" s="128" t="s">
        <v>737</v>
      </c>
      <c r="T41" s="128">
        <f>+VLOOKUP(K41,[2]DATOS!$N$1:$N$1259,1,FALSE)</f>
        <v>900502698</v>
      </c>
    </row>
    <row r="42" spans="1:20">
      <c r="A42" s="128" t="s">
        <v>710</v>
      </c>
      <c r="B42" s="128" t="s">
        <v>711</v>
      </c>
      <c r="C42" s="128" t="s">
        <v>275</v>
      </c>
      <c r="D42" s="128" t="s">
        <v>544</v>
      </c>
      <c r="E42" s="128" t="s">
        <v>241</v>
      </c>
      <c r="F42" s="128" t="s">
        <v>241</v>
      </c>
      <c r="G42" s="128" t="s">
        <v>742</v>
      </c>
      <c r="H42" s="128" t="s">
        <v>743</v>
      </c>
      <c r="I42" s="146" t="s">
        <v>1323</v>
      </c>
      <c r="J42" s="128" t="s">
        <v>547</v>
      </c>
      <c r="K42" s="128">
        <v>900573176</v>
      </c>
      <c r="L42" s="128" t="s">
        <v>744</v>
      </c>
      <c r="M42" s="128" t="s">
        <v>744</v>
      </c>
      <c r="N42" s="128" t="s">
        <v>740</v>
      </c>
      <c r="O42" s="145"/>
      <c r="P42" s="128" t="s">
        <v>745</v>
      </c>
      <c r="T42" s="128">
        <f>+VLOOKUP(K42,[2]DATOS!$N$1:$N$1259,1,FALSE)</f>
        <v>900573176</v>
      </c>
    </row>
    <row r="43" spans="1:20">
      <c r="A43" s="128" t="s">
        <v>710</v>
      </c>
      <c r="B43" s="128" t="s">
        <v>711</v>
      </c>
      <c r="C43" s="128" t="s">
        <v>275</v>
      </c>
      <c r="D43" s="128" t="s">
        <v>544</v>
      </c>
      <c r="E43" s="128" t="s">
        <v>746</v>
      </c>
      <c r="F43" s="128" t="s">
        <v>746</v>
      </c>
      <c r="G43" s="128" t="s">
        <v>747</v>
      </c>
      <c r="H43" s="128" t="s">
        <v>748</v>
      </c>
      <c r="I43" s="146" t="s">
        <v>1324</v>
      </c>
      <c r="J43" s="128" t="s">
        <v>547</v>
      </c>
      <c r="K43" s="128">
        <v>900086472</v>
      </c>
      <c r="L43" s="128" t="s">
        <v>749</v>
      </c>
      <c r="M43" s="128" t="s">
        <v>749</v>
      </c>
      <c r="N43" s="128" t="s">
        <v>740</v>
      </c>
      <c r="O43" s="145"/>
      <c r="P43" s="128" t="s">
        <v>750</v>
      </c>
      <c r="T43" s="128">
        <f>+VLOOKUP(K43,[2]DATOS!$N$1:$N$1259,1,FALSE)</f>
        <v>900086472</v>
      </c>
    </row>
    <row r="44" spans="1:20" ht="51.75">
      <c r="A44" s="128" t="s">
        <v>710</v>
      </c>
      <c r="B44" s="128" t="s">
        <v>711</v>
      </c>
      <c r="C44" s="128" t="s">
        <v>275</v>
      </c>
      <c r="D44" s="128" t="s">
        <v>544</v>
      </c>
      <c r="E44" s="128" t="s">
        <v>239</v>
      </c>
      <c r="F44" s="128" t="s">
        <v>239</v>
      </c>
      <c r="G44" s="128" t="s">
        <v>751</v>
      </c>
      <c r="H44" s="128" t="s">
        <v>752</v>
      </c>
      <c r="I44" s="145" t="s">
        <v>1325</v>
      </c>
      <c r="J44" s="128" t="s">
        <v>559</v>
      </c>
      <c r="K44" s="128">
        <v>900060537</v>
      </c>
      <c r="L44" s="128" t="s">
        <v>753</v>
      </c>
      <c r="M44" s="128" t="s">
        <v>753</v>
      </c>
      <c r="N44" s="128" t="s">
        <v>741</v>
      </c>
      <c r="O44" s="145"/>
      <c r="P44" s="128" t="s">
        <v>754</v>
      </c>
      <c r="T44" s="128">
        <f>+VLOOKUP(K44,[2]DATOS!$N$1:$N$1259,1,FALSE)</f>
        <v>900060537</v>
      </c>
    </row>
    <row r="45" spans="1:20">
      <c r="A45" s="128" t="s">
        <v>710</v>
      </c>
      <c r="B45" s="128" t="s">
        <v>711</v>
      </c>
      <c r="C45" s="128" t="s">
        <v>275</v>
      </c>
      <c r="D45" s="128" t="s">
        <v>544</v>
      </c>
      <c r="E45" s="128" t="s">
        <v>755</v>
      </c>
      <c r="F45" s="128" t="s">
        <v>756</v>
      </c>
      <c r="G45" s="128" t="s">
        <v>757</v>
      </c>
      <c r="H45" s="128" t="s">
        <v>758</v>
      </c>
      <c r="I45" s="146" t="s">
        <v>1326</v>
      </c>
      <c r="J45" s="128" t="s">
        <v>547</v>
      </c>
      <c r="K45" s="128">
        <v>1042768777</v>
      </c>
      <c r="L45" s="128" t="s">
        <v>759</v>
      </c>
      <c r="M45" s="128" t="s">
        <v>759</v>
      </c>
      <c r="N45" s="128" t="s">
        <v>605</v>
      </c>
      <c r="O45" s="145"/>
      <c r="P45" s="128" t="s">
        <v>757</v>
      </c>
      <c r="T45" s="128">
        <f>+VLOOKUP(K45,[2]DATOS!$N$1:$N$1259,1,FALSE)</f>
        <v>1042768777</v>
      </c>
    </row>
    <row r="46" spans="1:20">
      <c r="A46" s="128" t="s">
        <v>710</v>
      </c>
      <c r="B46" s="128" t="s">
        <v>711</v>
      </c>
      <c r="C46" s="128" t="s">
        <v>275</v>
      </c>
      <c r="D46" s="128" t="s">
        <v>544</v>
      </c>
      <c r="E46" s="128" t="s">
        <v>93</v>
      </c>
      <c r="F46" s="128" t="s">
        <v>93</v>
      </c>
      <c r="G46" s="128" t="s">
        <v>760</v>
      </c>
      <c r="H46" s="128" t="s">
        <v>761</v>
      </c>
      <c r="I46" s="146" t="s">
        <v>1327</v>
      </c>
      <c r="J46" s="128" t="s">
        <v>559</v>
      </c>
      <c r="K46" s="128">
        <v>812004443</v>
      </c>
      <c r="L46" s="128" t="s">
        <v>767</v>
      </c>
      <c r="M46" s="128" t="s">
        <v>767</v>
      </c>
      <c r="N46" s="128" t="s">
        <v>768</v>
      </c>
      <c r="O46" s="145"/>
      <c r="P46" s="128" t="s">
        <v>763</v>
      </c>
      <c r="T46" s="128">
        <f>+VLOOKUP(K46,[2]DATOS!$N$1:$N$1259,1,FALSE)</f>
        <v>812004443</v>
      </c>
    </row>
    <row r="47" spans="1:20">
      <c r="A47" s="128" t="s">
        <v>710</v>
      </c>
      <c r="B47" s="128" t="s">
        <v>711</v>
      </c>
      <c r="C47" s="128" t="s">
        <v>275</v>
      </c>
      <c r="D47" s="128" t="s">
        <v>544</v>
      </c>
      <c r="E47" s="128" t="s">
        <v>144</v>
      </c>
      <c r="F47" s="128" t="s">
        <v>144</v>
      </c>
      <c r="G47" s="128" t="s">
        <v>769</v>
      </c>
      <c r="H47" s="128" t="s">
        <v>770</v>
      </c>
      <c r="I47" s="146" t="s">
        <v>1328</v>
      </c>
      <c r="J47" s="128" t="s">
        <v>547</v>
      </c>
      <c r="K47" s="128">
        <v>900345712</v>
      </c>
      <c r="L47" s="128" t="s">
        <v>771</v>
      </c>
      <c r="M47" s="128" t="s">
        <v>771</v>
      </c>
      <c r="N47" s="128" t="s">
        <v>740</v>
      </c>
      <c r="O47" s="145"/>
      <c r="P47" s="128" t="s">
        <v>772</v>
      </c>
      <c r="T47" s="128">
        <f>+VLOOKUP(K47,[2]DATOS!$N$1:$N$1259,1,FALSE)</f>
        <v>900345712</v>
      </c>
    </row>
    <row r="48" spans="1:20">
      <c r="A48" s="128" t="s">
        <v>710</v>
      </c>
      <c r="B48" s="128" t="s">
        <v>711</v>
      </c>
      <c r="C48" s="128" t="s">
        <v>275</v>
      </c>
      <c r="D48" s="128" t="s">
        <v>544</v>
      </c>
      <c r="E48" s="128" t="s">
        <v>144</v>
      </c>
      <c r="F48" s="128" t="s">
        <v>144</v>
      </c>
      <c r="G48" s="128" t="s">
        <v>769</v>
      </c>
      <c r="H48" s="128" t="s">
        <v>770</v>
      </c>
      <c r="I48" s="146" t="s">
        <v>1328</v>
      </c>
      <c r="J48" s="128" t="s">
        <v>559</v>
      </c>
      <c r="K48" s="128">
        <v>900345712</v>
      </c>
      <c r="L48" s="128" t="s">
        <v>773</v>
      </c>
      <c r="M48" s="128" t="s">
        <v>773</v>
      </c>
      <c r="N48" s="128" t="s">
        <v>765</v>
      </c>
      <c r="O48" s="145"/>
      <c r="P48" s="128" t="s">
        <v>774</v>
      </c>
      <c r="T48" s="128">
        <f>+VLOOKUP(K48,[2]DATOS!$N$1:$N$1259,1,FALSE)</f>
        <v>900345712</v>
      </c>
    </row>
    <row r="49" spans="1:20">
      <c r="A49" s="128" t="s">
        <v>710</v>
      </c>
      <c r="B49" s="128" t="s">
        <v>711</v>
      </c>
      <c r="C49" s="128" t="s">
        <v>275</v>
      </c>
      <c r="D49" s="128" t="s">
        <v>544</v>
      </c>
      <c r="E49" s="128" t="s">
        <v>169</v>
      </c>
      <c r="F49" s="128" t="s">
        <v>169</v>
      </c>
      <c r="G49" s="128" t="s">
        <v>775</v>
      </c>
      <c r="H49" s="128" t="s">
        <v>776</v>
      </c>
      <c r="I49" s="146" t="s">
        <v>1329</v>
      </c>
      <c r="J49" s="128" t="s">
        <v>547</v>
      </c>
      <c r="K49" s="128">
        <v>900314554</v>
      </c>
      <c r="L49" s="128" t="s">
        <v>777</v>
      </c>
      <c r="M49" s="128" t="s">
        <v>777</v>
      </c>
      <c r="N49" s="128" t="s">
        <v>605</v>
      </c>
      <c r="O49" s="145"/>
      <c r="P49" s="128" t="s">
        <v>778</v>
      </c>
      <c r="T49" s="128">
        <f>+VLOOKUP(K49,[2]DATOS!$N$1:$N$1259,1,FALSE)</f>
        <v>900314554</v>
      </c>
    </row>
    <row r="50" spans="1:20">
      <c r="A50" s="128" t="s">
        <v>710</v>
      </c>
      <c r="B50" s="128" t="s">
        <v>711</v>
      </c>
      <c r="C50" s="128" t="s">
        <v>275</v>
      </c>
      <c r="D50" s="128" t="s">
        <v>544</v>
      </c>
      <c r="E50" s="128" t="s">
        <v>779</v>
      </c>
      <c r="F50" s="128" t="s">
        <v>780</v>
      </c>
      <c r="G50" s="128" t="s">
        <v>781</v>
      </c>
      <c r="H50" s="128">
        <v>3206971621</v>
      </c>
      <c r="I50" s="146" t="s">
        <v>1330</v>
      </c>
      <c r="J50" s="128" t="s">
        <v>547</v>
      </c>
      <c r="K50" s="128">
        <v>1046902802</v>
      </c>
      <c r="L50" s="128" t="s">
        <v>782</v>
      </c>
      <c r="M50" s="128" t="s">
        <v>782</v>
      </c>
      <c r="N50" s="128" t="s">
        <v>605</v>
      </c>
      <c r="O50" s="145"/>
      <c r="P50" s="128" t="s">
        <v>781</v>
      </c>
      <c r="T50" s="128">
        <f>+VLOOKUP(K50,[2]DATOS!$N$1:$N$1259,1,FALSE)</f>
        <v>1046902802</v>
      </c>
    </row>
    <row r="51" spans="1:20">
      <c r="A51" s="128" t="s">
        <v>710</v>
      </c>
      <c r="B51" s="128" t="s">
        <v>711</v>
      </c>
      <c r="C51" s="128" t="s">
        <v>275</v>
      </c>
      <c r="D51" s="128" t="s">
        <v>544</v>
      </c>
      <c r="E51" s="128" t="s">
        <v>315</v>
      </c>
      <c r="F51" s="128" t="s">
        <v>783</v>
      </c>
      <c r="G51" s="128" t="s">
        <v>784</v>
      </c>
      <c r="H51" s="128" t="s">
        <v>785</v>
      </c>
      <c r="I51" s="146" t="s">
        <v>1331</v>
      </c>
      <c r="J51" s="128" t="s">
        <v>547</v>
      </c>
      <c r="K51" s="128">
        <v>10896832</v>
      </c>
      <c r="L51" s="128" t="s">
        <v>786</v>
      </c>
      <c r="M51" s="128" t="s">
        <v>786</v>
      </c>
      <c r="N51" s="128" t="s">
        <v>740</v>
      </c>
      <c r="O51" s="145"/>
      <c r="P51" s="128" t="s">
        <v>784</v>
      </c>
      <c r="T51" s="128">
        <f>+VLOOKUP(K51,[2]DATOS!$N$1:$N$1259,1,FALSE)</f>
        <v>10896832</v>
      </c>
    </row>
    <row r="52" spans="1:20">
      <c r="A52" s="128" t="s">
        <v>710</v>
      </c>
      <c r="B52" s="128" t="s">
        <v>711</v>
      </c>
      <c r="C52" s="128" t="s">
        <v>275</v>
      </c>
      <c r="D52" s="128" t="s">
        <v>544</v>
      </c>
      <c r="E52" s="128" t="s">
        <v>330</v>
      </c>
      <c r="F52" s="128" t="s">
        <v>330</v>
      </c>
      <c r="G52" s="128" t="s">
        <v>787</v>
      </c>
      <c r="H52" s="128" t="s">
        <v>788</v>
      </c>
      <c r="I52" s="146" t="s">
        <v>1332</v>
      </c>
      <c r="J52" s="128" t="s">
        <v>559</v>
      </c>
      <c r="K52" s="128">
        <v>830503254</v>
      </c>
      <c r="L52" s="128" t="s">
        <v>789</v>
      </c>
      <c r="M52" s="128" t="s">
        <v>789</v>
      </c>
      <c r="N52" s="128" t="s">
        <v>605</v>
      </c>
      <c r="O52" s="145"/>
      <c r="P52" s="128" t="s">
        <v>787</v>
      </c>
      <c r="T52" s="128" t="e">
        <f>+VLOOKUP(K52,[2]DATOS!$N$1:$N$1259,1,FALSE)</f>
        <v>#N/A</v>
      </c>
    </row>
    <row r="53" spans="1:20">
      <c r="A53" s="128" t="s">
        <v>710</v>
      </c>
      <c r="B53" s="128" t="s">
        <v>711</v>
      </c>
      <c r="C53" s="128" t="s">
        <v>275</v>
      </c>
      <c r="D53" s="128" t="s">
        <v>544</v>
      </c>
      <c r="E53" s="128" t="s">
        <v>790</v>
      </c>
      <c r="F53" s="128" t="s">
        <v>791</v>
      </c>
      <c r="G53" s="128" t="s">
        <v>792</v>
      </c>
      <c r="H53" s="128" t="s">
        <v>793</v>
      </c>
      <c r="I53" s="128" t="s">
        <v>1333</v>
      </c>
      <c r="J53" s="128" t="s">
        <v>547</v>
      </c>
      <c r="K53" s="128">
        <v>14243043</v>
      </c>
      <c r="L53" s="128" t="s">
        <v>794</v>
      </c>
      <c r="M53" s="128" t="s">
        <v>794</v>
      </c>
      <c r="N53" s="128" t="s">
        <v>729</v>
      </c>
      <c r="O53" s="145"/>
      <c r="P53" s="128" t="s">
        <v>795</v>
      </c>
      <c r="T53" s="128" t="e">
        <f>+VLOOKUP(K53,[2]DATOS!$N$1:$N$1259,1,FALSE)</f>
        <v>#N/A</v>
      </c>
    </row>
    <row r="54" spans="1:20">
      <c r="A54" s="128" t="s">
        <v>710</v>
      </c>
      <c r="B54" s="128" t="s">
        <v>711</v>
      </c>
      <c r="C54" s="128" t="s">
        <v>275</v>
      </c>
      <c r="D54" s="128" t="s">
        <v>544</v>
      </c>
      <c r="E54" s="128" t="s">
        <v>246</v>
      </c>
      <c r="F54" s="128" t="s">
        <v>246</v>
      </c>
      <c r="G54" s="128" t="s">
        <v>796</v>
      </c>
      <c r="H54" s="128" t="s">
        <v>797</v>
      </c>
      <c r="I54" s="146" t="s">
        <v>1334</v>
      </c>
      <c r="J54" s="128" t="s">
        <v>559</v>
      </c>
      <c r="K54" s="128">
        <v>900473906</v>
      </c>
      <c r="L54" s="128" t="s">
        <v>798</v>
      </c>
      <c r="M54" s="128" t="s">
        <v>798</v>
      </c>
      <c r="N54" s="128" t="s">
        <v>799</v>
      </c>
      <c r="O54" s="145"/>
      <c r="P54" s="128" t="s">
        <v>800</v>
      </c>
      <c r="T54" s="128">
        <f>+VLOOKUP(K54,[2]DATOS!$N$1:$N$1259,1,FALSE)</f>
        <v>900473906</v>
      </c>
    </row>
    <row r="55" spans="1:20">
      <c r="A55" s="128" t="s">
        <v>710</v>
      </c>
      <c r="B55" s="128" t="s">
        <v>711</v>
      </c>
      <c r="C55" s="128" t="s">
        <v>275</v>
      </c>
      <c r="D55" s="128" t="s">
        <v>544</v>
      </c>
      <c r="E55" s="128" t="s">
        <v>402</v>
      </c>
      <c r="F55" s="128" t="s">
        <v>801</v>
      </c>
      <c r="G55" s="128" t="s">
        <v>802</v>
      </c>
      <c r="H55" s="128" t="s">
        <v>803</v>
      </c>
      <c r="I55" s="146" t="s">
        <v>1335</v>
      </c>
      <c r="J55" s="128" t="s">
        <v>547</v>
      </c>
      <c r="K55" s="128">
        <v>900810098</v>
      </c>
      <c r="L55" s="128" t="s">
        <v>804</v>
      </c>
      <c r="M55" s="128" t="s">
        <v>804</v>
      </c>
      <c r="N55" s="128" t="s">
        <v>605</v>
      </c>
      <c r="O55" s="145"/>
      <c r="P55" s="128" t="s">
        <v>805</v>
      </c>
      <c r="T55" s="128">
        <f>+VLOOKUP(K55,[2]DATOS!$N$1:$N$1259,1,FALSE)</f>
        <v>900810098</v>
      </c>
    </row>
    <row r="56" spans="1:20">
      <c r="A56" s="128" t="s">
        <v>710</v>
      </c>
      <c r="B56" s="128" t="s">
        <v>711</v>
      </c>
      <c r="C56" s="128" t="s">
        <v>275</v>
      </c>
      <c r="D56" s="128" t="s">
        <v>544</v>
      </c>
      <c r="E56" s="128" t="s">
        <v>267</v>
      </c>
      <c r="F56" s="128" t="s">
        <v>806</v>
      </c>
      <c r="G56" s="128" t="s">
        <v>807</v>
      </c>
      <c r="H56" s="128" t="s">
        <v>808</v>
      </c>
      <c r="I56" s="146" t="s">
        <v>1336</v>
      </c>
      <c r="J56" s="128" t="s">
        <v>547</v>
      </c>
      <c r="K56" s="128">
        <v>900012357</v>
      </c>
      <c r="L56" s="128" t="s">
        <v>809</v>
      </c>
      <c r="M56" s="128" t="s">
        <v>809</v>
      </c>
      <c r="N56" s="128" t="s">
        <v>605</v>
      </c>
      <c r="O56" s="145"/>
      <c r="P56" s="128" t="s">
        <v>810</v>
      </c>
      <c r="T56" s="128" t="e">
        <f>+VLOOKUP(K56,[2]DATOS!$N$1:$N$1259,1,FALSE)</f>
        <v>#N/A</v>
      </c>
    </row>
    <row r="57" spans="1:20">
      <c r="A57" s="128" t="s">
        <v>710</v>
      </c>
      <c r="B57" s="128" t="s">
        <v>711</v>
      </c>
      <c r="C57" s="128" t="s">
        <v>275</v>
      </c>
      <c r="D57" s="128" t="s">
        <v>544</v>
      </c>
      <c r="E57" s="128" t="s">
        <v>165</v>
      </c>
      <c r="F57" s="128" t="s">
        <v>165</v>
      </c>
      <c r="G57" s="128" t="s">
        <v>811</v>
      </c>
      <c r="I57" s="146" t="s">
        <v>1337</v>
      </c>
      <c r="J57" s="128" t="s">
        <v>559</v>
      </c>
      <c r="K57" s="128">
        <v>900228870</v>
      </c>
      <c r="L57" s="128" t="s">
        <v>813</v>
      </c>
      <c r="M57" s="128" t="s">
        <v>813</v>
      </c>
      <c r="N57" s="128" t="s">
        <v>605</v>
      </c>
      <c r="O57" s="145"/>
      <c r="P57" s="128" t="s">
        <v>812</v>
      </c>
      <c r="T57" s="128">
        <f>+VLOOKUP(K57,[2]DATOS!$N$1:$N$1259,1,FALSE)</f>
        <v>900228870</v>
      </c>
    </row>
    <row r="58" spans="1:20">
      <c r="A58" s="128" t="s">
        <v>710</v>
      </c>
      <c r="B58" s="128" t="s">
        <v>711</v>
      </c>
      <c r="C58" s="128" t="s">
        <v>275</v>
      </c>
      <c r="D58" s="128" t="s">
        <v>544</v>
      </c>
      <c r="E58" s="128" t="s">
        <v>156</v>
      </c>
      <c r="F58" s="128" t="s">
        <v>156</v>
      </c>
      <c r="G58" s="128" t="s">
        <v>814</v>
      </c>
      <c r="H58" s="128" t="s">
        <v>815</v>
      </c>
      <c r="I58" s="146" t="s">
        <v>1338</v>
      </c>
      <c r="J58" s="128" t="s">
        <v>559</v>
      </c>
      <c r="K58" s="128">
        <v>900593566</v>
      </c>
      <c r="L58" s="128" t="s">
        <v>766</v>
      </c>
      <c r="M58" s="128" t="s">
        <v>766</v>
      </c>
      <c r="N58" s="128" t="s">
        <v>605</v>
      </c>
      <c r="O58" s="145"/>
      <c r="P58" s="128" t="s">
        <v>816</v>
      </c>
      <c r="T58" s="128">
        <f>+VLOOKUP(K58,[2]DATOS!$N$1:$N$1259,1,FALSE)</f>
        <v>900593566</v>
      </c>
    </row>
    <row r="59" spans="1:20">
      <c r="A59" s="128" t="s">
        <v>710</v>
      </c>
      <c r="B59" s="128" t="s">
        <v>711</v>
      </c>
      <c r="C59" s="128" t="s">
        <v>275</v>
      </c>
      <c r="D59" s="128" t="s">
        <v>615</v>
      </c>
      <c r="E59" s="128" t="s">
        <v>199</v>
      </c>
      <c r="F59" s="128" t="s">
        <v>199</v>
      </c>
      <c r="G59" s="128" t="s">
        <v>817</v>
      </c>
      <c r="H59" s="128" t="s">
        <v>818</v>
      </c>
      <c r="I59" s="146" t="s">
        <v>1339</v>
      </c>
      <c r="J59" s="128" t="s">
        <v>383</v>
      </c>
      <c r="K59" s="128">
        <v>900861288</v>
      </c>
      <c r="L59" s="128" t="s">
        <v>819</v>
      </c>
      <c r="M59" s="128" t="s">
        <v>819</v>
      </c>
      <c r="N59" s="128" t="s">
        <v>768</v>
      </c>
      <c r="O59" s="145"/>
      <c r="P59" s="128" t="s">
        <v>820</v>
      </c>
      <c r="T59" s="128">
        <f>+VLOOKUP(K59,[2]DATOS!$N$1:$N$1259,1,FALSE)</f>
        <v>900861288</v>
      </c>
    </row>
    <row r="60" spans="1:20">
      <c r="A60" s="128" t="s">
        <v>710</v>
      </c>
      <c r="B60" s="128" t="s">
        <v>711</v>
      </c>
      <c r="C60" s="128" t="s">
        <v>275</v>
      </c>
      <c r="D60" s="128" t="s">
        <v>615</v>
      </c>
      <c r="E60" s="128" t="s">
        <v>821</v>
      </c>
      <c r="F60" s="128" t="s">
        <v>822</v>
      </c>
      <c r="G60" s="128" t="s">
        <v>823</v>
      </c>
      <c r="H60" s="128">
        <v>3135744136</v>
      </c>
      <c r="I60" s="146" t="s">
        <v>1340</v>
      </c>
      <c r="J60" s="128" t="s">
        <v>559</v>
      </c>
      <c r="K60" s="128">
        <v>66842718</v>
      </c>
      <c r="L60" s="128" t="s">
        <v>824</v>
      </c>
      <c r="M60" s="128" t="s">
        <v>824</v>
      </c>
      <c r="N60" s="128" t="s">
        <v>765</v>
      </c>
      <c r="O60" s="145"/>
      <c r="P60" s="128" t="s">
        <v>823</v>
      </c>
      <c r="T60" s="128">
        <f>+VLOOKUP(K60,[2]DATOS!$N$1:$N$1259,1,FALSE)</f>
        <v>66842718</v>
      </c>
    </row>
    <row r="61" spans="1:20">
      <c r="A61" s="128" t="s">
        <v>710</v>
      </c>
      <c r="B61" s="128" t="s">
        <v>711</v>
      </c>
      <c r="C61" s="128" t="s">
        <v>275</v>
      </c>
      <c r="D61" s="128" t="s">
        <v>615</v>
      </c>
      <c r="E61" s="128" t="s">
        <v>200</v>
      </c>
      <c r="F61" s="128" t="s">
        <v>825</v>
      </c>
      <c r="G61" s="128" t="s">
        <v>826</v>
      </c>
      <c r="H61" s="128" t="s">
        <v>827</v>
      </c>
      <c r="I61" s="146" t="s">
        <v>1341</v>
      </c>
      <c r="J61" s="128" t="s">
        <v>547</v>
      </c>
      <c r="K61" s="128">
        <v>73020742</v>
      </c>
      <c r="L61" s="128" t="s">
        <v>828</v>
      </c>
      <c r="M61" s="128" t="s">
        <v>828</v>
      </c>
      <c r="N61" s="128" t="s">
        <v>768</v>
      </c>
      <c r="O61" s="145"/>
      <c r="P61" s="128" t="s">
        <v>829</v>
      </c>
      <c r="T61" s="128">
        <f>+VLOOKUP(K61,[2]DATOS!$N$1:$N$1259,1,FALSE)</f>
        <v>73020742</v>
      </c>
    </row>
    <row r="62" spans="1:20">
      <c r="A62" s="128" t="s">
        <v>710</v>
      </c>
      <c r="B62" s="128" t="s">
        <v>711</v>
      </c>
      <c r="C62" s="128" t="s">
        <v>275</v>
      </c>
      <c r="D62" s="128" t="s">
        <v>615</v>
      </c>
      <c r="E62" s="128" t="s">
        <v>182</v>
      </c>
      <c r="F62" s="128" t="s">
        <v>830</v>
      </c>
      <c r="G62" s="128" t="s">
        <v>831</v>
      </c>
      <c r="H62" s="128" t="s">
        <v>832</v>
      </c>
      <c r="I62" s="146" t="s">
        <v>1342</v>
      </c>
      <c r="J62" s="128" t="s">
        <v>547</v>
      </c>
      <c r="K62" s="128">
        <v>802016654</v>
      </c>
      <c r="L62" s="128" t="s">
        <v>833</v>
      </c>
      <c r="M62" s="128" t="s">
        <v>833</v>
      </c>
      <c r="N62" s="128" t="s">
        <v>834</v>
      </c>
      <c r="O62" s="145"/>
      <c r="P62" s="128" t="s">
        <v>835</v>
      </c>
      <c r="T62" s="128">
        <f>+VLOOKUP(K62,[2]DATOS!$N$1:$N$1259,1,FALSE)</f>
        <v>802016654</v>
      </c>
    </row>
    <row r="63" spans="1:20">
      <c r="A63" s="128" t="s">
        <v>710</v>
      </c>
      <c r="B63" s="128" t="s">
        <v>711</v>
      </c>
      <c r="C63" s="128" t="s">
        <v>275</v>
      </c>
      <c r="D63" s="128" t="s">
        <v>615</v>
      </c>
      <c r="E63" s="128" t="s">
        <v>146</v>
      </c>
      <c r="F63" s="128" t="s">
        <v>836</v>
      </c>
      <c r="G63" s="128" t="s">
        <v>837</v>
      </c>
      <c r="H63" s="128" t="s">
        <v>838</v>
      </c>
      <c r="I63" s="146" t="s">
        <v>1341</v>
      </c>
      <c r="J63" s="128" t="s">
        <v>547</v>
      </c>
      <c r="K63" s="128">
        <v>10886574</v>
      </c>
      <c r="L63" s="128" t="s">
        <v>839</v>
      </c>
      <c r="M63" s="128" t="s">
        <v>764</v>
      </c>
      <c r="N63" s="128" t="s">
        <v>765</v>
      </c>
      <c r="O63" s="145"/>
      <c r="P63" s="128" t="s">
        <v>840</v>
      </c>
      <c r="T63" s="128" t="e">
        <f>+VLOOKUP(K63,[2]DATOS!$N$1:$N$1259,1,FALSE)</f>
        <v>#N/A</v>
      </c>
    </row>
    <row r="64" spans="1:20">
      <c r="A64" s="128" t="s">
        <v>710</v>
      </c>
      <c r="B64" s="128" t="s">
        <v>841</v>
      </c>
      <c r="C64" s="128" t="s">
        <v>275</v>
      </c>
      <c r="D64" s="128" t="s">
        <v>615</v>
      </c>
      <c r="E64" s="128" t="s">
        <v>842</v>
      </c>
      <c r="F64" s="128" t="s">
        <v>842</v>
      </c>
      <c r="G64" s="128" t="s">
        <v>843</v>
      </c>
      <c r="H64" s="128" t="s">
        <v>848</v>
      </c>
      <c r="I64" s="146" t="s">
        <v>1343</v>
      </c>
      <c r="J64" s="128" t="s">
        <v>383</v>
      </c>
      <c r="K64" s="128">
        <v>891701917</v>
      </c>
      <c r="L64" s="128" t="s">
        <v>732</v>
      </c>
      <c r="M64" s="128" t="s">
        <v>732</v>
      </c>
      <c r="N64" s="128" t="s">
        <v>704</v>
      </c>
      <c r="O64" s="145"/>
      <c r="P64" s="128" t="s">
        <v>849</v>
      </c>
      <c r="T64" s="128">
        <f>+VLOOKUP(K64,[2]DATOS!$N$1:$N$1259,1,FALSE)</f>
        <v>891701917</v>
      </c>
    </row>
    <row r="65" spans="1:20">
      <c r="A65" s="128" t="s">
        <v>710</v>
      </c>
      <c r="B65" s="128" t="s">
        <v>841</v>
      </c>
      <c r="C65" s="128" t="s">
        <v>275</v>
      </c>
      <c r="D65" s="128" t="s">
        <v>615</v>
      </c>
      <c r="E65" s="128" t="s">
        <v>850</v>
      </c>
      <c r="F65" s="128" t="s">
        <v>851</v>
      </c>
      <c r="G65" s="128" t="s">
        <v>852</v>
      </c>
      <c r="H65" s="128" t="s">
        <v>853</v>
      </c>
      <c r="I65" s="128" t="s">
        <v>1411</v>
      </c>
      <c r="J65" s="128" t="s">
        <v>383</v>
      </c>
      <c r="K65" s="128">
        <v>819005629</v>
      </c>
      <c r="L65" s="128" t="s">
        <v>854</v>
      </c>
      <c r="M65" s="128" t="s">
        <v>854</v>
      </c>
      <c r="N65" s="128" t="s">
        <v>762</v>
      </c>
      <c r="O65" s="145"/>
      <c r="P65" s="128" t="s">
        <v>855</v>
      </c>
      <c r="T65" s="128" t="e">
        <f>+VLOOKUP(K65,[2]DATOS!$N$1:$N$1259,1,FALSE)</f>
        <v>#N/A</v>
      </c>
    </row>
    <row r="66" spans="1:20">
      <c r="A66" s="128" t="s">
        <v>710</v>
      </c>
      <c r="B66" s="128" t="s">
        <v>841</v>
      </c>
      <c r="C66" s="128" t="s">
        <v>275</v>
      </c>
      <c r="D66" s="128" t="s">
        <v>615</v>
      </c>
      <c r="E66" s="128" t="s">
        <v>303</v>
      </c>
      <c r="F66" s="128" t="s">
        <v>856</v>
      </c>
      <c r="G66" s="128" t="s">
        <v>857</v>
      </c>
      <c r="H66" s="128">
        <v>3117648646</v>
      </c>
      <c r="I66" s="128" t="s">
        <v>1344</v>
      </c>
      <c r="J66" s="128" t="s">
        <v>547</v>
      </c>
      <c r="K66" s="128">
        <v>800170496</v>
      </c>
      <c r="L66" s="128" t="s">
        <v>858</v>
      </c>
      <c r="M66" s="128" t="s">
        <v>859</v>
      </c>
      <c r="N66" s="128" t="s">
        <v>858</v>
      </c>
      <c r="O66" s="145"/>
      <c r="P66" s="128" t="s">
        <v>860</v>
      </c>
      <c r="T66" s="128" t="e">
        <f>+VLOOKUP(K66,[2]DATOS!$N$1:$N$1259,1,FALSE)</f>
        <v>#N/A</v>
      </c>
    </row>
    <row r="67" spans="1:20">
      <c r="A67" s="128" t="s">
        <v>710</v>
      </c>
      <c r="B67" s="128" t="s">
        <v>841</v>
      </c>
      <c r="C67" s="128" t="s">
        <v>275</v>
      </c>
      <c r="D67" s="128" t="s">
        <v>615</v>
      </c>
      <c r="E67" s="128" t="s">
        <v>97</v>
      </c>
      <c r="F67" s="128" t="s">
        <v>97</v>
      </c>
      <c r="G67" s="128" t="s">
        <v>861</v>
      </c>
      <c r="H67" s="128" t="s">
        <v>862</v>
      </c>
      <c r="I67" s="146" t="s">
        <v>1345</v>
      </c>
      <c r="J67" s="128" t="s">
        <v>383</v>
      </c>
      <c r="K67" s="128">
        <v>900266553</v>
      </c>
      <c r="L67" s="128" t="s">
        <v>863</v>
      </c>
      <c r="M67" s="128" t="s">
        <v>863</v>
      </c>
      <c r="N67" s="128" t="s">
        <v>864</v>
      </c>
      <c r="O67" s="145"/>
      <c r="P67" s="128" t="s">
        <v>865</v>
      </c>
      <c r="T67" s="128">
        <f>+VLOOKUP(K67,[2]DATOS!$N$1:$N$1259,1,FALSE)</f>
        <v>900266553</v>
      </c>
    </row>
    <row r="68" spans="1:20">
      <c r="A68" s="128" t="s">
        <v>710</v>
      </c>
      <c r="B68" s="128" t="s">
        <v>841</v>
      </c>
      <c r="C68" s="128" t="s">
        <v>275</v>
      </c>
      <c r="D68" s="128" t="s">
        <v>615</v>
      </c>
      <c r="E68" s="128" t="s">
        <v>97</v>
      </c>
      <c r="F68" s="128" t="s">
        <v>97</v>
      </c>
      <c r="G68" s="128" t="s">
        <v>861</v>
      </c>
      <c r="H68" s="128" t="s">
        <v>862</v>
      </c>
      <c r="I68" s="146" t="s">
        <v>1345</v>
      </c>
      <c r="J68" s="128" t="s">
        <v>559</v>
      </c>
      <c r="K68" s="128">
        <v>900266553</v>
      </c>
      <c r="L68" s="128" t="s">
        <v>866</v>
      </c>
      <c r="M68" s="128" t="s">
        <v>866</v>
      </c>
      <c r="N68" s="128" t="s">
        <v>762</v>
      </c>
      <c r="O68" s="145"/>
      <c r="P68" s="128" t="s">
        <v>865</v>
      </c>
      <c r="T68" s="128">
        <f>+VLOOKUP(K68,[2]DATOS!$N$1:$N$1259,1,FALSE)</f>
        <v>900266553</v>
      </c>
    </row>
    <row r="69" spans="1:20">
      <c r="A69" s="128" t="s">
        <v>710</v>
      </c>
      <c r="B69" s="128" t="s">
        <v>841</v>
      </c>
      <c r="C69" s="128" t="s">
        <v>275</v>
      </c>
      <c r="D69" s="128" t="s">
        <v>615</v>
      </c>
      <c r="E69" s="128" t="s">
        <v>180</v>
      </c>
      <c r="F69" s="128" t="s">
        <v>867</v>
      </c>
      <c r="G69" s="128" t="s">
        <v>868</v>
      </c>
      <c r="H69" s="128" t="s">
        <v>869</v>
      </c>
      <c r="I69" s="146" t="s">
        <v>1346</v>
      </c>
      <c r="J69" s="128" t="s">
        <v>383</v>
      </c>
      <c r="K69" s="128">
        <v>900648202</v>
      </c>
      <c r="L69" s="128" t="s">
        <v>871</v>
      </c>
      <c r="M69" s="128" t="s">
        <v>872</v>
      </c>
      <c r="N69" s="128" t="s">
        <v>834</v>
      </c>
      <c r="O69" s="145"/>
      <c r="P69" s="128" t="s">
        <v>870</v>
      </c>
      <c r="T69" s="128">
        <f>+VLOOKUP(K69,[2]DATOS!$N$1:$N$1259,1,FALSE)</f>
        <v>900648202</v>
      </c>
    </row>
    <row r="70" spans="1:20">
      <c r="A70" s="128" t="s">
        <v>710</v>
      </c>
      <c r="B70" s="128" t="s">
        <v>841</v>
      </c>
      <c r="C70" s="128" t="s">
        <v>275</v>
      </c>
      <c r="D70" s="128" t="s">
        <v>615</v>
      </c>
      <c r="E70" s="128" t="s">
        <v>873</v>
      </c>
      <c r="F70" s="128" t="s">
        <v>873</v>
      </c>
      <c r="G70" s="128" t="s">
        <v>874</v>
      </c>
      <c r="H70" s="128" t="s">
        <v>875</v>
      </c>
      <c r="I70" s="146" t="s">
        <v>1347</v>
      </c>
      <c r="J70" s="128" t="s">
        <v>559</v>
      </c>
      <c r="K70" s="128">
        <v>900547803</v>
      </c>
      <c r="L70" s="128" t="s">
        <v>877</v>
      </c>
      <c r="M70" s="128" t="s">
        <v>878</v>
      </c>
      <c r="N70" s="128" t="s">
        <v>847</v>
      </c>
      <c r="O70" s="145"/>
      <c r="P70" s="128" t="s">
        <v>876</v>
      </c>
      <c r="T70" s="128" t="e">
        <f>+VLOOKUP(K70,[2]DATOS!$N$1:$N$1259,1,FALSE)</f>
        <v>#N/A</v>
      </c>
    </row>
    <row r="71" spans="1:20">
      <c r="A71" s="128" t="s">
        <v>710</v>
      </c>
      <c r="B71" s="128" t="s">
        <v>841</v>
      </c>
      <c r="C71" s="128" t="s">
        <v>275</v>
      </c>
      <c r="D71" s="128" t="s">
        <v>615</v>
      </c>
      <c r="E71" s="128" t="s">
        <v>280</v>
      </c>
      <c r="F71" s="128" t="s">
        <v>280</v>
      </c>
      <c r="G71" s="128" t="s">
        <v>879</v>
      </c>
      <c r="H71" s="128" t="s">
        <v>880</v>
      </c>
      <c r="I71" s="146" t="s">
        <v>1348</v>
      </c>
      <c r="J71" s="128" t="s">
        <v>383</v>
      </c>
      <c r="K71" s="128">
        <v>900321039</v>
      </c>
      <c r="L71" s="128" t="s">
        <v>882</v>
      </c>
      <c r="M71" s="128" t="s">
        <v>883</v>
      </c>
      <c r="N71" s="128" t="s">
        <v>864</v>
      </c>
      <c r="O71" s="145"/>
      <c r="P71" s="128" t="s">
        <v>881</v>
      </c>
      <c r="T71" s="128" t="e">
        <f>+VLOOKUP(K71,[2]DATOS!$N$1:$N$1259,1,FALSE)</f>
        <v>#N/A</v>
      </c>
    </row>
    <row r="72" spans="1:20">
      <c r="A72" s="128" t="s">
        <v>710</v>
      </c>
      <c r="B72" s="128" t="s">
        <v>841</v>
      </c>
      <c r="C72" s="128" t="s">
        <v>275</v>
      </c>
      <c r="D72" s="128" t="s">
        <v>615</v>
      </c>
      <c r="E72" s="128" t="s">
        <v>197</v>
      </c>
      <c r="F72" s="128" t="s">
        <v>884</v>
      </c>
      <c r="G72" s="128" t="s">
        <v>885</v>
      </c>
      <c r="H72" s="128" t="s">
        <v>886</v>
      </c>
      <c r="I72" s="146" t="s">
        <v>1349</v>
      </c>
      <c r="J72" s="128" t="s">
        <v>547</v>
      </c>
      <c r="K72" s="128">
        <v>9261453</v>
      </c>
      <c r="L72" s="128" t="s">
        <v>854</v>
      </c>
      <c r="M72" s="128" t="s">
        <v>887</v>
      </c>
      <c r="N72" s="128" t="s">
        <v>768</v>
      </c>
      <c r="O72" s="145"/>
      <c r="P72" s="128" t="s">
        <v>888</v>
      </c>
      <c r="T72" s="128">
        <f>+VLOOKUP(K72,[2]DATOS!$N$1:$N$1259,1,FALSE)</f>
        <v>9261453</v>
      </c>
    </row>
    <row r="73" spans="1:20">
      <c r="A73" s="128" t="s">
        <v>710</v>
      </c>
      <c r="B73" s="128" t="s">
        <v>841</v>
      </c>
      <c r="C73" s="128" t="s">
        <v>275</v>
      </c>
      <c r="D73" s="128" t="s">
        <v>615</v>
      </c>
      <c r="E73" s="128" t="s">
        <v>325</v>
      </c>
      <c r="F73" s="128" t="s">
        <v>325</v>
      </c>
      <c r="G73" s="128" t="s">
        <v>889</v>
      </c>
      <c r="H73" s="128" t="s">
        <v>890</v>
      </c>
      <c r="I73" s="146" t="s">
        <v>1350</v>
      </c>
      <c r="J73" s="128" t="s">
        <v>383</v>
      </c>
      <c r="K73" s="128">
        <v>806015728</v>
      </c>
      <c r="L73" s="128" t="s">
        <v>892</v>
      </c>
      <c r="M73" s="128" t="s">
        <v>892</v>
      </c>
      <c r="N73" s="128" t="s">
        <v>762</v>
      </c>
      <c r="O73" s="145"/>
      <c r="P73" s="128" t="s">
        <v>891</v>
      </c>
      <c r="T73" s="128">
        <f>+VLOOKUP(K73,[2]DATOS!$N$1:$N$1259,1,FALSE)</f>
        <v>806015728</v>
      </c>
    </row>
    <row r="74" spans="1:20">
      <c r="A74" s="128" t="s">
        <v>710</v>
      </c>
      <c r="B74" s="128" t="s">
        <v>841</v>
      </c>
      <c r="C74" s="128" t="s">
        <v>275</v>
      </c>
      <c r="D74" s="128" t="s">
        <v>615</v>
      </c>
      <c r="E74" s="128" t="s">
        <v>195</v>
      </c>
      <c r="F74" s="128" t="s">
        <v>195</v>
      </c>
      <c r="G74" s="128" t="s">
        <v>893</v>
      </c>
      <c r="H74" s="128" t="s">
        <v>894</v>
      </c>
      <c r="I74" s="146" t="s">
        <v>1351</v>
      </c>
      <c r="J74" s="128" t="s">
        <v>383</v>
      </c>
      <c r="K74" s="128">
        <v>900202461</v>
      </c>
      <c r="L74" s="128" t="s">
        <v>895</v>
      </c>
      <c r="M74" s="128" t="s">
        <v>767</v>
      </c>
      <c r="N74" s="128" t="s">
        <v>768</v>
      </c>
      <c r="O74" s="145"/>
      <c r="P74" s="128" t="s">
        <v>896</v>
      </c>
      <c r="T74" s="128">
        <f>+VLOOKUP(K74,[2]DATOS!$N$1:$N$1259,1,FALSE)</f>
        <v>900202461</v>
      </c>
    </row>
    <row r="75" spans="1:20">
      <c r="A75" s="128" t="s">
        <v>710</v>
      </c>
      <c r="B75" s="128" t="s">
        <v>841</v>
      </c>
      <c r="C75" s="128" t="s">
        <v>275</v>
      </c>
      <c r="D75" s="128" t="s">
        <v>615</v>
      </c>
      <c r="E75" s="128" t="s">
        <v>334</v>
      </c>
      <c r="F75" s="128" t="s">
        <v>1284</v>
      </c>
      <c r="G75" s="128" t="s">
        <v>897</v>
      </c>
      <c r="H75" s="128">
        <v>3116658308</v>
      </c>
      <c r="I75" s="146" t="s">
        <v>1285</v>
      </c>
      <c r="J75" s="128" t="s">
        <v>383</v>
      </c>
      <c r="K75" s="128">
        <v>77104080</v>
      </c>
      <c r="L75" s="128" t="s">
        <v>900</v>
      </c>
      <c r="M75" s="128" t="s">
        <v>900</v>
      </c>
      <c r="N75" s="128" t="s">
        <v>847</v>
      </c>
      <c r="O75" s="145"/>
      <c r="P75" s="128" t="s">
        <v>899</v>
      </c>
      <c r="T75" s="128" t="e">
        <f>+VLOOKUP(K75,[2]DATOS!$N$1:$N$1259,1,FALSE)</f>
        <v>#N/A</v>
      </c>
    </row>
    <row r="76" spans="1:20">
      <c r="A76" s="128" t="s">
        <v>710</v>
      </c>
      <c r="B76" s="128" t="s">
        <v>841</v>
      </c>
      <c r="C76" s="128" t="s">
        <v>275</v>
      </c>
      <c r="D76" s="128" t="s">
        <v>615</v>
      </c>
      <c r="E76" s="128" t="s">
        <v>89</v>
      </c>
      <c r="F76" s="128" t="s">
        <v>89</v>
      </c>
      <c r="G76" s="128" t="s">
        <v>901</v>
      </c>
      <c r="H76" s="128" t="s">
        <v>902</v>
      </c>
      <c r="I76" s="146" t="s">
        <v>1352</v>
      </c>
      <c r="J76" s="128" t="s">
        <v>559</v>
      </c>
      <c r="K76" s="128">
        <v>900661269</v>
      </c>
      <c r="L76" s="128" t="s">
        <v>898</v>
      </c>
      <c r="M76" s="128" t="s">
        <v>898</v>
      </c>
      <c r="N76" s="128" t="s">
        <v>762</v>
      </c>
      <c r="O76" s="145"/>
      <c r="P76" s="128" t="s">
        <v>901</v>
      </c>
      <c r="T76" s="128">
        <f>+VLOOKUP(K76,[2]DATOS!$N$1:$N$1259,1,FALSE)</f>
        <v>900661269</v>
      </c>
    </row>
    <row r="77" spans="1:20">
      <c r="A77" s="128" t="s">
        <v>710</v>
      </c>
      <c r="B77" s="128" t="s">
        <v>841</v>
      </c>
      <c r="C77" s="128" t="s">
        <v>275</v>
      </c>
      <c r="D77" s="128" t="s">
        <v>615</v>
      </c>
      <c r="E77" s="128" t="s">
        <v>91</v>
      </c>
      <c r="F77" s="128" t="s">
        <v>903</v>
      </c>
      <c r="G77" s="128" t="s">
        <v>904</v>
      </c>
      <c r="H77" s="128" t="s">
        <v>905</v>
      </c>
      <c r="I77" s="146" t="s">
        <v>1353</v>
      </c>
      <c r="J77" s="128" t="s">
        <v>383</v>
      </c>
      <c r="K77" s="128">
        <v>85166081</v>
      </c>
      <c r="L77" s="128" t="s">
        <v>866</v>
      </c>
      <c r="M77" s="128" t="s">
        <v>866</v>
      </c>
      <c r="N77" s="128" t="s">
        <v>762</v>
      </c>
      <c r="O77" s="145"/>
      <c r="P77" s="128" t="s">
        <v>906</v>
      </c>
      <c r="T77" s="128">
        <f>+VLOOKUP(K77,[2]DATOS!$N$1:$N$1259,1,FALSE)</f>
        <v>85166081</v>
      </c>
    </row>
    <row r="78" spans="1:20">
      <c r="A78" s="128" t="s">
        <v>710</v>
      </c>
      <c r="B78" s="128" t="s">
        <v>841</v>
      </c>
      <c r="C78" s="128" t="s">
        <v>275</v>
      </c>
      <c r="D78" s="128" t="s">
        <v>615</v>
      </c>
      <c r="E78" s="128" t="s">
        <v>91</v>
      </c>
      <c r="F78" s="128" t="s">
        <v>903</v>
      </c>
      <c r="G78" s="128" t="s">
        <v>904</v>
      </c>
      <c r="H78" s="128" t="s">
        <v>905</v>
      </c>
      <c r="I78" s="146" t="s">
        <v>1354</v>
      </c>
      <c r="J78" s="128" t="s">
        <v>547</v>
      </c>
      <c r="K78" s="128">
        <v>85166081</v>
      </c>
      <c r="L78" s="128" t="s">
        <v>907</v>
      </c>
      <c r="M78" s="128" t="s">
        <v>907</v>
      </c>
      <c r="N78" s="128" t="s">
        <v>762</v>
      </c>
      <c r="O78" s="145"/>
      <c r="P78" s="128" t="s">
        <v>906</v>
      </c>
      <c r="T78" s="128">
        <f>+VLOOKUP(K78,[2]DATOS!$N$1:$N$1259,1,FALSE)</f>
        <v>85166081</v>
      </c>
    </row>
    <row r="79" spans="1:20" ht="51.75">
      <c r="A79" s="128" t="s">
        <v>710</v>
      </c>
      <c r="B79" s="128" t="s">
        <v>841</v>
      </c>
      <c r="C79" s="128" t="s">
        <v>275</v>
      </c>
      <c r="D79" s="128" t="s">
        <v>615</v>
      </c>
      <c r="E79" s="128" t="s">
        <v>87</v>
      </c>
      <c r="F79" s="128" t="s">
        <v>87</v>
      </c>
      <c r="G79" s="128" t="s">
        <v>908</v>
      </c>
      <c r="H79" s="128">
        <v>3175012368</v>
      </c>
      <c r="I79" s="145" t="s">
        <v>1355</v>
      </c>
      <c r="J79" s="128" t="s">
        <v>383</v>
      </c>
      <c r="K79" s="128">
        <v>900485301</v>
      </c>
      <c r="L79" s="128" t="s">
        <v>909</v>
      </c>
      <c r="M79" s="128" t="s">
        <v>910</v>
      </c>
      <c r="N79" s="128" t="s">
        <v>605</v>
      </c>
      <c r="O79" s="145"/>
      <c r="P79" s="128" t="s">
        <v>911</v>
      </c>
      <c r="T79" s="128">
        <f>+VLOOKUP(K79,[2]DATOS!$N$1:$N$1259,1,FALSE)</f>
        <v>900485301</v>
      </c>
    </row>
    <row r="80" spans="1:20">
      <c r="A80" s="128" t="s">
        <v>710</v>
      </c>
      <c r="B80" s="128" t="s">
        <v>841</v>
      </c>
      <c r="C80" s="128" t="s">
        <v>275</v>
      </c>
      <c r="D80" s="128" t="s">
        <v>615</v>
      </c>
      <c r="E80" s="128" t="s">
        <v>87</v>
      </c>
      <c r="F80" s="128" t="s">
        <v>87</v>
      </c>
      <c r="G80" s="128" t="s">
        <v>908</v>
      </c>
      <c r="H80" s="128">
        <v>3175012368</v>
      </c>
      <c r="I80" s="146" t="s">
        <v>1356</v>
      </c>
      <c r="J80" s="128" t="s">
        <v>559</v>
      </c>
      <c r="K80" s="128">
        <v>900485301</v>
      </c>
      <c r="L80" s="128" t="s">
        <v>913</v>
      </c>
      <c r="M80" s="128" t="s">
        <v>913</v>
      </c>
      <c r="N80" s="128" t="s">
        <v>762</v>
      </c>
      <c r="O80" s="145"/>
      <c r="P80" s="128" t="s">
        <v>914</v>
      </c>
      <c r="T80" s="128">
        <f>+VLOOKUP(K80,[2]DATOS!$N$1:$N$1259,1,FALSE)</f>
        <v>900485301</v>
      </c>
    </row>
    <row r="81" spans="1:20">
      <c r="A81" s="128" t="s">
        <v>710</v>
      </c>
      <c r="B81" s="128" t="s">
        <v>841</v>
      </c>
      <c r="C81" s="128" t="s">
        <v>275</v>
      </c>
      <c r="D81" s="128" t="s">
        <v>615</v>
      </c>
      <c r="E81" s="128" t="s">
        <v>1227</v>
      </c>
      <c r="F81" s="128" t="s">
        <v>138</v>
      </c>
      <c r="G81" s="128" t="s">
        <v>915</v>
      </c>
      <c r="H81" s="128">
        <v>3173664722</v>
      </c>
      <c r="I81" s="128" t="s">
        <v>1357</v>
      </c>
      <c r="J81" s="128" t="s">
        <v>559</v>
      </c>
      <c r="K81" s="128">
        <v>900768559</v>
      </c>
      <c r="L81" s="128" t="s">
        <v>916</v>
      </c>
      <c r="M81" s="128" t="s">
        <v>916</v>
      </c>
      <c r="N81" s="128" t="s">
        <v>605</v>
      </c>
      <c r="O81" s="145"/>
      <c r="P81" s="128" t="s">
        <v>917</v>
      </c>
      <c r="T81" s="128">
        <f>+VLOOKUP(K81,[2]DATOS!$N$1:$N$1259,1,FALSE)</f>
        <v>900768559</v>
      </c>
    </row>
    <row r="82" spans="1:20">
      <c r="A82" s="128" t="s">
        <v>710</v>
      </c>
      <c r="B82" s="128" t="s">
        <v>841</v>
      </c>
      <c r="C82" s="128" t="s">
        <v>275</v>
      </c>
      <c r="D82" s="128" t="s">
        <v>615</v>
      </c>
      <c r="E82" s="128" t="s">
        <v>229</v>
      </c>
      <c r="F82" s="128" t="s">
        <v>918</v>
      </c>
      <c r="G82" s="128" t="s">
        <v>919</v>
      </c>
      <c r="H82" s="128" t="s">
        <v>920</v>
      </c>
      <c r="I82" s="146" t="s">
        <v>1358</v>
      </c>
      <c r="J82" s="128" t="s">
        <v>547</v>
      </c>
      <c r="K82" s="128">
        <v>49760639</v>
      </c>
      <c r="L82" s="128" t="s">
        <v>846</v>
      </c>
      <c r="M82" s="128" t="s">
        <v>846</v>
      </c>
      <c r="N82" s="128" t="s">
        <v>847</v>
      </c>
      <c r="O82" s="145"/>
      <c r="P82" s="128" t="s">
        <v>919</v>
      </c>
      <c r="T82" s="128">
        <f>+VLOOKUP(K82,[2]DATOS!$N$1:$N$1259,1,FALSE)</f>
        <v>49760639</v>
      </c>
    </row>
    <row r="83" spans="1:20">
      <c r="A83" s="128" t="s">
        <v>710</v>
      </c>
      <c r="B83" s="128" t="s">
        <v>841</v>
      </c>
      <c r="C83" s="128" t="s">
        <v>275</v>
      </c>
      <c r="D83" s="128" t="s">
        <v>615</v>
      </c>
      <c r="E83" s="128" t="s">
        <v>229</v>
      </c>
      <c r="F83" s="128" t="s">
        <v>918</v>
      </c>
      <c r="G83" s="128" t="s">
        <v>921</v>
      </c>
      <c r="H83" s="128" t="s">
        <v>922</v>
      </c>
      <c r="I83" s="146" t="s">
        <v>1358</v>
      </c>
      <c r="J83" s="128" t="s">
        <v>559</v>
      </c>
      <c r="K83" s="128">
        <v>49760639</v>
      </c>
      <c r="L83" s="128" t="s">
        <v>923</v>
      </c>
      <c r="M83" s="128" t="s">
        <v>923</v>
      </c>
      <c r="N83" s="128" t="s">
        <v>847</v>
      </c>
      <c r="O83" s="145"/>
      <c r="P83" s="128" t="s">
        <v>919</v>
      </c>
      <c r="T83" s="128">
        <f>+VLOOKUP(K83,[2]DATOS!$N$1:$N$1259,1,FALSE)</f>
        <v>49760639</v>
      </c>
    </row>
    <row r="84" spans="1:20">
      <c r="A84" s="128" t="s">
        <v>924</v>
      </c>
      <c r="B84" s="128" t="s">
        <v>925</v>
      </c>
      <c r="C84" s="128" t="s">
        <v>926</v>
      </c>
      <c r="D84" s="128" t="s">
        <v>544</v>
      </c>
      <c r="E84" s="128" t="s">
        <v>927</v>
      </c>
      <c r="F84" s="128" t="s">
        <v>928</v>
      </c>
      <c r="G84" s="128" t="s">
        <v>929</v>
      </c>
      <c r="H84" s="128">
        <v>3122334111</v>
      </c>
      <c r="I84" s="146" t="s">
        <v>1359</v>
      </c>
      <c r="J84" s="128" t="s">
        <v>559</v>
      </c>
      <c r="K84" s="128">
        <v>27452030</v>
      </c>
      <c r="L84" s="128" t="s">
        <v>819</v>
      </c>
      <c r="M84" s="128" t="s">
        <v>819</v>
      </c>
      <c r="N84" s="128" t="s">
        <v>930</v>
      </c>
      <c r="O84" s="145"/>
      <c r="P84" s="128" t="s">
        <v>929</v>
      </c>
      <c r="T84" s="128">
        <f>+VLOOKUP(K84,[2]DATOS!$N$1:$N$1259,1,FALSE)</f>
        <v>27452030</v>
      </c>
    </row>
    <row r="85" spans="1:20">
      <c r="A85" s="128" t="s">
        <v>924</v>
      </c>
      <c r="B85" s="128" t="s">
        <v>925</v>
      </c>
      <c r="C85" s="128" t="s">
        <v>926</v>
      </c>
      <c r="D85" s="128" t="s">
        <v>544</v>
      </c>
      <c r="E85" s="128" t="s">
        <v>931</v>
      </c>
      <c r="F85" s="128" t="s">
        <v>932</v>
      </c>
      <c r="G85" s="128" t="s">
        <v>933</v>
      </c>
      <c r="H85" s="128" t="s">
        <v>934</v>
      </c>
      <c r="I85" s="146" t="s">
        <v>1360</v>
      </c>
      <c r="J85" s="128" t="s">
        <v>559</v>
      </c>
      <c r="K85" s="128">
        <v>94404403</v>
      </c>
      <c r="L85" s="128" t="s">
        <v>935</v>
      </c>
      <c r="M85" s="128" t="s">
        <v>936</v>
      </c>
      <c r="N85" s="128" t="s">
        <v>937</v>
      </c>
      <c r="O85" s="145"/>
      <c r="P85" s="128" t="s">
        <v>938</v>
      </c>
      <c r="T85" s="128">
        <f>+VLOOKUP(K85,[2]DATOS!$N$1:$N$1259,1,FALSE)</f>
        <v>94404403</v>
      </c>
    </row>
    <row r="86" spans="1:20">
      <c r="A86" s="128" t="s">
        <v>924</v>
      </c>
      <c r="B86" s="128" t="s">
        <v>925</v>
      </c>
      <c r="C86" s="128" t="s">
        <v>926</v>
      </c>
      <c r="D86" s="128" t="s">
        <v>544</v>
      </c>
      <c r="E86" s="128" t="s">
        <v>46</v>
      </c>
      <c r="F86" s="128" t="s">
        <v>939</v>
      </c>
      <c r="G86" s="128" t="s">
        <v>940</v>
      </c>
      <c r="H86" s="128" t="s">
        <v>941</v>
      </c>
      <c r="I86" s="146" t="s">
        <v>1361</v>
      </c>
      <c r="J86" s="128" t="s">
        <v>559</v>
      </c>
      <c r="K86" s="128">
        <v>900215165</v>
      </c>
      <c r="L86" s="128" t="s">
        <v>942</v>
      </c>
      <c r="M86" s="128" t="s">
        <v>943</v>
      </c>
      <c r="N86" s="128" t="s">
        <v>944</v>
      </c>
      <c r="O86" s="145"/>
      <c r="P86" s="128" t="s">
        <v>945</v>
      </c>
      <c r="T86" s="128">
        <f>+VLOOKUP(K86,[2]DATOS!$N$1:$N$1259,1,FALSE)</f>
        <v>900215165</v>
      </c>
    </row>
    <row r="87" spans="1:20">
      <c r="A87" s="128" t="s">
        <v>924</v>
      </c>
      <c r="B87" s="128" t="s">
        <v>925</v>
      </c>
      <c r="C87" s="128" t="s">
        <v>926</v>
      </c>
      <c r="D87" s="128" t="s">
        <v>544</v>
      </c>
      <c r="E87" s="128" t="s">
        <v>279</v>
      </c>
      <c r="F87" s="128" t="s">
        <v>107</v>
      </c>
      <c r="G87" s="128" t="s">
        <v>946</v>
      </c>
      <c r="H87" s="128" t="s">
        <v>949</v>
      </c>
      <c r="I87" s="146" t="s">
        <v>1362</v>
      </c>
      <c r="J87" s="128" t="s">
        <v>383</v>
      </c>
      <c r="K87" s="128">
        <v>830145805</v>
      </c>
      <c r="L87" s="128" t="s">
        <v>950</v>
      </c>
      <c r="M87" s="128" t="s">
        <v>951</v>
      </c>
      <c r="N87" s="128" t="s">
        <v>620</v>
      </c>
      <c r="O87" s="145"/>
      <c r="P87" s="128" t="s">
        <v>952</v>
      </c>
      <c r="T87" s="128">
        <f>+VLOOKUP(K87,[2]DATOS!$N$1:$N$1259,1,FALSE)</f>
        <v>830145805</v>
      </c>
    </row>
    <row r="88" spans="1:20">
      <c r="A88" s="128" t="s">
        <v>924</v>
      </c>
      <c r="B88" s="128" t="s">
        <v>925</v>
      </c>
      <c r="C88" s="128" t="s">
        <v>926</v>
      </c>
      <c r="D88" s="128" t="s">
        <v>544</v>
      </c>
      <c r="E88" s="128" t="s">
        <v>219</v>
      </c>
      <c r="F88" s="128" t="s">
        <v>953</v>
      </c>
      <c r="G88" s="128" t="s">
        <v>954</v>
      </c>
      <c r="H88" s="128" t="s">
        <v>955</v>
      </c>
      <c r="I88" s="146" t="s">
        <v>1363</v>
      </c>
      <c r="J88" s="128" t="s">
        <v>559</v>
      </c>
      <c r="K88" s="128">
        <v>10538625</v>
      </c>
      <c r="L88" s="128" t="s">
        <v>956</v>
      </c>
      <c r="M88" s="128" t="s">
        <v>957</v>
      </c>
      <c r="N88" s="128" t="s">
        <v>937</v>
      </c>
      <c r="O88" s="145"/>
      <c r="P88" s="128" t="s">
        <v>958</v>
      </c>
      <c r="T88" s="128" t="e">
        <f>+VLOOKUP(K88,[2]DATOS!$N$1:$N$1259,1,FALSE)</f>
        <v>#N/A</v>
      </c>
    </row>
    <row r="89" spans="1:20">
      <c r="A89" s="128" t="s">
        <v>924</v>
      </c>
      <c r="B89" s="128" t="s">
        <v>925</v>
      </c>
      <c r="C89" s="128" t="s">
        <v>926</v>
      </c>
      <c r="D89" s="128" t="s">
        <v>544</v>
      </c>
      <c r="E89" s="128" t="s">
        <v>109</v>
      </c>
      <c r="F89" s="128" t="s">
        <v>959</v>
      </c>
      <c r="G89" s="128" t="s">
        <v>960</v>
      </c>
      <c r="H89" s="128" t="s">
        <v>961</v>
      </c>
      <c r="I89" s="146" t="s">
        <v>1364</v>
      </c>
      <c r="J89" s="128" t="s">
        <v>559</v>
      </c>
      <c r="K89" s="128">
        <v>98370919</v>
      </c>
      <c r="L89" s="128" t="s">
        <v>962</v>
      </c>
      <c r="M89" s="128" t="s">
        <v>963</v>
      </c>
      <c r="N89" s="128" t="s">
        <v>930</v>
      </c>
      <c r="O89" s="145"/>
      <c r="P89" s="128" t="s">
        <v>964</v>
      </c>
      <c r="T89" s="128">
        <f>+VLOOKUP(K89,[2]DATOS!$N$1:$N$1259,1,FALSE)</f>
        <v>98370919</v>
      </c>
    </row>
    <row r="90" spans="1:20">
      <c r="A90" s="128" t="s">
        <v>924</v>
      </c>
      <c r="B90" s="128" t="s">
        <v>925</v>
      </c>
      <c r="C90" s="128" t="s">
        <v>926</v>
      </c>
      <c r="D90" s="128" t="s">
        <v>544</v>
      </c>
      <c r="E90" s="128" t="s">
        <v>221</v>
      </c>
      <c r="F90" s="128" t="s">
        <v>965</v>
      </c>
      <c r="G90" s="128" t="s">
        <v>966</v>
      </c>
      <c r="H90" s="128" t="s">
        <v>967</v>
      </c>
      <c r="I90" s="146" t="s">
        <v>1365</v>
      </c>
      <c r="J90" s="128" t="s">
        <v>622</v>
      </c>
      <c r="K90" s="128">
        <v>10305214</v>
      </c>
      <c r="L90" s="128" t="s">
        <v>968</v>
      </c>
      <c r="M90" s="128" t="s">
        <v>969</v>
      </c>
      <c r="N90" s="128" t="s">
        <v>937</v>
      </c>
      <c r="O90" s="145"/>
      <c r="P90" s="128" t="s">
        <v>966</v>
      </c>
      <c r="T90" s="128">
        <f>+VLOOKUP(K90,[2]DATOS!$N$1:$N$1259,1,FALSE)</f>
        <v>10305214</v>
      </c>
    </row>
    <row r="91" spans="1:20">
      <c r="A91" s="128" t="s">
        <v>924</v>
      </c>
      <c r="B91" s="128" t="s">
        <v>925</v>
      </c>
      <c r="C91" s="128" t="s">
        <v>926</v>
      </c>
      <c r="D91" s="128" t="s">
        <v>544</v>
      </c>
      <c r="E91" s="128" t="s">
        <v>970</v>
      </c>
      <c r="F91" s="128" t="s">
        <v>971</v>
      </c>
      <c r="G91" s="128" t="s">
        <v>972</v>
      </c>
      <c r="H91" s="128" t="s">
        <v>973</v>
      </c>
      <c r="I91" s="146" t="s">
        <v>1366</v>
      </c>
      <c r="J91" s="128" t="s">
        <v>559</v>
      </c>
      <c r="K91" s="128">
        <v>36284552</v>
      </c>
      <c r="L91" s="128" t="s">
        <v>974</v>
      </c>
      <c r="M91" s="128" t="s">
        <v>975</v>
      </c>
      <c r="N91" s="128" t="s">
        <v>937</v>
      </c>
      <c r="O91" s="145"/>
      <c r="P91" s="128" t="s">
        <v>976</v>
      </c>
      <c r="T91" s="128">
        <f>+VLOOKUP(K91,[2]DATOS!$N$1:$N$1259,1,FALSE)</f>
        <v>36284552</v>
      </c>
    </row>
    <row r="92" spans="1:20">
      <c r="A92" s="128" t="s">
        <v>924</v>
      </c>
      <c r="B92" s="128" t="s">
        <v>977</v>
      </c>
      <c r="C92" s="128" t="s">
        <v>926</v>
      </c>
      <c r="D92" s="128" t="s">
        <v>615</v>
      </c>
      <c r="E92" s="128" t="s">
        <v>208</v>
      </c>
      <c r="F92" s="128" t="s">
        <v>208</v>
      </c>
      <c r="G92" s="128" t="s">
        <v>978</v>
      </c>
      <c r="H92" s="128" t="s">
        <v>979</v>
      </c>
      <c r="I92" s="128" t="s">
        <v>1367</v>
      </c>
      <c r="J92" s="128" t="s">
        <v>559</v>
      </c>
      <c r="K92" s="128">
        <v>890802350</v>
      </c>
      <c r="L92" s="128" t="s">
        <v>980</v>
      </c>
      <c r="M92" s="128" t="s">
        <v>980</v>
      </c>
      <c r="N92" s="128" t="s">
        <v>666</v>
      </c>
      <c r="O92" s="145"/>
      <c r="P92" s="128" t="s">
        <v>981</v>
      </c>
      <c r="T92" s="128" t="e">
        <f>+VLOOKUP(K92,[2]DATOS!$N$1:$N$1259,1,FALSE)</f>
        <v>#N/A</v>
      </c>
    </row>
    <row r="93" spans="1:20">
      <c r="A93" s="128" t="s">
        <v>924</v>
      </c>
      <c r="B93" s="128" t="s">
        <v>977</v>
      </c>
      <c r="C93" s="128" t="s">
        <v>926</v>
      </c>
      <c r="D93" s="128" t="s">
        <v>615</v>
      </c>
      <c r="E93" s="128" t="s">
        <v>75</v>
      </c>
      <c r="F93" s="128" t="s">
        <v>75</v>
      </c>
      <c r="G93" s="128" t="s">
        <v>982</v>
      </c>
      <c r="H93" s="128" t="s">
        <v>983</v>
      </c>
      <c r="I93" s="146" t="s">
        <v>1368</v>
      </c>
      <c r="J93" s="128" t="s">
        <v>547</v>
      </c>
      <c r="K93" s="128">
        <v>838000154</v>
      </c>
      <c r="L93" s="128" t="s">
        <v>984</v>
      </c>
      <c r="M93" s="128" t="s">
        <v>984</v>
      </c>
      <c r="N93" s="128" t="s">
        <v>985</v>
      </c>
      <c r="O93" s="145"/>
      <c r="P93" s="128" t="s">
        <v>986</v>
      </c>
      <c r="T93" s="128">
        <f>+VLOOKUP(K93,[2]DATOS!$N$1:$N$1259,1,FALSE)</f>
        <v>838000154</v>
      </c>
    </row>
    <row r="94" spans="1:20">
      <c r="A94" s="128" t="s">
        <v>924</v>
      </c>
      <c r="B94" s="128" t="s">
        <v>977</v>
      </c>
      <c r="C94" s="128" t="s">
        <v>926</v>
      </c>
      <c r="D94" s="128" t="s">
        <v>668</v>
      </c>
      <c r="E94" s="128" t="s">
        <v>48</v>
      </c>
      <c r="F94" s="128" t="s">
        <v>48</v>
      </c>
      <c r="G94" s="128" t="s">
        <v>987</v>
      </c>
      <c r="H94" s="128" t="s">
        <v>988</v>
      </c>
      <c r="I94" s="146" t="s">
        <v>1369</v>
      </c>
      <c r="J94" s="128" t="s">
        <v>383</v>
      </c>
      <c r="K94" s="128">
        <v>900330225</v>
      </c>
      <c r="L94" s="128" t="s">
        <v>990</v>
      </c>
      <c r="M94" s="128" t="s">
        <v>990</v>
      </c>
      <c r="N94" s="128" t="s">
        <v>944</v>
      </c>
      <c r="O94" s="145"/>
      <c r="P94" s="128" t="s">
        <v>991</v>
      </c>
      <c r="T94" s="128">
        <f>+VLOOKUP(K94,[2]DATOS!$N$1:$N$1259,1,FALSE)</f>
        <v>900330225</v>
      </c>
    </row>
    <row r="95" spans="1:20">
      <c r="A95" s="128" t="s">
        <v>924</v>
      </c>
      <c r="B95" s="128" t="s">
        <v>977</v>
      </c>
      <c r="C95" s="128" t="s">
        <v>926</v>
      </c>
      <c r="D95" s="128" t="s">
        <v>615</v>
      </c>
      <c r="E95" s="128" t="s">
        <v>266</v>
      </c>
      <c r="F95" s="128" t="s">
        <v>266</v>
      </c>
      <c r="G95" s="128" t="s">
        <v>992</v>
      </c>
      <c r="I95" s="146" t="s">
        <v>1370</v>
      </c>
      <c r="J95" s="128" t="s">
        <v>559</v>
      </c>
      <c r="K95" s="128">
        <v>900439362</v>
      </c>
      <c r="L95" s="128" t="s">
        <v>993</v>
      </c>
      <c r="M95" s="128" t="s">
        <v>993</v>
      </c>
      <c r="N95" s="128" t="s">
        <v>944</v>
      </c>
      <c r="O95" s="145"/>
      <c r="P95" s="128" t="s">
        <v>994</v>
      </c>
      <c r="T95" s="128">
        <f>+VLOOKUP(K95,[2]DATOS!$N$1:$N$1259,1,FALSE)</f>
        <v>900439362</v>
      </c>
    </row>
    <row r="96" spans="1:20">
      <c r="A96" s="128" t="s">
        <v>924</v>
      </c>
      <c r="B96" s="128" t="s">
        <v>977</v>
      </c>
      <c r="C96" s="128" t="s">
        <v>926</v>
      </c>
      <c r="D96" s="128" t="s">
        <v>615</v>
      </c>
      <c r="E96" s="128" t="s">
        <v>50</v>
      </c>
      <c r="F96" s="128" t="s">
        <v>995</v>
      </c>
      <c r="G96" s="128" t="s">
        <v>996</v>
      </c>
      <c r="H96" s="128" t="s">
        <v>997</v>
      </c>
      <c r="I96" s="146" t="s">
        <v>1371</v>
      </c>
      <c r="J96" s="128" t="s">
        <v>559</v>
      </c>
      <c r="K96" s="128">
        <v>16891092</v>
      </c>
      <c r="L96" s="128" t="s">
        <v>998</v>
      </c>
      <c r="M96" s="128" t="s">
        <v>998</v>
      </c>
      <c r="N96" s="128" t="s">
        <v>944</v>
      </c>
      <c r="O96" s="145"/>
      <c r="P96" s="128" t="s">
        <v>996</v>
      </c>
      <c r="T96" s="128">
        <f>+VLOOKUP(K96,[2]DATOS!$N$1:$N$1259,1,FALSE)</f>
        <v>16891092</v>
      </c>
    </row>
    <row r="97" spans="1:20">
      <c r="A97" s="128" t="s">
        <v>924</v>
      </c>
      <c r="B97" s="128" t="s">
        <v>977</v>
      </c>
      <c r="C97" s="128" t="s">
        <v>926</v>
      </c>
      <c r="D97" s="128" t="s">
        <v>615</v>
      </c>
      <c r="E97" s="128" t="s">
        <v>50</v>
      </c>
      <c r="F97" s="128" t="s">
        <v>995</v>
      </c>
      <c r="G97" s="128" t="s">
        <v>996</v>
      </c>
      <c r="H97" s="128" t="s">
        <v>997</v>
      </c>
      <c r="I97" s="146" t="s">
        <v>1371</v>
      </c>
      <c r="J97" s="128" t="s">
        <v>383</v>
      </c>
      <c r="K97" s="128">
        <v>16891092</v>
      </c>
      <c r="L97" s="128" t="s">
        <v>999</v>
      </c>
      <c r="M97" s="128" t="s">
        <v>999</v>
      </c>
      <c r="N97" s="128" t="s">
        <v>944</v>
      </c>
      <c r="O97" s="145"/>
      <c r="P97" s="128" t="s">
        <v>1000</v>
      </c>
      <c r="T97" s="128">
        <f>+VLOOKUP(K97,[2]DATOS!$N$1:$N$1259,1,FALSE)</f>
        <v>16891092</v>
      </c>
    </row>
    <row r="98" spans="1:20">
      <c r="A98" s="128" t="s">
        <v>924</v>
      </c>
      <c r="B98" s="128" t="s">
        <v>977</v>
      </c>
      <c r="C98" s="128" t="s">
        <v>926</v>
      </c>
      <c r="D98" s="128" t="s">
        <v>615</v>
      </c>
      <c r="E98" s="128" t="s">
        <v>1001</v>
      </c>
      <c r="F98" s="128" t="s">
        <v>1003</v>
      </c>
      <c r="G98" s="128" t="s">
        <v>1002</v>
      </c>
      <c r="H98" s="128">
        <v>3216457199</v>
      </c>
      <c r="I98" s="146" t="s">
        <v>1372</v>
      </c>
      <c r="J98" s="128" t="s">
        <v>559</v>
      </c>
      <c r="K98" s="128">
        <v>891903377</v>
      </c>
      <c r="L98" s="128" t="s">
        <v>1004</v>
      </c>
      <c r="M98" s="128" t="s">
        <v>1004</v>
      </c>
      <c r="N98" s="128" t="s">
        <v>930</v>
      </c>
      <c r="O98" s="145"/>
      <c r="P98" s="128" t="s">
        <v>1005</v>
      </c>
      <c r="T98" s="128">
        <f>+VLOOKUP(K98,[2]DATOS!$N$1:$N$1259,1,FALSE)</f>
        <v>891903377</v>
      </c>
    </row>
    <row r="99" spans="1:20">
      <c r="A99" s="128" t="s">
        <v>924</v>
      </c>
      <c r="B99" s="128" t="s">
        <v>667</v>
      </c>
      <c r="C99" s="128" t="s">
        <v>926</v>
      </c>
      <c r="D99" s="128" t="s">
        <v>668</v>
      </c>
      <c r="E99" s="128" t="s">
        <v>1006</v>
      </c>
      <c r="F99" s="128" t="s">
        <v>1006</v>
      </c>
      <c r="G99" s="128" t="s">
        <v>1007</v>
      </c>
      <c r="H99" s="128" t="s">
        <v>1008</v>
      </c>
      <c r="I99" s="128" t="s">
        <v>1373</v>
      </c>
      <c r="J99" s="128" t="s">
        <v>559</v>
      </c>
      <c r="K99" s="128">
        <v>900777108</v>
      </c>
      <c r="L99" s="128" t="s">
        <v>1009</v>
      </c>
      <c r="M99" s="128" t="s">
        <v>1009</v>
      </c>
      <c r="N99" s="128" t="s">
        <v>704</v>
      </c>
      <c r="O99" s="145"/>
      <c r="P99" s="128" t="s">
        <v>1010</v>
      </c>
      <c r="T99" s="128">
        <f>+VLOOKUP(K99,[2]DATOS!$N$1:$N$1259,1,FALSE)</f>
        <v>900777108</v>
      </c>
    </row>
    <row r="100" spans="1:20">
      <c r="A100" s="128" t="s">
        <v>924</v>
      </c>
      <c r="B100" s="128" t="s">
        <v>667</v>
      </c>
      <c r="C100" s="128" t="s">
        <v>926</v>
      </c>
      <c r="D100" s="128" t="s">
        <v>668</v>
      </c>
      <c r="E100" s="128" t="s">
        <v>68</v>
      </c>
      <c r="F100" s="128" t="s">
        <v>1011</v>
      </c>
      <c r="G100" s="128" t="s">
        <v>1012</v>
      </c>
      <c r="H100" s="128" t="s">
        <v>1013</v>
      </c>
      <c r="I100" s="146" t="s">
        <v>1374</v>
      </c>
      <c r="J100" s="128" t="s">
        <v>559</v>
      </c>
      <c r="K100" s="22">
        <v>9398760</v>
      </c>
      <c r="L100" s="128" t="s">
        <v>1014</v>
      </c>
      <c r="M100" s="128" t="s">
        <v>1014</v>
      </c>
      <c r="N100" s="128" t="s">
        <v>551</v>
      </c>
      <c r="O100" s="145"/>
      <c r="P100" s="128" t="s">
        <v>1015</v>
      </c>
      <c r="T100" s="128">
        <f>+VLOOKUP(K100,[2]DATOS!$N$1:$N$1259,1,FALSE)</f>
        <v>9398760</v>
      </c>
    </row>
    <row r="101" spans="1:20">
      <c r="A101" s="128" t="s">
        <v>924</v>
      </c>
      <c r="B101" s="128" t="s">
        <v>667</v>
      </c>
      <c r="C101" s="128" t="s">
        <v>926</v>
      </c>
      <c r="D101" s="128" t="s">
        <v>668</v>
      </c>
      <c r="E101" s="128" t="s">
        <v>311</v>
      </c>
      <c r="F101" s="128" t="s">
        <v>1016</v>
      </c>
      <c r="G101" s="128" t="s">
        <v>1017</v>
      </c>
      <c r="H101" s="128" t="s">
        <v>1018</v>
      </c>
      <c r="I101" s="146" t="s">
        <v>1375</v>
      </c>
      <c r="J101" s="128" t="s">
        <v>383</v>
      </c>
      <c r="K101" s="128">
        <v>13747600</v>
      </c>
      <c r="L101" s="128" t="s">
        <v>1019</v>
      </c>
      <c r="M101" s="128" t="s">
        <v>1019</v>
      </c>
      <c r="N101" s="128" t="s">
        <v>704</v>
      </c>
      <c r="O101" s="145"/>
      <c r="P101" s="128" t="s">
        <v>1017</v>
      </c>
      <c r="T101" s="128">
        <f>+VLOOKUP(K101,[2]DATOS!$N$1:$N$1259,1,FALSE)</f>
        <v>13747600</v>
      </c>
    </row>
    <row r="102" spans="1:20">
      <c r="A102" s="128" t="s">
        <v>924</v>
      </c>
      <c r="B102" s="128" t="s">
        <v>667</v>
      </c>
      <c r="C102" s="128" t="s">
        <v>926</v>
      </c>
      <c r="D102" s="128" t="s">
        <v>668</v>
      </c>
      <c r="E102" s="128" t="s">
        <v>129</v>
      </c>
      <c r="F102" s="128" t="s">
        <v>129</v>
      </c>
      <c r="G102" s="128" t="s">
        <v>1020</v>
      </c>
      <c r="H102" s="128" t="s">
        <v>1021</v>
      </c>
      <c r="I102" s="146" t="s">
        <v>1376</v>
      </c>
      <c r="J102" s="128" t="s">
        <v>547</v>
      </c>
      <c r="K102" s="128">
        <v>900413902</v>
      </c>
      <c r="L102" s="128" t="s">
        <v>1022</v>
      </c>
      <c r="M102" s="128" t="s">
        <v>1023</v>
      </c>
      <c r="N102" s="128" t="s">
        <v>704</v>
      </c>
      <c r="O102" s="145"/>
      <c r="P102" s="128" t="s">
        <v>1024</v>
      </c>
      <c r="T102" s="128" t="e">
        <f>+VLOOKUP(K102,[2]DATOS!$N$1:$N$1259,1,FALSE)</f>
        <v>#N/A</v>
      </c>
    </row>
    <row r="103" spans="1:20">
      <c r="A103" s="128" t="s">
        <v>924</v>
      </c>
      <c r="B103" s="128" t="s">
        <v>667</v>
      </c>
      <c r="C103" s="128" t="s">
        <v>926</v>
      </c>
      <c r="D103" s="128" t="s">
        <v>668</v>
      </c>
      <c r="E103" s="128" t="s">
        <v>1025</v>
      </c>
      <c r="F103" s="128" t="s">
        <v>1026</v>
      </c>
      <c r="G103" s="128" t="s">
        <v>1027</v>
      </c>
      <c r="H103" s="128" t="s">
        <v>1028</v>
      </c>
      <c r="I103" s="146" t="s">
        <v>1377</v>
      </c>
      <c r="J103" s="128" t="s">
        <v>547</v>
      </c>
      <c r="K103" s="128">
        <v>23780840</v>
      </c>
      <c r="L103" s="128" t="s">
        <v>732</v>
      </c>
      <c r="M103" s="128" t="s">
        <v>732</v>
      </c>
      <c r="N103" s="128" t="s">
        <v>704</v>
      </c>
      <c r="O103" s="145"/>
      <c r="P103" s="128" t="s">
        <v>1029</v>
      </c>
      <c r="T103" s="128">
        <f>+VLOOKUP(K103,[2]DATOS!$N$1:$N$1259,1,FALSE)</f>
        <v>23780840</v>
      </c>
    </row>
    <row r="104" spans="1:20" ht="21.75" customHeight="1">
      <c r="A104" s="128" t="s">
        <v>924</v>
      </c>
      <c r="B104" s="128" t="s">
        <v>667</v>
      </c>
      <c r="C104" s="128" t="s">
        <v>926</v>
      </c>
      <c r="D104" s="128" t="s">
        <v>668</v>
      </c>
      <c r="E104" s="128" t="s">
        <v>310</v>
      </c>
      <c r="F104" s="128" t="s">
        <v>310</v>
      </c>
      <c r="G104" s="128" t="s">
        <v>1030</v>
      </c>
      <c r="H104" s="128" t="s">
        <v>1031</v>
      </c>
      <c r="I104" s="128" t="s">
        <v>1378</v>
      </c>
      <c r="J104" s="128" t="s">
        <v>547</v>
      </c>
      <c r="K104" s="128">
        <v>900454096</v>
      </c>
      <c r="L104" s="128" t="s">
        <v>1032</v>
      </c>
      <c r="M104" s="128" t="s">
        <v>1033</v>
      </c>
      <c r="N104" s="128" t="s">
        <v>704</v>
      </c>
      <c r="O104" s="145"/>
      <c r="P104" s="128" t="s">
        <v>1034</v>
      </c>
      <c r="T104" s="128">
        <f>+VLOOKUP(K104,[2]DATOS!$N$1:$N$1259,1,FALSE)</f>
        <v>900454096</v>
      </c>
    </row>
    <row r="105" spans="1:20">
      <c r="A105" s="128" t="s">
        <v>924</v>
      </c>
      <c r="B105" s="128" t="s">
        <v>667</v>
      </c>
      <c r="C105" s="128" t="s">
        <v>926</v>
      </c>
      <c r="D105" s="128" t="s">
        <v>668</v>
      </c>
      <c r="E105" s="128" t="s">
        <v>278</v>
      </c>
      <c r="F105" s="128" t="s">
        <v>1035</v>
      </c>
      <c r="G105" s="128" t="s">
        <v>1036</v>
      </c>
      <c r="H105" s="128" t="s">
        <v>1037</v>
      </c>
      <c r="I105" s="146" t="s">
        <v>1379</v>
      </c>
      <c r="J105" s="128" t="s">
        <v>383</v>
      </c>
      <c r="K105" s="128">
        <v>91239403</v>
      </c>
      <c r="L105" s="128" t="s">
        <v>1038</v>
      </c>
      <c r="M105" s="128" t="s">
        <v>1039</v>
      </c>
      <c r="N105" s="128" t="s">
        <v>704</v>
      </c>
      <c r="O105" s="145"/>
      <c r="P105" s="128" t="s">
        <v>1036</v>
      </c>
      <c r="T105" s="128">
        <f>+VLOOKUP(K105,[2]DATOS!$N$1:$N$1259,1,FALSE)</f>
        <v>91239403</v>
      </c>
    </row>
    <row r="106" spans="1:20">
      <c r="A106" s="128" t="s">
        <v>924</v>
      </c>
      <c r="B106" s="128" t="s">
        <v>667</v>
      </c>
      <c r="C106" s="128" t="s">
        <v>926</v>
      </c>
      <c r="D106" s="128" t="s">
        <v>668</v>
      </c>
      <c r="E106" s="128" t="s">
        <v>1040</v>
      </c>
      <c r="F106" s="128" t="s">
        <v>1040</v>
      </c>
      <c r="G106" s="128" t="s">
        <v>1041</v>
      </c>
      <c r="H106" s="128" t="s">
        <v>1042</v>
      </c>
      <c r="I106" s="146" t="s">
        <v>1380</v>
      </c>
      <c r="J106" s="128" t="s">
        <v>559</v>
      </c>
      <c r="K106" s="128">
        <v>37807909</v>
      </c>
      <c r="L106" s="128" t="s">
        <v>1043</v>
      </c>
      <c r="M106" s="128" t="s">
        <v>1044</v>
      </c>
      <c r="N106" s="128" t="s">
        <v>704</v>
      </c>
      <c r="O106" s="145"/>
      <c r="P106" s="128" t="s">
        <v>1041</v>
      </c>
      <c r="T106" s="128">
        <f>+VLOOKUP(K106,[2]DATOS!$N$1:$N$1259,1,FALSE)</f>
        <v>37807909</v>
      </c>
    </row>
    <row r="107" spans="1:20">
      <c r="A107" s="128" t="s">
        <v>924</v>
      </c>
      <c r="B107" s="128" t="s">
        <v>667</v>
      </c>
      <c r="C107" s="128" t="s">
        <v>926</v>
      </c>
      <c r="D107" s="128" t="s">
        <v>668</v>
      </c>
      <c r="E107" s="128" t="s">
        <v>66</v>
      </c>
      <c r="F107" s="128" t="s">
        <v>66</v>
      </c>
      <c r="G107" s="128" t="s">
        <v>1045</v>
      </c>
      <c r="H107" s="128" t="s">
        <v>1046</v>
      </c>
      <c r="I107" s="146" t="s">
        <v>1381</v>
      </c>
      <c r="J107" s="128" t="s">
        <v>559</v>
      </c>
      <c r="K107" s="128">
        <v>800155894</v>
      </c>
      <c r="L107" s="128" t="s">
        <v>1048</v>
      </c>
      <c r="M107" s="128" t="s">
        <v>1048</v>
      </c>
      <c r="N107" s="128" t="s">
        <v>550</v>
      </c>
      <c r="O107" s="145"/>
      <c r="P107" s="128" t="s">
        <v>1047</v>
      </c>
      <c r="T107" s="128">
        <f>+VLOOKUP(K107,[2]DATOS!$N$1:$N$1259,1,FALSE)</f>
        <v>800155894</v>
      </c>
    </row>
    <row r="108" spans="1:20">
      <c r="A108" s="128" t="s">
        <v>924</v>
      </c>
      <c r="B108" s="128" t="s">
        <v>667</v>
      </c>
      <c r="C108" s="128" t="s">
        <v>926</v>
      </c>
      <c r="D108" s="128" t="s">
        <v>668</v>
      </c>
      <c r="E108" s="128" t="s">
        <v>133</v>
      </c>
      <c r="F108" s="128" t="s">
        <v>1049</v>
      </c>
      <c r="G108" s="128" t="s">
        <v>1050</v>
      </c>
      <c r="H108" s="128" t="s">
        <v>1051</v>
      </c>
      <c r="I108" s="146" t="s">
        <v>1382</v>
      </c>
      <c r="J108" s="128" t="s">
        <v>547</v>
      </c>
      <c r="K108" s="128">
        <v>91076095</v>
      </c>
      <c r="L108" s="128" t="s">
        <v>1043</v>
      </c>
      <c r="M108" s="128" t="s">
        <v>1052</v>
      </c>
      <c r="N108" s="128" t="s">
        <v>704</v>
      </c>
      <c r="O108" s="145"/>
      <c r="P108" s="128" t="s">
        <v>1053</v>
      </c>
      <c r="T108" s="128">
        <f>+VLOOKUP(K108,[2]DATOS!$N$1:$N$1259,1,FALSE)</f>
        <v>91076095</v>
      </c>
    </row>
    <row r="109" spans="1:20">
      <c r="A109" s="128" t="s">
        <v>924</v>
      </c>
      <c r="B109" s="128" t="s">
        <v>667</v>
      </c>
      <c r="C109" s="128" t="s">
        <v>926</v>
      </c>
      <c r="D109" s="128" t="s">
        <v>668</v>
      </c>
      <c r="E109" s="128" t="s">
        <v>1054</v>
      </c>
      <c r="F109" s="128" t="s">
        <v>1054</v>
      </c>
      <c r="G109" s="128" t="s">
        <v>1055</v>
      </c>
      <c r="H109" s="128" t="s">
        <v>1056</v>
      </c>
      <c r="I109" s="146" t="s">
        <v>1383</v>
      </c>
      <c r="J109" s="128" t="s">
        <v>547</v>
      </c>
      <c r="K109" s="128">
        <v>37891797</v>
      </c>
      <c r="L109" s="128" t="s">
        <v>1057</v>
      </c>
      <c r="M109" s="128" t="s">
        <v>1057</v>
      </c>
      <c r="N109" s="128" t="s">
        <v>704</v>
      </c>
      <c r="O109" s="145"/>
      <c r="P109" s="128" t="s">
        <v>1058</v>
      </c>
      <c r="T109" s="128" t="e">
        <f>+VLOOKUP(K109,[2]DATOS!$N$1:$N$1259,1,FALSE)</f>
        <v>#N/A</v>
      </c>
    </row>
    <row r="110" spans="1:20">
      <c r="A110" s="128" t="s">
        <v>924</v>
      </c>
      <c r="B110" s="128" t="s">
        <v>667</v>
      </c>
      <c r="C110" s="128" t="s">
        <v>926</v>
      </c>
      <c r="D110" s="128" t="s">
        <v>668</v>
      </c>
      <c r="E110" s="128" t="s">
        <v>1059</v>
      </c>
      <c r="F110" s="128" t="s">
        <v>1059</v>
      </c>
      <c r="G110" s="128" t="s">
        <v>1060</v>
      </c>
      <c r="H110" s="128" t="s">
        <v>1061</v>
      </c>
      <c r="I110" s="146" t="s">
        <v>1384</v>
      </c>
      <c r="J110" s="128" t="s">
        <v>383</v>
      </c>
      <c r="K110" s="128">
        <v>900637901</v>
      </c>
      <c r="L110" s="128" t="s">
        <v>1062</v>
      </c>
      <c r="M110" s="128" t="s">
        <v>1063</v>
      </c>
      <c r="N110" s="128" t="s">
        <v>1064</v>
      </c>
      <c r="O110" s="145"/>
      <c r="P110" s="128" t="s">
        <v>1060</v>
      </c>
      <c r="T110" s="128">
        <f>+VLOOKUP(K110,[2]DATOS!$N$1:$N$1259,1,FALSE)</f>
        <v>900637901</v>
      </c>
    </row>
    <row r="111" spans="1:20">
      <c r="A111" s="128" t="s">
        <v>924</v>
      </c>
      <c r="B111" s="128" t="s">
        <v>667</v>
      </c>
      <c r="C111" s="128" t="s">
        <v>926</v>
      </c>
      <c r="D111" s="128" t="s">
        <v>668</v>
      </c>
      <c r="E111" s="128" t="s">
        <v>393</v>
      </c>
      <c r="F111" s="128" t="s">
        <v>393</v>
      </c>
      <c r="G111" s="128" t="s">
        <v>1065</v>
      </c>
      <c r="H111" s="128" t="s">
        <v>1066</v>
      </c>
      <c r="I111" s="146" t="s">
        <v>1385</v>
      </c>
      <c r="J111" s="128" t="s">
        <v>383</v>
      </c>
      <c r="K111" s="128">
        <v>804010362</v>
      </c>
      <c r="L111" s="128" t="s">
        <v>1067</v>
      </c>
      <c r="M111" s="128" t="s">
        <v>1067</v>
      </c>
      <c r="N111" s="128" t="s">
        <v>704</v>
      </c>
      <c r="O111" s="145"/>
      <c r="P111" s="128" t="s">
        <v>1068</v>
      </c>
      <c r="T111" s="128" t="e">
        <f>+VLOOKUP(K111,[2]DATOS!$N$1:$N$1259,1,FALSE)</f>
        <v>#N/A</v>
      </c>
    </row>
    <row r="112" spans="1:20">
      <c r="A112" s="128" t="s">
        <v>710</v>
      </c>
      <c r="B112" s="128" t="s">
        <v>711</v>
      </c>
      <c r="C112" s="128" t="s">
        <v>1069</v>
      </c>
      <c r="D112" s="128" t="s">
        <v>1069</v>
      </c>
      <c r="E112" s="128" t="s">
        <v>1070</v>
      </c>
      <c r="F112" s="128" t="s">
        <v>1071</v>
      </c>
      <c r="H112" s="128" t="s">
        <v>1072</v>
      </c>
      <c r="I112" s="146" t="s">
        <v>1386</v>
      </c>
      <c r="J112" s="128" t="s">
        <v>547</v>
      </c>
      <c r="K112" s="128">
        <v>900185816</v>
      </c>
      <c r="L112" s="128" t="s">
        <v>1073</v>
      </c>
      <c r="M112" s="128" t="s">
        <v>1073</v>
      </c>
      <c r="N112" s="128" t="s">
        <v>605</v>
      </c>
      <c r="O112" s="128"/>
      <c r="P112" s="128" t="s">
        <v>1071</v>
      </c>
      <c r="T112" s="128">
        <f>+VLOOKUP(K112,[2]DATOS!$N$1:$N$1259,1,FALSE)</f>
        <v>900185816</v>
      </c>
    </row>
    <row r="113" spans="1:20">
      <c r="A113" s="128" t="s">
        <v>710</v>
      </c>
      <c r="B113" s="128" t="s">
        <v>711</v>
      </c>
      <c r="C113" s="128" t="s">
        <v>1069</v>
      </c>
      <c r="D113" s="128" t="s">
        <v>1069</v>
      </c>
      <c r="E113" s="128" t="s">
        <v>1074</v>
      </c>
      <c r="I113" s="146" t="s">
        <v>1387</v>
      </c>
      <c r="J113" s="128" t="s">
        <v>559</v>
      </c>
      <c r="K113" s="128">
        <v>890924996</v>
      </c>
      <c r="L113" s="128" t="s">
        <v>1076</v>
      </c>
      <c r="M113" s="128" t="s">
        <v>912</v>
      </c>
      <c r="N113" s="128" t="s">
        <v>605</v>
      </c>
      <c r="O113" s="128"/>
      <c r="P113" s="128" t="s">
        <v>1075</v>
      </c>
      <c r="T113" s="128">
        <f>+VLOOKUP(K113,[2]DATOS!$N$1:$N$1259,1,FALSE)</f>
        <v>890924996</v>
      </c>
    </row>
    <row r="114" spans="1:20">
      <c r="A114" s="128" t="s">
        <v>710</v>
      </c>
      <c r="B114" s="128" t="s">
        <v>711</v>
      </c>
      <c r="C114" s="128" t="s">
        <v>1069</v>
      </c>
      <c r="D114" s="128" t="s">
        <v>1069</v>
      </c>
      <c r="E114" s="128" t="s">
        <v>1077</v>
      </c>
      <c r="F114" s="128" t="s">
        <v>1078</v>
      </c>
      <c r="H114" s="128" t="s">
        <v>1079</v>
      </c>
      <c r="I114" s="146" t="s">
        <v>1388</v>
      </c>
      <c r="J114" s="128" t="s">
        <v>547</v>
      </c>
      <c r="K114" s="128">
        <v>812008359</v>
      </c>
      <c r="L114" s="128" t="s">
        <v>1080</v>
      </c>
      <c r="M114" s="128" t="s">
        <v>1080</v>
      </c>
      <c r="N114" s="128" t="s">
        <v>741</v>
      </c>
      <c r="O114" s="128"/>
      <c r="P114" s="128" t="s">
        <v>1081</v>
      </c>
      <c r="T114" s="128">
        <f>+VLOOKUP(K114,[2]DATOS!$N$1:$N$1259,1,FALSE)</f>
        <v>812008359</v>
      </c>
    </row>
    <row r="115" spans="1:20">
      <c r="A115" s="128" t="s">
        <v>710</v>
      </c>
      <c r="B115" s="128" t="s">
        <v>711</v>
      </c>
      <c r="C115" s="128" t="s">
        <v>1069</v>
      </c>
      <c r="D115" s="128" t="s">
        <v>1069</v>
      </c>
      <c r="E115" s="128" t="s">
        <v>1077</v>
      </c>
      <c r="F115" s="128" t="s">
        <v>1078</v>
      </c>
      <c r="I115" s="146" t="s">
        <v>1388</v>
      </c>
      <c r="J115" s="128" t="s">
        <v>559</v>
      </c>
      <c r="K115" s="128">
        <v>812008359</v>
      </c>
      <c r="L115" s="128" t="s">
        <v>1082</v>
      </c>
      <c r="M115" s="128" t="s">
        <v>1080</v>
      </c>
      <c r="N115" s="128" t="s">
        <v>741</v>
      </c>
      <c r="O115" s="128"/>
      <c r="P115" s="128" t="s">
        <v>1083</v>
      </c>
      <c r="T115" s="128">
        <f>+VLOOKUP(K115,[2]DATOS!$N$1:$N$1259,1,FALSE)</f>
        <v>812008359</v>
      </c>
    </row>
    <row r="116" spans="1:20">
      <c r="A116" s="128" t="s">
        <v>710</v>
      </c>
      <c r="B116" s="128" t="s">
        <v>711</v>
      </c>
      <c r="C116" s="128" t="s">
        <v>1069</v>
      </c>
      <c r="D116" s="128" t="s">
        <v>1069</v>
      </c>
      <c r="E116" s="128" t="s">
        <v>1077</v>
      </c>
      <c r="F116" s="128" t="s">
        <v>1078</v>
      </c>
      <c r="I116" s="146" t="s">
        <v>1388</v>
      </c>
      <c r="J116" s="128" t="s">
        <v>559</v>
      </c>
      <c r="K116" s="128">
        <v>812008359</v>
      </c>
      <c r="L116" s="128" t="s">
        <v>1084</v>
      </c>
      <c r="M116" s="128" t="s">
        <v>1084</v>
      </c>
      <c r="N116" s="128" t="s">
        <v>741</v>
      </c>
      <c r="O116" s="128"/>
      <c r="P116" s="128" t="s">
        <v>1085</v>
      </c>
      <c r="T116" s="128">
        <f>+VLOOKUP(K116,[2]DATOS!$N$1:$N$1259,1,FALSE)</f>
        <v>812008359</v>
      </c>
    </row>
    <row r="117" spans="1:20">
      <c r="A117" s="128" t="s">
        <v>710</v>
      </c>
      <c r="B117" s="128" t="s">
        <v>711</v>
      </c>
      <c r="C117" s="128" t="s">
        <v>1069</v>
      </c>
      <c r="D117" s="128" t="s">
        <v>1069</v>
      </c>
      <c r="E117" s="128" t="s">
        <v>1077</v>
      </c>
      <c r="F117" s="128" t="s">
        <v>1078</v>
      </c>
      <c r="H117" s="128" t="s">
        <v>1079</v>
      </c>
      <c r="I117" s="146" t="s">
        <v>1388</v>
      </c>
      <c r="J117" s="128" t="s">
        <v>547</v>
      </c>
      <c r="K117" s="128">
        <v>812008359</v>
      </c>
      <c r="L117" s="128" t="s">
        <v>1086</v>
      </c>
      <c r="M117" s="128" t="s">
        <v>1087</v>
      </c>
      <c r="N117" s="128" t="s">
        <v>765</v>
      </c>
      <c r="O117" s="128"/>
      <c r="P117" s="128" t="s">
        <v>1088</v>
      </c>
      <c r="T117" s="128">
        <f>+VLOOKUP(K117,[2]DATOS!$N$1:$N$1259,1,FALSE)</f>
        <v>812008359</v>
      </c>
    </row>
    <row r="118" spans="1:20">
      <c r="A118" s="128" t="s">
        <v>710</v>
      </c>
      <c r="B118" s="128" t="s">
        <v>841</v>
      </c>
      <c r="C118" s="128" t="s">
        <v>1089</v>
      </c>
      <c r="D118" s="128" t="s">
        <v>1089</v>
      </c>
      <c r="E118" s="128" t="s">
        <v>1090</v>
      </c>
      <c r="F118" s="128" t="s">
        <v>1091</v>
      </c>
      <c r="H118" s="128" t="s">
        <v>1092</v>
      </c>
      <c r="I118" s="146" t="s">
        <v>1389</v>
      </c>
      <c r="J118" s="128" t="s">
        <v>559</v>
      </c>
      <c r="K118" s="128">
        <v>890406707</v>
      </c>
      <c r="L118" s="128" t="s">
        <v>1093</v>
      </c>
      <c r="M118" s="128" t="s">
        <v>1094</v>
      </c>
      <c r="N118" s="128" t="s">
        <v>768</v>
      </c>
      <c r="O118" s="128"/>
      <c r="P118" s="128" t="s">
        <v>1095</v>
      </c>
      <c r="T118" s="128">
        <f>+VLOOKUP(K118,[2]DATOS!$N$1:$N$1259,1,FALSE)</f>
        <v>890406707</v>
      </c>
    </row>
    <row r="119" spans="1:20">
      <c r="A119" s="128" t="s">
        <v>710</v>
      </c>
      <c r="B119" s="128" t="s">
        <v>841</v>
      </c>
      <c r="C119" s="128" t="s">
        <v>1089</v>
      </c>
      <c r="D119" s="128" t="s">
        <v>1089</v>
      </c>
      <c r="E119" s="128" t="s">
        <v>1096</v>
      </c>
      <c r="F119" s="128" t="s">
        <v>1091</v>
      </c>
      <c r="H119" s="128">
        <v>3205951322</v>
      </c>
      <c r="I119" s="146" t="s">
        <v>1389</v>
      </c>
      <c r="J119" s="128" t="s">
        <v>547</v>
      </c>
      <c r="K119" s="128">
        <v>900052338</v>
      </c>
      <c r="L119" s="128" t="s">
        <v>1097</v>
      </c>
      <c r="M119" s="128" t="s">
        <v>844</v>
      </c>
      <c r="N119" s="128" t="s">
        <v>762</v>
      </c>
      <c r="O119" s="128"/>
      <c r="P119" s="128" t="s">
        <v>1098</v>
      </c>
      <c r="T119" s="128">
        <f>+VLOOKUP(K119,[2]DATOS!$N$1:$N$1259,1,FALSE)</f>
        <v>900052338</v>
      </c>
    </row>
    <row r="120" spans="1:20">
      <c r="A120" s="128" t="s">
        <v>710</v>
      </c>
      <c r="B120" s="128" t="s">
        <v>841</v>
      </c>
      <c r="C120" s="128" t="s">
        <v>1089</v>
      </c>
      <c r="D120" s="128" t="s">
        <v>1089</v>
      </c>
      <c r="E120" s="128" t="s">
        <v>1099</v>
      </c>
      <c r="F120" s="128" t="s">
        <v>1091</v>
      </c>
      <c r="H120" s="128">
        <v>3205951322</v>
      </c>
      <c r="I120" s="146" t="s">
        <v>1390</v>
      </c>
      <c r="J120" s="128" t="s">
        <v>547</v>
      </c>
      <c r="K120" s="128">
        <v>800191135</v>
      </c>
      <c r="L120" s="128" t="s">
        <v>1100</v>
      </c>
      <c r="M120" s="128" t="s">
        <v>845</v>
      </c>
      <c r="N120" s="128" t="s">
        <v>1101</v>
      </c>
      <c r="O120" s="128"/>
      <c r="P120" s="128" t="s">
        <v>1102</v>
      </c>
      <c r="T120" s="128">
        <f>+VLOOKUP(K120,[2]DATOS!$N$1:$N$1259,1,FALSE)</f>
        <v>800191135</v>
      </c>
    </row>
    <row r="121" spans="1:20">
      <c r="A121" s="128" t="s">
        <v>710</v>
      </c>
      <c r="B121" s="128" t="s">
        <v>841</v>
      </c>
      <c r="C121" s="128" t="s">
        <v>1089</v>
      </c>
      <c r="D121" s="128" t="s">
        <v>1089</v>
      </c>
      <c r="E121" s="128" t="s">
        <v>1103</v>
      </c>
      <c r="F121" s="128" t="s">
        <v>1104</v>
      </c>
      <c r="H121" s="128" t="s">
        <v>1105</v>
      </c>
      <c r="I121" s="146" t="s">
        <v>1391</v>
      </c>
      <c r="J121" s="128" t="s">
        <v>547</v>
      </c>
      <c r="K121" s="128">
        <v>900078079</v>
      </c>
      <c r="L121" s="128" t="s">
        <v>1106</v>
      </c>
      <c r="M121" s="128" t="s">
        <v>1106</v>
      </c>
      <c r="N121" s="128" t="s">
        <v>847</v>
      </c>
      <c r="O121" s="128"/>
      <c r="P121" s="128" t="s">
        <v>1104</v>
      </c>
      <c r="T121" s="128">
        <f>+VLOOKUP(K121,[2]DATOS!$N$1:$N$1259,1,FALSE)</f>
        <v>900078079</v>
      </c>
    </row>
    <row r="122" spans="1:20">
      <c r="A122" s="128" t="s">
        <v>542</v>
      </c>
      <c r="B122" s="128" t="s">
        <v>1107</v>
      </c>
      <c r="C122" s="128" t="s">
        <v>1108</v>
      </c>
      <c r="D122" s="128" t="s">
        <v>1108</v>
      </c>
      <c r="E122" s="128" t="s">
        <v>1109</v>
      </c>
      <c r="F122" s="128" t="s">
        <v>1110</v>
      </c>
      <c r="H122" s="128" t="s">
        <v>1111</v>
      </c>
      <c r="I122" s="146" t="s">
        <v>1392</v>
      </c>
      <c r="J122" s="128" t="s">
        <v>547</v>
      </c>
      <c r="K122" s="128">
        <v>860062808</v>
      </c>
      <c r="L122" s="128" t="s">
        <v>1112</v>
      </c>
      <c r="M122" s="128" t="s">
        <v>570</v>
      </c>
      <c r="N122" s="128" t="s">
        <v>570</v>
      </c>
      <c r="O122" s="128"/>
      <c r="P122" s="128" t="s">
        <v>1113</v>
      </c>
      <c r="T122" s="128">
        <f>+VLOOKUP(K122,[2]DATOS!$N$1:$N$1259,1,FALSE)</f>
        <v>860062808</v>
      </c>
    </row>
    <row r="123" spans="1:20">
      <c r="A123" s="128" t="s">
        <v>542</v>
      </c>
      <c r="B123" s="128" t="s">
        <v>1107</v>
      </c>
      <c r="C123" s="128" t="s">
        <v>1108</v>
      </c>
      <c r="D123" s="128" t="s">
        <v>1108</v>
      </c>
      <c r="E123" s="128" t="s">
        <v>1115</v>
      </c>
      <c r="I123" s="146" t="s">
        <v>1392</v>
      </c>
      <c r="J123" s="128" t="s">
        <v>559</v>
      </c>
      <c r="K123" s="128">
        <v>860062808</v>
      </c>
      <c r="L123" s="128" t="s">
        <v>1116</v>
      </c>
      <c r="M123" s="128" t="s">
        <v>570</v>
      </c>
      <c r="N123" s="128" t="s">
        <v>570</v>
      </c>
      <c r="O123" s="128"/>
      <c r="P123" s="128" t="s">
        <v>1117</v>
      </c>
      <c r="T123" s="128">
        <f>+VLOOKUP(K123,[2]DATOS!$N$1:$N$1259,1,FALSE)</f>
        <v>860062808</v>
      </c>
    </row>
    <row r="124" spans="1:20">
      <c r="A124" s="128" t="s">
        <v>542</v>
      </c>
      <c r="B124" s="128" t="s">
        <v>1107</v>
      </c>
      <c r="C124" s="128" t="s">
        <v>1108</v>
      </c>
      <c r="D124" s="128" t="s">
        <v>1108</v>
      </c>
      <c r="E124" s="128" t="s">
        <v>1115</v>
      </c>
      <c r="I124" s="146" t="s">
        <v>1392</v>
      </c>
      <c r="J124" s="128" t="s">
        <v>559</v>
      </c>
      <c r="K124" s="128">
        <v>860062808</v>
      </c>
      <c r="L124" s="128" t="s">
        <v>1118</v>
      </c>
      <c r="M124" s="128" t="s">
        <v>570</v>
      </c>
      <c r="N124" s="128" t="s">
        <v>570</v>
      </c>
      <c r="O124" s="128"/>
      <c r="P124" s="128" t="s">
        <v>1117</v>
      </c>
      <c r="T124" s="128">
        <f>+VLOOKUP(K124,[2]DATOS!$N$1:$N$1259,1,FALSE)</f>
        <v>860062808</v>
      </c>
    </row>
    <row r="125" spans="1:20">
      <c r="A125" s="128" t="s">
        <v>542</v>
      </c>
      <c r="B125" s="128" t="s">
        <v>1107</v>
      </c>
      <c r="C125" s="128" t="s">
        <v>1108</v>
      </c>
      <c r="D125" s="128" t="s">
        <v>1108</v>
      </c>
      <c r="E125" s="128" t="s">
        <v>1115</v>
      </c>
      <c r="I125" s="146" t="s">
        <v>1392</v>
      </c>
      <c r="J125" s="128" t="s">
        <v>559</v>
      </c>
      <c r="K125" s="128">
        <v>860062808</v>
      </c>
      <c r="L125" s="128" t="s">
        <v>1119</v>
      </c>
      <c r="M125" s="128" t="s">
        <v>570</v>
      </c>
      <c r="N125" s="128" t="s">
        <v>570</v>
      </c>
      <c r="O125" s="128"/>
      <c r="P125" s="128" t="s">
        <v>1114</v>
      </c>
      <c r="T125" s="128">
        <f>+VLOOKUP(K125,[2]DATOS!$N$1:$N$1259,1,FALSE)</f>
        <v>860062808</v>
      </c>
    </row>
    <row r="126" spans="1:20">
      <c r="A126" s="128" t="s">
        <v>542</v>
      </c>
      <c r="B126" s="128" t="s">
        <v>543</v>
      </c>
      <c r="C126" s="128" t="s">
        <v>1108</v>
      </c>
      <c r="D126" s="128" t="s">
        <v>1108</v>
      </c>
      <c r="E126" s="128" t="s">
        <v>1120</v>
      </c>
      <c r="F126" s="128" t="s">
        <v>1121</v>
      </c>
      <c r="H126" s="128" t="s">
        <v>1122</v>
      </c>
      <c r="I126" s="146" t="s">
        <v>1393</v>
      </c>
      <c r="J126" s="128" t="s">
        <v>547</v>
      </c>
      <c r="K126" s="128">
        <v>900056664</v>
      </c>
      <c r="L126" s="128" t="s">
        <v>1123</v>
      </c>
      <c r="M126" s="128" t="s">
        <v>570</v>
      </c>
      <c r="N126" s="128" t="s">
        <v>570</v>
      </c>
      <c r="O126" s="128"/>
      <c r="P126" s="128" t="s">
        <v>1124</v>
      </c>
      <c r="T126" s="128">
        <f>+VLOOKUP(K126,[2]DATOS!$N$1:$N$1259,1,FALSE)</f>
        <v>900056664</v>
      </c>
    </row>
    <row r="127" spans="1:20">
      <c r="A127" s="128" t="s">
        <v>542</v>
      </c>
      <c r="C127" s="128" t="s">
        <v>1125</v>
      </c>
      <c r="D127" s="128" t="s">
        <v>1125</v>
      </c>
      <c r="E127" s="128" t="s">
        <v>281</v>
      </c>
      <c r="F127" s="128" t="s">
        <v>1126</v>
      </c>
      <c r="H127" s="128" t="s">
        <v>1127</v>
      </c>
      <c r="I127" s="146" t="s">
        <v>1394</v>
      </c>
      <c r="J127" s="128" t="s">
        <v>547</v>
      </c>
      <c r="K127" s="128">
        <v>890705577</v>
      </c>
      <c r="L127" s="128" t="s">
        <v>641</v>
      </c>
      <c r="M127" s="128" t="s">
        <v>641</v>
      </c>
      <c r="N127" s="128" t="s">
        <v>642</v>
      </c>
      <c r="O127" s="128"/>
      <c r="P127" s="128" t="s">
        <v>1126</v>
      </c>
      <c r="T127" s="128">
        <f>+VLOOKUP(K127,[2]DATOS!$N$1:$N$1259,1,FALSE)</f>
        <v>890705577</v>
      </c>
    </row>
    <row r="128" spans="1:20">
      <c r="A128" s="128" t="s">
        <v>542</v>
      </c>
      <c r="C128" s="128" t="s">
        <v>1125</v>
      </c>
      <c r="D128" s="128" t="s">
        <v>1125</v>
      </c>
      <c r="E128" s="128" t="s">
        <v>1128</v>
      </c>
      <c r="F128" s="128" t="s">
        <v>1129</v>
      </c>
      <c r="H128" s="128" t="s">
        <v>1130</v>
      </c>
      <c r="I128" s="128" t="s">
        <v>1395</v>
      </c>
      <c r="J128" s="128" t="s">
        <v>547</v>
      </c>
      <c r="K128" s="22">
        <v>890705341</v>
      </c>
      <c r="L128" s="128" t="s">
        <v>1131</v>
      </c>
      <c r="M128" s="128" t="s">
        <v>1132</v>
      </c>
      <c r="N128" s="128" t="s">
        <v>653</v>
      </c>
      <c r="O128" s="128"/>
      <c r="P128" s="128" t="s">
        <v>1133</v>
      </c>
      <c r="T128" s="128">
        <f>+VLOOKUP(K128,[2]DATOS!$N$1:$N$1259,1,FALSE)</f>
        <v>890705341</v>
      </c>
    </row>
    <row r="129" spans="1:20">
      <c r="A129" s="128" t="s">
        <v>542</v>
      </c>
      <c r="C129" s="128" t="s">
        <v>1125</v>
      </c>
      <c r="D129" s="128" t="s">
        <v>1125</v>
      </c>
      <c r="E129" s="128" t="s">
        <v>1134</v>
      </c>
      <c r="F129" s="128" t="s">
        <v>1135</v>
      </c>
      <c r="H129" s="128" t="s">
        <v>1130</v>
      </c>
      <c r="I129" s="128" t="s">
        <v>1395</v>
      </c>
      <c r="J129" s="128" t="s">
        <v>547</v>
      </c>
      <c r="K129" s="128">
        <v>900129262</v>
      </c>
      <c r="L129" s="128" t="s">
        <v>1136</v>
      </c>
      <c r="M129" s="128" t="s">
        <v>1136</v>
      </c>
      <c r="N129" s="128" t="s">
        <v>555</v>
      </c>
      <c r="O129" s="128"/>
      <c r="P129" s="128" t="s">
        <v>1137</v>
      </c>
      <c r="T129" s="128">
        <f>+VLOOKUP(K129,[2]DATOS!$N$1:$N$1259,1,FALSE)</f>
        <v>900129262</v>
      </c>
    </row>
    <row r="130" spans="1:20">
      <c r="A130" s="128" t="s">
        <v>542</v>
      </c>
      <c r="B130" s="128" t="s">
        <v>667</v>
      </c>
      <c r="C130" s="128" t="s">
        <v>1138</v>
      </c>
      <c r="D130" s="128" t="s">
        <v>1138</v>
      </c>
      <c r="E130" s="128" t="s">
        <v>1139</v>
      </c>
      <c r="F130" s="128" t="s">
        <v>1140</v>
      </c>
      <c r="H130" s="128" t="s">
        <v>1141</v>
      </c>
      <c r="I130" s="146" t="s">
        <v>1396</v>
      </c>
      <c r="J130" s="128" t="s">
        <v>547</v>
      </c>
      <c r="K130" s="128">
        <v>900182433</v>
      </c>
      <c r="L130" s="128" t="s">
        <v>1142</v>
      </c>
      <c r="M130" s="128" t="s">
        <v>702</v>
      </c>
      <c r="N130" s="128" t="s">
        <v>690</v>
      </c>
      <c r="O130" s="128"/>
      <c r="P130" s="128" t="s">
        <v>1140</v>
      </c>
      <c r="T130" s="128">
        <f>+VLOOKUP(K130,[2]DATOS!$N$1:$N$1259,1,FALSE)</f>
        <v>900182433</v>
      </c>
    </row>
    <row r="131" spans="1:20" ht="26.25">
      <c r="A131" s="128" t="s">
        <v>924</v>
      </c>
      <c r="B131" s="128" t="s">
        <v>1143</v>
      </c>
      <c r="C131" s="128" t="s">
        <v>1144</v>
      </c>
      <c r="D131" s="128" t="s">
        <v>1144</v>
      </c>
      <c r="E131" s="128" t="s">
        <v>1145</v>
      </c>
      <c r="F131" s="128" t="s">
        <v>1146</v>
      </c>
      <c r="H131" s="128" t="s">
        <v>1147</v>
      </c>
      <c r="I131" s="145" t="s">
        <v>1397</v>
      </c>
      <c r="J131" s="128" t="s">
        <v>547</v>
      </c>
      <c r="K131" s="128">
        <v>890330584</v>
      </c>
      <c r="L131" s="148" t="s">
        <v>1224</v>
      </c>
      <c r="M131" s="128" t="s">
        <v>943</v>
      </c>
      <c r="N131" s="128" t="s">
        <v>1148</v>
      </c>
      <c r="O131" s="128"/>
      <c r="P131" s="128" t="s">
        <v>1149</v>
      </c>
      <c r="S131" s="128" t="s">
        <v>1150</v>
      </c>
      <c r="T131" s="128">
        <f>+VLOOKUP(K131,[2]DATOS!$N$1:$N$1259,1,FALSE)</f>
        <v>890330584</v>
      </c>
    </row>
    <row r="132" spans="1:20" ht="26.25">
      <c r="A132" s="128" t="s">
        <v>924</v>
      </c>
      <c r="B132" s="128" t="s">
        <v>1143</v>
      </c>
      <c r="C132" s="128" t="s">
        <v>1144</v>
      </c>
      <c r="D132" s="128" t="s">
        <v>1144</v>
      </c>
      <c r="E132" s="128" t="s">
        <v>1145</v>
      </c>
      <c r="I132" s="145" t="s">
        <v>1397</v>
      </c>
      <c r="J132" s="128" t="s">
        <v>559</v>
      </c>
      <c r="K132" s="128">
        <v>890330584</v>
      </c>
      <c r="L132" s="148" t="s">
        <v>459</v>
      </c>
      <c r="M132" s="128" t="s">
        <v>943</v>
      </c>
      <c r="N132" s="128" t="s">
        <v>1148</v>
      </c>
      <c r="O132" s="128"/>
      <c r="P132" s="128" t="s">
        <v>1151</v>
      </c>
      <c r="S132" s="128" t="s">
        <v>1150</v>
      </c>
      <c r="T132" s="128">
        <f>+VLOOKUP(K132,[2]DATOS!$N$1:$N$1259,1,FALSE)</f>
        <v>890330584</v>
      </c>
    </row>
    <row r="133" spans="1:20">
      <c r="A133" s="128" t="s">
        <v>924</v>
      </c>
      <c r="B133" s="128" t="s">
        <v>1143</v>
      </c>
      <c r="C133" s="128" t="s">
        <v>1144</v>
      </c>
      <c r="D133" s="128" t="s">
        <v>1144</v>
      </c>
      <c r="E133" s="128" t="s">
        <v>1145</v>
      </c>
      <c r="I133" s="145" t="s">
        <v>1398</v>
      </c>
      <c r="J133" s="128" t="s">
        <v>559</v>
      </c>
      <c r="K133" s="128">
        <v>890330584</v>
      </c>
      <c r="L133" s="149" t="s">
        <v>1225</v>
      </c>
      <c r="M133" s="128" t="s">
        <v>1152</v>
      </c>
      <c r="N133" s="128" t="s">
        <v>1148</v>
      </c>
      <c r="O133" s="128"/>
      <c r="P133" s="128" t="s">
        <v>1153</v>
      </c>
      <c r="S133" s="128" t="s">
        <v>1150</v>
      </c>
      <c r="T133" s="128">
        <f>+VLOOKUP(K133,[2]DATOS!$N$1:$N$1259,1,FALSE)</f>
        <v>890330584</v>
      </c>
    </row>
    <row r="134" spans="1:20" ht="26.25">
      <c r="A134" s="128" t="s">
        <v>924</v>
      </c>
      <c r="B134" s="128" t="s">
        <v>1143</v>
      </c>
      <c r="C134" s="128" t="s">
        <v>1144</v>
      </c>
      <c r="D134" s="128" t="s">
        <v>1144</v>
      </c>
      <c r="E134" s="128" t="s">
        <v>1145</v>
      </c>
      <c r="I134" s="145" t="s">
        <v>1397</v>
      </c>
      <c r="J134" s="128" t="s">
        <v>383</v>
      </c>
      <c r="K134" s="128">
        <v>890330584</v>
      </c>
      <c r="L134" s="149" t="s">
        <v>1225</v>
      </c>
      <c r="M134" s="128" t="s">
        <v>1152</v>
      </c>
      <c r="N134" s="128" t="s">
        <v>1148</v>
      </c>
      <c r="O134" s="128"/>
      <c r="P134" s="128" t="s">
        <v>1153</v>
      </c>
      <c r="S134" s="128" t="s">
        <v>1150</v>
      </c>
      <c r="T134" s="128">
        <f>+VLOOKUP(K134,[2]DATOS!$N$1:$N$1259,1,FALSE)</f>
        <v>890330584</v>
      </c>
    </row>
    <row r="135" spans="1:20">
      <c r="A135" s="128" t="s">
        <v>924</v>
      </c>
      <c r="B135" s="128" t="s">
        <v>1143</v>
      </c>
      <c r="C135" s="128" t="s">
        <v>1144</v>
      </c>
      <c r="D135" s="128" t="s">
        <v>1144</v>
      </c>
      <c r="E135" s="128" t="s">
        <v>1154</v>
      </c>
      <c r="F135" s="128" t="s">
        <v>1155</v>
      </c>
      <c r="H135" s="128">
        <v>3148144805</v>
      </c>
      <c r="I135" s="146" t="s">
        <v>1399</v>
      </c>
      <c r="J135" s="128" t="s">
        <v>547</v>
      </c>
      <c r="K135" s="128">
        <v>890330584</v>
      </c>
      <c r="L135" s="128" t="s">
        <v>1219</v>
      </c>
      <c r="M135" s="128" t="s">
        <v>943</v>
      </c>
      <c r="N135" s="128" t="s">
        <v>1148</v>
      </c>
      <c r="O135" s="128"/>
      <c r="P135" s="128" t="s">
        <v>1156</v>
      </c>
      <c r="S135" s="128" t="s">
        <v>1150</v>
      </c>
      <c r="T135" s="128">
        <f>+VLOOKUP(K135,[2]DATOS!$N$1:$N$1259,1,FALSE)</f>
        <v>890330584</v>
      </c>
    </row>
    <row r="136" spans="1:20">
      <c r="A136" s="128" t="s">
        <v>924</v>
      </c>
      <c r="B136" s="128" t="s">
        <v>1143</v>
      </c>
      <c r="C136" s="128" t="s">
        <v>1144</v>
      </c>
      <c r="D136" s="128" t="s">
        <v>1144</v>
      </c>
      <c r="E136" s="128" t="s">
        <v>1154</v>
      </c>
      <c r="I136" s="146" t="s">
        <v>1400</v>
      </c>
      <c r="J136" s="128" t="s">
        <v>559</v>
      </c>
      <c r="K136" s="128">
        <v>890330584</v>
      </c>
      <c r="L136" s="128" t="s">
        <v>1220</v>
      </c>
      <c r="M136" s="128" t="s">
        <v>943</v>
      </c>
      <c r="N136" s="128" t="s">
        <v>1148</v>
      </c>
      <c r="O136" s="128"/>
      <c r="P136" s="128" t="s">
        <v>1157</v>
      </c>
      <c r="S136" s="128" t="s">
        <v>1150</v>
      </c>
      <c r="T136" s="128">
        <f>+VLOOKUP(K136,[2]DATOS!$N$1:$N$1259,1,FALSE)</f>
        <v>890330584</v>
      </c>
    </row>
    <row r="137" spans="1:20">
      <c r="A137" s="128" t="s">
        <v>924</v>
      </c>
      <c r="B137" s="128" t="s">
        <v>1143</v>
      </c>
      <c r="C137" s="128" t="s">
        <v>1158</v>
      </c>
      <c r="D137" s="128" t="s">
        <v>1158</v>
      </c>
      <c r="E137" s="128" t="s">
        <v>1154</v>
      </c>
      <c r="I137" s="146" t="s">
        <v>1400</v>
      </c>
      <c r="K137" s="128">
        <v>890330584</v>
      </c>
      <c r="L137" s="128" t="s">
        <v>1221</v>
      </c>
      <c r="M137" s="128" t="s">
        <v>943</v>
      </c>
      <c r="N137" s="128" t="s">
        <v>1148</v>
      </c>
      <c r="O137" s="128"/>
      <c r="P137" s="128" t="s">
        <v>1157</v>
      </c>
      <c r="S137" s="128" t="s">
        <v>1150</v>
      </c>
      <c r="T137" s="128">
        <f>+VLOOKUP(K137,[2]DATOS!$N$1:$N$1259,1,FALSE)</f>
        <v>890330584</v>
      </c>
    </row>
    <row r="138" spans="1:20">
      <c r="A138" s="128" t="s">
        <v>924</v>
      </c>
      <c r="B138" s="128" t="s">
        <v>1143</v>
      </c>
      <c r="C138" s="128" t="s">
        <v>1144</v>
      </c>
      <c r="D138" s="128" t="s">
        <v>1144</v>
      </c>
      <c r="E138" s="128" t="s">
        <v>1154</v>
      </c>
      <c r="I138" s="146" t="s">
        <v>1400</v>
      </c>
      <c r="J138" s="128" t="s">
        <v>559</v>
      </c>
      <c r="K138" s="128">
        <v>890330584</v>
      </c>
      <c r="L138" s="128" t="s">
        <v>1222</v>
      </c>
      <c r="M138" s="128" t="s">
        <v>943</v>
      </c>
      <c r="N138" s="128" t="s">
        <v>1148</v>
      </c>
      <c r="O138" s="128"/>
      <c r="P138" s="128" t="s">
        <v>1159</v>
      </c>
      <c r="S138" s="128" t="s">
        <v>1150</v>
      </c>
      <c r="T138" s="128">
        <f>+VLOOKUP(K138,[2]DATOS!$N$1:$N$1259,1,FALSE)</f>
        <v>890330584</v>
      </c>
    </row>
    <row r="139" spans="1:20">
      <c r="A139" s="128" t="s">
        <v>924</v>
      </c>
      <c r="B139" s="128" t="s">
        <v>1143</v>
      </c>
      <c r="C139" s="128" t="s">
        <v>1144</v>
      </c>
      <c r="D139" s="128" t="s">
        <v>1144</v>
      </c>
      <c r="E139" s="128" t="s">
        <v>1154</v>
      </c>
      <c r="I139" s="146" t="s">
        <v>1400</v>
      </c>
      <c r="J139" s="128" t="s">
        <v>559</v>
      </c>
      <c r="K139" s="128">
        <v>890330584</v>
      </c>
      <c r="L139" s="128" t="s">
        <v>1221</v>
      </c>
      <c r="M139" s="128" t="s">
        <v>1160</v>
      </c>
      <c r="N139" s="128" t="s">
        <v>1148</v>
      </c>
      <c r="O139" s="128"/>
      <c r="P139" s="128" t="s">
        <v>1161</v>
      </c>
      <c r="S139" s="128" t="s">
        <v>1150</v>
      </c>
      <c r="T139" s="128">
        <f>+VLOOKUP(K139,[2]DATOS!$N$1:$N$1259,1,FALSE)</f>
        <v>890330584</v>
      </c>
    </row>
    <row r="140" spans="1:20">
      <c r="A140" s="128" t="s">
        <v>924</v>
      </c>
      <c r="B140" s="128" t="s">
        <v>1143</v>
      </c>
      <c r="C140" s="128" t="s">
        <v>1144</v>
      </c>
      <c r="D140" s="128" t="s">
        <v>1144</v>
      </c>
      <c r="E140" s="128" t="s">
        <v>1154</v>
      </c>
      <c r="I140" s="146" t="s">
        <v>1400</v>
      </c>
      <c r="J140" s="128" t="s">
        <v>559</v>
      </c>
      <c r="K140" s="128">
        <v>890330584</v>
      </c>
      <c r="L140" s="128" t="s">
        <v>1223</v>
      </c>
      <c r="M140" s="128" t="s">
        <v>943</v>
      </c>
      <c r="N140" s="128" t="s">
        <v>1148</v>
      </c>
      <c r="O140" s="128"/>
      <c r="P140" s="128" t="s">
        <v>1162</v>
      </c>
      <c r="S140" s="128" t="s">
        <v>1150</v>
      </c>
      <c r="T140" s="128">
        <f>+VLOOKUP(K140,[2]DATOS!$N$1:$N$1259,1,FALSE)</f>
        <v>890330584</v>
      </c>
    </row>
    <row r="141" spans="1:20">
      <c r="A141" s="128" t="s">
        <v>924</v>
      </c>
      <c r="B141" s="128" t="s">
        <v>1143</v>
      </c>
      <c r="C141" s="128" t="s">
        <v>1144</v>
      </c>
      <c r="D141" s="128" t="s">
        <v>1144</v>
      </c>
      <c r="E141" s="128" t="s">
        <v>1163</v>
      </c>
      <c r="F141" s="128" t="s">
        <v>1164</v>
      </c>
      <c r="H141" s="128" t="s">
        <v>1165</v>
      </c>
      <c r="I141" s="146" t="s">
        <v>1401</v>
      </c>
      <c r="J141" s="128" t="s">
        <v>547</v>
      </c>
      <c r="K141" s="128">
        <v>817000553</v>
      </c>
      <c r="L141" s="128" t="s">
        <v>1097</v>
      </c>
      <c r="M141" s="128" t="s">
        <v>1166</v>
      </c>
      <c r="N141" s="128" t="s">
        <v>937</v>
      </c>
      <c r="O141" s="128"/>
      <c r="P141" s="128" t="s">
        <v>1167</v>
      </c>
      <c r="T141" s="128">
        <f>+VLOOKUP(K141,[2]DATOS!$N$1:$N$1259,1,FALSE)</f>
        <v>817000553</v>
      </c>
    </row>
    <row r="142" spans="1:20">
      <c r="A142" s="128" t="s">
        <v>924</v>
      </c>
      <c r="B142" s="128" t="s">
        <v>1143</v>
      </c>
      <c r="C142" s="128" t="s">
        <v>1144</v>
      </c>
      <c r="D142" s="128" t="s">
        <v>1144</v>
      </c>
      <c r="E142" s="128" t="s">
        <v>1163</v>
      </c>
      <c r="I142" s="146" t="s">
        <v>1401</v>
      </c>
      <c r="J142" s="128" t="s">
        <v>1168</v>
      </c>
      <c r="K142" s="128">
        <v>817000553</v>
      </c>
      <c r="L142" s="128" t="s">
        <v>1169</v>
      </c>
      <c r="M142" s="128" t="s">
        <v>1169</v>
      </c>
      <c r="N142" s="128" t="s">
        <v>937</v>
      </c>
      <c r="O142" s="128"/>
      <c r="P142" s="128" t="s">
        <v>1170</v>
      </c>
      <c r="T142" s="128">
        <f>+VLOOKUP(K142,[2]DATOS!$N$1:$N$1259,1,FALSE)</f>
        <v>817000553</v>
      </c>
    </row>
    <row r="143" spans="1:20">
      <c r="A143" s="128" t="s">
        <v>924</v>
      </c>
      <c r="B143" s="128" t="s">
        <v>1143</v>
      </c>
      <c r="C143" s="128" t="s">
        <v>1144</v>
      </c>
      <c r="D143" s="128" t="s">
        <v>1144</v>
      </c>
      <c r="E143" s="128" t="s">
        <v>1163</v>
      </c>
      <c r="I143" s="146" t="s">
        <v>1401</v>
      </c>
      <c r="J143" s="128" t="s">
        <v>383</v>
      </c>
      <c r="K143" s="128">
        <v>817000553</v>
      </c>
      <c r="L143" s="128" t="s">
        <v>1171</v>
      </c>
      <c r="M143" s="128" t="s">
        <v>704</v>
      </c>
      <c r="N143" s="128" t="s">
        <v>937</v>
      </c>
      <c r="O143" s="128"/>
      <c r="P143" s="128" t="s">
        <v>1172</v>
      </c>
      <c r="T143" s="128">
        <f>+VLOOKUP(K143,[2]DATOS!$N$1:$N$1259,1,FALSE)</f>
        <v>817000553</v>
      </c>
    </row>
    <row r="144" spans="1:20">
      <c r="A144" s="128" t="s">
        <v>924</v>
      </c>
      <c r="B144" s="128" t="s">
        <v>1143</v>
      </c>
      <c r="C144" s="128" t="s">
        <v>1144</v>
      </c>
      <c r="D144" s="128" t="s">
        <v>1144</v>
      </c>
      <c r="E144" s="128" t="s">
        <v>1163</v>
      </c>
      <c r="I144" s="146" t="s">
        <v>1401</v>
      </c>
      <c r="J144" s="128" t="s">
        <v>383</v>
      </c>
      <c r="K144" s="128">
        <v>817000553</v>
      </c>
      <c r="L144" s="128" t="s">
        <v>1173</v>
      </c>
      <c r="M144" s="128" t="s">
        <v>1173</v>
      </c>
      <c r="N144" s="128" t="s">
        <v>937</v>
      </c>
      <c r="O144" s="128"/>
      <c r="P144" s="128" t="s">
        <v>1174</v>
      </c>
      <c r="T144" s="128">
        <f>+VLOOKUP(K144,[2]DATOS!$N$1:$N$1259,1,FALSE)</f>
        <v>817000553</v>
      </c>
    </row>
    <row r="145" spans="1:20">
      <c r="A145" s="128" t="s">
        <v>924</v>
      </c>
      <c r="B145" s="128" t="s">
        <v>1143</v>
      </c>
      <c r="C145" s="128" t="s">
        <v>1144</v>
      </c>
      <c r="D145" s="128" t="s">
        <v>1144</v>
      </c>
      <c r="E145" s="128" t="s">
        <v>1175</v>
      </c>
      <c r="F145" s="128" t="s">
        <v>1176</v>
      </c>
      <c r="H145" s="128">
        <v>3116393073</v>
      </c>
      <c r="I145" s="146" t="s">
        <v>1402</v>
      </c>
      <c r="J145" s="128" t="s">
        <v>547</v>
      </c>
      <c r="K145" s="128">
        <v>900181404</v>
      </c>
      <c r="L145" s="128" t="s">
        <v>1177</v>
      </c>
      <c r="M145" s="128" t="s">
        <v>943</v>
      </c>
      <c r="N145" s="128" t="s">
        <v>1148</v>
      </c>
      <c r="O145" s="128"/>
      <c r="P145" s="128" t="s">
        <v>1178</v>
      </c>
      <c r="T145" s="128">
        <f>+VLOOKUP(K145,[2]DATOS!$N$1:$N$1259,1,FALSE)</f>
        <v>900181404</v>
      </c>
    </row>
    <row r="146" spans="1:20">
      <c r="A146" s="128" t="s">
        <v>924</v>
      </c>
      <c r="B146" s="128" t="s">
        <v>1143</v>
      </c>
      <c r="C146" s="128" t="s">
        <v>1144</v>
      </c>
      <c r="D146" s="128" t="s">
        <v>1144</v>
      </c>
      <c r="E146" s="128" t="s">
        <v>1179</v>
      </c>
      <c r="F146" s="128" t="s">
        <v>1180</v>
      </c>
      <c r="H146" s="128">
        <v>3104718460</v>
      </c>
      <c r="I146" s="146" t="s">
        <v>1403</v>
      </c>
      <c r="J146" s="128" t="s">
        <v>547</v>
      </c>
      <c r="K146" s="128">
        <v>817000553</v>
      </c>
      <c r="L146" s="128" t="s">
        <v>1181</v>
      </c>
      <c r="M146" s="128" t="s">
        <v>1181</v>
      </c>
      <c r="N146" s="128" t="s">
        <v>937</v>
      </c>
      <c r="O146" s="128"/>
      <c r="P146" s="128" t="s">
        <v>1182</v>
      </c>
      <c r="T146" s="128">
        <f>+VLOOKUP(K146,[2]DATOS!$N$1:$N$1259,1,FALSE)</f>
        <v>817000553</v>
      </c>
    </row>
    <row r="147" spans="1:20">
      <c r="A147" s="128" t="s">
        <v>924</v>
      </c>
      <c r="B147" s="128" t="s">
        <v>1143</v>
      </c>
      <c r="C147" s="128" t="s">
        <v>1144</v>
      </c>
      <c r="D147" s="128" t="s">
        <v>1144</v>
      </c>
      <c r="E147" s="128" t="s">
        <v>1179</v>
      </c>
      <c r="I147" s="146" t="s">
        <v>1403</v>
      </c>
      <c r="J147" s="128" t="s">
        <v>559</v>
      </c>
      <c r="K147" s="128">
        <v>817000553</v>
      </c>
      <c r="L147" s="128" t="s">
        <v>948</v>
      </c>
      <c r="M147" s="128" t="s">
        <v>948</v>
      </c>
      <c r="N147" s="128" t="s">
        <v>937</v>
      </c>
      <c r="O147" s="128"/>
      <c r="P147" s="128" t="s">
        <v>1183</v>
      </c>
      <c r="T147" s="128">
        <f>+VLOOKUP(K147,[2]DATOS!$N$1:$N$1259,1,FALSE)</f>
        <v>817000553</v>
      </c>
    </row>
    <row r="148" spans="1:20">
      <c r="A148" s="128" t="s">
        <v>924</v>
      </c>
      <c r="B148" s="128" t="s">
        <v>1143</v>
      </c>
      <c r="C148" s="128" t="s">
        <v>1144</v>
      </c>
      <c r="D148" s="128" t="s">
        <v>1144</v>
      </c>
      <c r="E148" s="128" t="s">
        <v>1179</v>
      </c>
      <c r="I148" s="146" t="s">
        <v>1403</v>
      </c>
      <c r="J148" s="128" t="s">
        <v>559</v>
      </c>
      <c r="K148" s="128">
        <v>817000553</v>
      </c>
      <c r="L148" s="128" t="s">
        <v>1184</v>
      </c>
      <c r="M148" s="128" t="s">
        <v>1184</v>
      </c>
      <c r="N148" s="128" t="s">
        <v>937</v>
      </c>
      <c r="O148" s="128"/>
      <c r="P148" s="128" t="s">
        <v>1185</v>
      </c>
      <c r="T148" s="128">
        <f>+VLOOKUP(K148,[2]DATOS!$N$1:$N$1259,1,FALSE)</f>
        <v>817000553</v>
      </c>
    </row>
    <row r="149" spans="1:20">
      <c r="A149" s="128" t="s">
        <v>924</v>
      </c>
      <c r="B149" s="128" t="s">
        <v>1143</v>
      </c>
      <c r="C149" s="128" t="s">
        <v>1144</v>
      </c>
      <c r="D149" s="128" t="s">
        <v>1144</v>
      </c>
      <c r="E149" s="128" t="s">
        <v>1179</v>
      </c>
      <c r="I149" s="146" t="s">
        <v>1403</v>
      </c>
      <c r="J149" s="128" t="s">
        <v>383</v>
      </c>
      <c r="K149" s="128">
        <v>817000553</v>
      </c>
      <c r="L149" s="128" t="s">
        <v>1186</v>
      </c>
      <c r="M149" s="128" t="s">
        <v>1187</v>
      </c>
      <c r="N149" s="128" t="s">
        <v>937</v>
      </c>
      <c r="O149" s="128"/>
      <c r="P149" s="128" t="s">
        <v>1188</v>
      </c>
      <c r="T149" s="128">
        <f>+VLOOKUP(K149,[2]DATOS!$N$1:$N$1259,1,FALSE)</f>
        <v>817000553</v>
      </c>
    </row>
    <row r="150" spans="1:20">
      <c r="A150" s="128" t="s">
        <v>924</v>
      </c>
      <c r="B150" s="128" t="s">
        <v>1143</v>
      </c>
      <c r="C150" s="128" t="s">
        <v>1144</v>
      </c>
      <c r="D150" s="128" t="s">
        <v>1144</v>
      </c>
      <c r="E150" s="128" t="s">
        <v>1179</v>
      </c>
      <c r="I150" s="146" t="s">
        <v>1403</v>
      </c>
      <c r="J150" s="128" t="s">
        <v>383</v>
      </c>
      <c r="K150" s="128">
        <v>817000553</v>
      </c>
      <c r="L150" s="128" t="s">
        <v>1189</v>
      </c>
      <c r="M150" s="128" t="s">
        <v>1181</v>
      </c>
      <c r="N150" s="128" t="s">
        <v>937</v>
      </c>
      <c r="O150" s="128"/>
      <c r="P150" s="128" t="s">
        <v>1190</v>
      </c>
      <c r="T150" s="128">
        <f>+VLOOKUP(K150,[2]DATOS!$N$1:$N$1259,1,FALSE)</f>
        <v>817000553</v>
      </c>
    </row>
    <row r="151" spans="1:20">
      <c r="A151" s="128" t="s">
        <v>924</v>
      </c>
      <c r="B151" s="128" t="s">
        <v>1143</v>
      </c>
      <c r="C151" s="128" t="s">
        <v>1144</v>
      </c>
      <c r="D151" s="128" t="s">
        <v>1144</v>
      </c>
      <c r="E151" s="128" t="s">
        <v>1179</v>
      </c>
      <c r="I151" s="146" t="s">
        <v>1403</v>
      </c>
      <c r="J151" s="128" t="s">
        <v>383</v>
      </c>
      <c r="K151" s="128">
        <v>817000553</v>
      </c>
      <c r="L151" s="128" t="s">
        <v>1191</v>
      </c>
      <c r="M151" s="128" t="s">
        <v>1191</v>
      </c>
      <c r="N151" s="128" t="s">
        <v>937</v>
      </c>
      <c r="O151" s="128"/>
      <c r="P151" s="128" t="s">
        <v>1192</v>
      </c>
      <c r="T151" s="128">
        <f>+VLOOKUP(K151,[2]DATOS!$N$1:$N$1259,1,FALSE)</f>
        <v>817000553</v>
      </c>
    </row>
    <row r="152" spans="1:20">
      <c r="A152" s="128" t="s">
        <v>924</v>
      </c>
      <c r="B152" s="128" t="s">
        <v>1143</v>
      </c>
      <c r="C152" s="128" t="s">
        <v>1144</v>
      </c>
      <c r="D152" s="128" t="s">
        <v>1144</v>
      </c>
      <c r="E152" s="128" t="s">
        <v>1179</v>
      </c>
      <c r="I152" s="146" t="s">
        <v>1403</v>
      </c>
      <c r="J152" s="128" t="s">
        <v>383</v>
      </c>
      <c r="K152" s="128">
        <v>817000553</v>
      </c>
      <c r="L152" s="128" t="s">
        <v>1193</v>
      </c>
      <c r="M152" s="128" t="s">
        <v>1181</v>
      </c>
      <c r="N152" s="128" t="s">
        <v>937</v>
      </c>
      <c r="O152" s="128"/>
      <c r="P152" s="128" t="s">
        <v>1194</v>
      </c>
      <c r="T152" s="128">
        <f>+VLOOKUP(K152,[2]DATOS!$N$1:$N$1259,1,FALSE)</f>
        <v>817000553</v>
      </c>
    </row>
    <row r="153" spans="1:20">
      <c r="A153" s="128" t="s">
        <v>924</v>
      </c>
      <c r="B153" s="128" t="s">
        <v>1143</v>
      </c>
      <c r="C153" s="128" t="s">
        <v>1144</v>
      </c>
      <c r="D153" s="128" t="s">
        <v>1144</v>
      </c>
      <c r="E153" s="128" t="s">
        <v>1179</v>
      </c>
      <c r="I153" s="146" t="s">
        <v>1403</v>
      </c>
      <c r="J153" s="128" t="s">
        <v>383</v>
      </c>
      <c r="K153" s="128">
        <v>817000553</v>
      </c>
      <c r="L153" s="128" t="s">
        <v>1195</v>
      </c>
      <c r="M153" s="128" t="s">
        <v>1195</v>
      </c>
      <c r="N153" s="128" t="s">
        <v>937</v>
      </c>
      <c r="O153" s="128"/>
      <c r="P153" s="128" t="s">
        <v>1196</v>
      </c>
      <c r="T153" s="128">
        <f>+VLOOKUP(K153,[2]DATOS!$N$1:$N$1259,1,FALSE)</f>
        <v>817000553</v>
      </c>
    </row>
    <row r="154" spans="1:20">
      <c r="A154" s="128" t="s">
        <v>924</v>
      </c>
      <c r="B154" s="128" t="s">
        <v>1143</v>
      </c>
      <c r="C154" s="128" t="s">
        <v>1144</v>
      </c>
      <c r="D154" s="128" t="s">
        <v>1144</v>
      </c>
      <c r="E154" s="128" t="s">
        <v>1197</v>
      </c>
      <c r="F154" s="128" t="s">
        <v>1198</v>
      </c>
      <c r="H154" s="128" t="s">
        <v>1199</v>
      </c>
      <c r="I154" s="146" t="s">
        <v>1404</v>
      </c>
      <c r="J154" s="128" t="s">
        <v>547</v>
      </c>
      <c r="K154" s="128">
        <v>814006664</v>
      </c>
      <c r="L154" s="128" t="s">
        <v>1200</v>
      </c>
      <c r="M154" s="128" t="s">
        <v>1004</v>
      </c>
      <c r="N154" s="128" t="s">
        <v>930</v>
      </c>
      <c r="O154" s="128"/>
      <c r="P154" s="128" t="s">
        <v>1201</v>
      </c>
      <c r="T154" s="128">
        <f>+VLOOKUP(K154,[2]DATOS!$N$1:$N$1259,1,FALSE)</f>
        <v>814006664</v>
      </c>
    </row>
    <row r="155" spans="1:20">
      <c r="A155" s="128" t="s">
        <v>924</v>
      </c>
      <c r="B155" s="128" t="s">
        <v>1143</v>
      </c>
      <c r="C155" s="128" t="s">
        <v>1144</v>
      </c>
      <c r="D155" s="128" t="s">
        <v>1144</v>
      </c>
      <c r="E155" s="128" t="s">
        <v>1197</v>
      </c>
      <c r="I155" s="146" t="s">
        <v>1404</v>
      </c>
      <c r="J155" s="128" t="s">
        <v>559</v>
      </c>
      <c r="K155" s="128">
        <v>814006664</v>
      </c>
      <c r="L155" s="128" t="s">
        <v>947</v>
      </c>
      <c r="M155" s="128" t="s">
        <v>1202</v>
      </c>
      <c r="N155" s="128" t="s">
        <v>930</v>
      </c>
      <c r="O155" s="128"/>
      <c r="P155" s="128" t="s">
        <v>1203</v>
      </c>
      <c r="T155" s="128">
        <f>+VLOOKUP(K155,[2]DATOS!$N$1:$N$1259,1,FALSE)</f>
        <v>814006664</v>
      </c>
    </row>
    <row r="156" spans="1:20">
      <c r="A156" s="128" t="s">
        <v>924</v>
      </c>
      <c r="B156" s="128" t="s">
        <v>977</v>
      </c>
      <c r="C156" s="128" t="s">
        <v>1158</v>
      </c>
      <c r="D156" s="128" t="s">
        <v>1158</v>
      </c>
      <c r="E156" s="128" t="s">
        <v>1204</v>
      </c>
      <c r="F156" s="128" t="s">
        <v>1205</v>
      </c>
      <c r="H156" s="128" t="s">
        <v>1206</v>
      </c>
      <c r="I156" s="146" t="s">
        <v>1405</v>
      </c>
      <c r="J156" s="128" t="s">
        <v>547</v>
      </c>
      <c r="K156" s="128">
        <v>900095491</v>
      </c>
      <c r="L156" s="128" t="s">
        <v>1097</v>
      </c>
      <c r="M156" s="128" t="s">
        <v>1207</v>
      </c>
      <c r="N156" s="128" t="s">
        <v>1148</v>
      </c>
      <c r="O156" s="128"/>
      <c r="P156" s="128" t="s">
        <v>1208</v>
      </c>
      <c r="T156" s="128">
        <f>+VLOOKUP(K156,[2]DATOS!$N$1:$N$1259,1,FALSE)</f>
        <v>900095491</v>
      </c>
    </row>
    <row r="157" spans="1:20">
      <c r="A157" s="128" t="s">
        <v>924</v>
      </c>
      <c r="B157" s="128" t="s">
        <v>977</v>
      </c>
      <c r="C157" s="128" t="s">
        <v>1158</v>
      </c>
      <c r="D157" s="128" t="s">
        <v>1158</v>
      </c>
      <c r="E157" s="128" t="s">
        <v>1209</v>
      </c>
      <c r="F157" s="128" t="s">
        <v>1210</v>
      </c>
      <c r="H157" s="128">
        <v>3112862523</v>
      </c>
      <c r="I157" s="146" t="s">
        <v>1406</v>
      </c>
      <c r="J157" s="128" t="s">
        <v>547</v>
      </c>
      <c r="K157" s="128">
        <v>816008547</v>
      </c>
      <c r="L157" s="128" t="s">
        <v>1211</v>
      </c>
      <c r="M157" s="128" t="s">
        <v>1211</v>
      </c>
      <c r="N157" s="128" t="s">
        <v>989</v>
      </c>
      <c r="O157" s="128"/>
      <c r="P157" s="128" t="s">
        <v>1212</v>
      </c>
      <c r="T157" s="128">
        <f>+VLOOKUP(K157,[2]DATOS!$N$1:$N$1259,1,FALSE)</f>
        <v>816008547</v>
      </c>
    </row>
    <row r="158" spans="1:20">
      <c r="A158" s="128" t="s">
        <v>924</v>
      </c>
      <c r="B158" s="128" t="s">
        <v>667</v>
      </c>
      <c r="C158" s="128" t="s">
        <v>1213</v>
      </c>
      <c r="D158" s="128" t="s">
        <v>1213</v>
      </c>
      <c r="E158" s="128" t="s">
        <v>1214</v>
      </c>
      <c r="F158" s="128" t="s">
        <v>1215</v>
      </c>
      <c r="H158" s="128">
        <v>3157228447</v>
      </c>
      <c r="I158" s="146" t="s">
        <v>1407</v>
      </c>
      <c r="J158" s="128" t="s">
        <v>547</v>
      </c>
      <c r="K158" s="128">
        <v>890207088</v>
      </c>
      <c r="L158" s="128" t="s">
        <v>1216</v>
      </c>
      <c r="M158" s="128" t="s">
        <v>1217</v>
      </c>
      <c r="N158" s="128" t="s">
        <v>704</v>
      </c>
      <c r="O158" s="128"/>
      <c r="P158" s="128" t="s">
        <v>1218</v>
      </c>
      <c r="T158" s="128">
        <f>+VLOOKUP(K158,[2]DATOS!$N$1:$N$1259,1,FALSE)</f>
        <v>890207088</v>
      </c>
    </row>
    <row r="159" spans="1:20">
      <c r="E159" s="148" t="s">
        <v>395</v>
      </c>
      <c r="I159" s="146" t="s">
        <v>1408</v>
      </c>
      <c r="K159" s="22">
        <v>901023135</v>
      </c>
      <c r="T159" s="128">
        <f>+VLOOKUP(K159,[2]DATOS!$N$1:$N$1259,1,FALSE)</f>
        <v>901023135</v>
      </c>
    </row>
    <row r="160" spans="1:20" ht="15" customHeight="1">
      <c r="E160" s="155" t="s">
        <v>401</v>
      </c>
      <c r="I160" s="146" t="s">
        <v>1409</v>
      </c>
      <c r="K160" s="155">
        <v>17668211</v>
      </c>
    </row>
    <row r="161" spans="1:15" ht="15" customHeight="1">
      <c r="A161" s="128" t="s">
        <v>710</v>
      </c>
      <c r="B161" s="128" t="s">
        <v>1230</v>
      </c>
      <c r="E161" s="128" t="s">
        <v>1229</v>
      </c>
      <c r="I161" s="145" t="s">
        <v>1410</v>
      </c>
    </row>
    <row r="162" spans="1:15">
      <c r="O162" s="128"/>
    </row>
    <row r="163" spans="1:15">
      <c r="O163" s="128"/>
    </row>
    <row r="164" spans="1:15">
      <c r="O164" s="128"/>
    </row>
    <row r="165" spans="1:15">
      <c r="O165" s="128"/>
    </row>
    <row r="166" spans="1:15">
      <c r="O166" s="128"/>
    </row>
    <row r="167" spans="1:15">
      <c r="O167" s="128"/>
    </row>
    <row r="168" spans="1:15">
      <c r="O168" s="128"/>
    </row>
    <row r="169" spans="1:15">
      <c r="O169" s="128"/>
    </row>
    <row r="170" spans="1:15">
      <c r="O170" s="128"/>
    </row>
    <row r="171" spans="1:15">
      <c r="O171" s="128"/>
    </row>
    <row r="172" spans="1:15">
      <c r="O172" s="128"/>
    </row>
    <row r="173" spans="1:15">
      <c r="O173" s="128"/>
    </row>
    <row r="174" spans="1:15">
      <c r="O174" s="128"/>
    </row>
    <row r="175" spans="1:15">
      <c r="O175" s="128"/>
    </row>
    <row r="176" spans="1:15">
      <c r="O176" s="128"/>
    </row>
    <row r="177" spans="15:15">
      <c r="O177" s="128"/>
    </row>
    <row r="178" spans="15:15">
      <c r="O178" s="128"/>
    </row>
    <row r="179" spans="15:15">
      <c r="O179" s="128"/>
    </row>
    <row r="180" spans="15:15">
      <c r="O180" s="128"/>
    </row>
    <row r="181" spans="15:15">
      <c r="O181" s="128"/>
    </row>
    <row r="182" spans="15:15">
      <c r="O182" s="128"/>
    </row>
    <row r="183" spans="15:15">
      <c r="O183" s="128"/>
    </row>
    <row r="184" spans="15:15">
      <c r="O184" s="128"/>
    </row>
    <row r="185" spans="15:15">
      <c r="O185" s="128"/>
    </row>
    <row r="186" spans="15:15">
      <c r="O186" s="128"/>
    </row>
    <row r="187" spans="15:15">
      <c r="O187" s="128"/>
    </row>
    <row r="188" spans="15:15">
      <c r="O188" s="128"/>
    </row>
    <row r="189" spans="15:15">
      <c r="O189" s="128"/>
    </row>
    <row r="190" spans="15:15">
      <c r="O190" s="128"/>
    </row>
    <row r="191" spans="15:15">
      <c r="O191" s="128"/>
    </row>
    <row r="192" spans="15:15">
      <c r="O192" s="128"/>
    </row>
    <row r="193" spans="15:15">
      <c r="O193" s="128"/>
    </row>
    <row r="194" spans="15:15">
      <c r="O194" s="128"/>
    </row>
    <row r="195" spans="15:15">
      <c r="O195" s="128"/>
    </row>
    <row r="196" spans="15:15">
      <c r="O196" s="128"/>
    </row>
    <row r="197" spans="15:15">
      <c r="O197" s="128"/>
    </row>
    <row r="198" spans="15:15">
      <c r="O198" s="128"/>
    </row>
    <row r="199" spans="15:15">
      <c r="O199" s="128"/>
    </row>
    <row r="200" spans="15:15">
      <c r="O200" s="128"/>
    </row>
    <row r="201" spans="15:15">
      <c r="O201" s="128"/>
    </row>
    <row r="202" spans="15:15">
      <c r="O202" s="128"/>
    </row>
    <row r="203" spans="15:15">
      <c r="O203" s="128"/>
    </row>
    <row r="204" spans="15:15">
      <c r="O204" s="128"/>
    </row>
    <row r="205" spans="15:15">
      <c r="O205" s="128"/>
    </row>
    <row r="206" spans="15:15">
      <c r="O206" s="128"/>
    </row>
    <row r="207" spans="15:15">
      <c r="O207" s="128"/>
    </row>
    <row r="208" spans="15:15">
      <c r="O208" s="128"/>
    </row>
    <row r="209" spans="15:15">
      <c r="O209" s="128"/>
    </row>
    <row r="210" spans="15:15">
      <c r="O210" s="128"/>
    </row>
    <row r="211" spans="15:15">
      <c r="O211" s="128"/>
    </row>
    <row r="212" spans="15:15">
      <c r="O212" s="128"/>
    </row>
    <row r="213" spans="15:15">
      <c r="O213" s="128"/>
    </row>
    <row r="214" spans="15:15">
      <c r="O214" s="128"/>
    </row>
    <row r="215" spans="15:15" ht="21.75" customHeight="1">
      <c r="O215" s="128"/>
    </row>
    <row r="216" spans="15:15">
      <c r="O216" s="128"/>
    </row>
    <row r="217" spans="15:15">
      <c r="O217" s="128"/>
    </row>
    <row r="218" spans="15:15">
      <c r="O218" s="128"/>
    </row>
    <row r="219" spans="15:15">
      <c r="O219" s="128"/>
    </row>
    <row r="220" spans="15:15">
      <c r="O220" s="128"/>
    </row>
    <row r="221" spans="15:15">
      <c r="O221" s="128"/>
    </row>
    <row r="222" spans="15:15">
      <c r="O222" s="128"/>
    </row>
    <row r="223" spans="15:15">
      <c r="O223" s="128"/>
    </row>
    <row r="224" spans="15:15">
      <c r="O224" s="128"/>
    </row>
    <row r="225" spans="15:15">
      <c r="O225" s="128"/>
    </row>
    <row r="226" spans="15:15">
      <c r="O226" s="128"/>
    </row>
    <row r="227" spans="15:15">
      <c r="O227" s="128"/>
    </row>
    <row r="228" spans="15:15">
      <c r="O228" s="128"/>
    </row>
    <row r="229" spans="15:15">
      <c r="O229" s="128"/>
    </row>
    <row r="230" spans="15:15">
      <c r="O230" s="128"/>
    </row>
    <row r="231" spans="15:15">
      <c r="O231" s="128"/>
    </row>
    <row r="232" spans="15:15">
      <c r="O232" s="128"/>
    </row>
    <row r="233" spans="15:15">
      <c r="O233" s="128"/>
    </row>
    <row r="234" spans="15:15">
      <c r="O234" s="128"/>
    </row>
    <row r="235" spans="15:15">
      <c r="O235" s="128"/>
    </row>
    <row r="236" spans="15:15">
      <c r="O236" s="128"/>
    </row>
    <row r="237" spans="15:15">
      <c r="O237" s="128"/>
    </row>
    <row r="238" spans="15:15">
      <c r="O238" s="128"/>
    </row>
    <row r="239" spans="15:15">
      <c r="O239" s="128"/>
    </row>
    <row r="240" spans="15:15">
      <c r="O240" s="128"/>
    </row>
    <row r="241" spans="15:15">
      <c r="O241" s="128"/>
    </row>
    <row r="242" spans="15:15">
      <c r="O242" s="128"/>
    </row>
    <row r="243" spans="15:15">
      <c r="O243" s="128"/>
    </row>
    <row r="244" spans="15:15">
      <c r="O244" s="128"/>
    </row>
    <row r="245" spans="15:15">
      <c r="O245" s="128"/>
    </row>
    <row r="246" spans="15:15">
      <c r="O246" s="128"/>
    </row>
    <row r="247" spans="15:15">
      <c r="O247" s="128"/>
    </row>
    <row r="248" spans="15:15">
      <c r="O248" s="128"/>
    </row>
    <row r="249" spans="15:15">
      <c r="O249" s="128"/>
    </row>
    <row r="250" spans="15:15">
      <c r="O250" s="128"/>
    </row>
    <row r="251" spans="15:15">
      <c r="O251" s="128"/>
    </row>
    <row r="252" spans="15:15">
      <c r="O252" s="128"/>
    </row>
    <row r="253" spans="15:15">
      <c r="O253" s="128"/>
    </row>
    <row r="254" spans="15:15">
      <c r="O254" s="128"/>
    </row>
    <row r="255" spans="15:15">
      <c r="O255" s="128"/>
    </row>
    <row r="256" spans="15:15">
      <c r="O256" s="128"/>
    </row>
    <row r="257" spans="15:15">
      <c r="O257" s="128"/>
    </row>
    <row r="258" spans="15:15">
      <c r="O258" s="128"/>
    </row>
    <row r="259" spans="15:15">
      <c r="O259" s="128"/>
    </row>
    <row r="260" spans="15:15">
      <c r="O260" s="128"/>
    </row>
    <row r="261" spans="15:15">
      <c r="O261" s="128"/>
    </row>
    <row r="262" spans="15:15">
      <c r="O262" s="128"/>
    </row>
    <row r="263" spans="15:15">
      <c r="O263" s="128"/>
    </row>
    <row r="264" spans="15:15">
      <c r="O264" s="128"/>
    </row>
    <row r="265" spans="15:15">
      <c r="O265" s="128"/>
    </row>
    <row r="266" spans="15:15">
      <c r="O266" s="128"/>
    </row>
    <row r="267" spans="15:15">
      <c r="O267" s="128"/>
    </row>
    <row r="268" spans="15:15">
      <c r="O268" s="128"/>
    </row>
    <row r="269" spans="15:15">
      <c r="O269" s="128"/>
    </row>
    <row r="270" spans="15:15">
      <c r="O270" s="128"/>
    </row>
    <row r="271" spans="15:15">
      <c r="O271" s="128"/>
    </row>
    <row r="272" spans="15:15">
      <c r="O272" s="128"/>
    </row>
    <row r="273" spans="15:15">
      <c r="O273" s="128"/>
    </row>
    <row r="274" spans="15:15">
      <c r="O274" s="128"/>
    </row>
    <row r="275" spans="15:15">
      <c r="O275" s="128"/>
    </row>
    <row r="276" spans="15:15">
      <c r="O276" s="128"/>
    </row>
    <row r="277" spans="15:15">
      <c r="O277" s="128"/>
    </row>
    <row r="278" spans="15:15">
      <c r="O278" s="128"/>
    </row>
    <row r="279" spans="15:15">
      <c r="O279" s="128"/>
    </row>
    <row r="280" spans="15:15">
      <c r="O280" s="128"/>
    </row>
    <row r="281" spans="15:15">
      <c r="O281" s="128"/>
    </row>
    <row r="282" spans="15:15">
      <c r="O282" s="128"/>
    </row>
    <row r="283" spans="15:15">
      <c r="O283" s="128"/>
    </row>
    <row r="284" spans="15:15">
      <c r="O284" s="128"/>
    </row>
    <row r="285" spans="15:15">
      <c r="O285" s="128"/>
    </row>
    <row r="286" spans="15:15">
      <c r="O286" s="128"/>
    </row>
    <row r="287" spans="15:15">
      <c r="O287" s="128"/>
    </row>
    <row r="288" spans="15:15">
      <c r="O288" s="128"/>
    </row>
    <row r="289" spans="15:15">
      <c r="O289" s="128"/>
    </row>
    <row r="290" spans="15:15">
      <c r="O290" s="128"/>
    </row>
    <row r="291" spans="15:15">
      <c r="O291" s="128"/>
    </row>
    <row r="292" spans="15:15">
      <c r="O292" s="128"/>
    </row>
    <row r="293" spans="15:15">
      <c r="O293" s="128"/>
    </row>
    <row r="294" spans="15:15">
      <c r="O294" s="128"/>
    </row>
    <row r="295" spans="15:15">
      <c r="O295" s="128"/>
    </row>
    <row r="296" spans="15:15">
      <c r="O296" s="128"/>
    </row>
    <row r="297" spans="15:15">
      <c r="O297" s="128"/>
    </row>
    <row r="298" spans="15:15">
      <c r="O298" s="128"/>
    </row>
    <row r="299" spans="15:15">
      <c r="O299" s="128"/>
    </row>
    <row r="300" spans="15:15">
      <c r="O300" s="128"/>
    </row>
    <row r="301" spans="15:15">
      <c r="O301" s="128"/>
    </row>
    <row r="302" spans="15:15">
      <c r="O302" s="128"/>
    </row>
    <row r="303" spans="15:15">
      <c r="O303" s="128"/>
    </row>
    <row r="304" spans="15:15">
      <c r="O304" s="128"/>
    </row>
    <row r="305" spans="15:15">
      <c r="O305" s="128"/>
    </row>
    <row r="306" spans="15:15">
      <c r="O306" s="128"/>
    </row>
    <row r="307" spans="15:15">
      <c r="O307" s="128"/>
    </row>
    <row r="308" spans="15:15">
      <c r="O308" s="128"/>
    </row>
    <row r="309" spans="15:15">
      <c r="O309" s="128"/>
    </row>
    <row r="310" spans="15:15">
      <c r="O310" s="128"/>
    </row>
    <row r="311" spans="15:15">
      <c r="O311" s="128"/>
    </row>
    <row r="312" spans="15:15">
      <c r="O312" s="128"/>
    </row>
    <row r="313" spans="15:15">
      <c r="O313" s="128"/>
    </row>
    <row r="314" spans="15:15">
      <c r="O314" s="128"/>
    </row>
    <row r="315" spans="15:15">
      <c r="O315" s="128"/>
    </row>
    <row r="316" spans="15:15">
      <c r="O316" s="128"/>
    </row>
    <row r="317" spans="15:15">
      <c r="O317" s="128"/>
    </row>
    <row r="318" spans="15:15">
      <c r="O318" s="128"/>
    </row>
    <row r="319" spans="15:15">
      <c r="O319" s="128"/>
    </row>
    <row r="320" spans="15:15">
      <c r="O320" s="128"/>
    </row>
    <row r="321" spans="15:15">
      <c r="O321" s="128"/>
    </row>
    <row r="322" spans="15:15">
      <c r="O322" s="128"/>
    </row>
    <row r="323" spans="15:15">
      <c r="O323" s="128"/>
    </row>
    <row r="324" spans="15:15">
      <c r="O324" s="128"/>
    </row>
    <row r="325" spans="15:15">
      <c r="O325" s="128"/>
    </row>
    <row r="326" spans="15:15">
      <c r="O326" s="128"/>
    </row>
    <row r="327" spans="15:15">
      <c r="O327" s="128"/>
    </row>
    <row r="328" spans="15:15">
      <c r="O328" s="128"/>
    </row>
    <row r="329" spans="15:15">
      <c r="O329" s="128"/>
    </row>
    <row r="330" spans="15:15">
      <c r="O330" s="128"/>
    </row>
    <row r="331" spans="15:15">
      <c r="O331" s="128"/>
    </row>
    <row r="332" spans="15:15">
      <c r="O332" s="128"/>
    </row>
    <row r="333" spans="15:15">
      <c r="O333" s="128"/>
    </row>
    <row r="334" spans="15:15">
      <c r="O334" s="128"/>
    </row>
    <row r="335" spans="15:15">
      <c r="O335" s="128"/>
    </row>
    <row r="336" spans="15:15">
      <c r="O336" s="128"/>
    </row>
    <row r="337" spans="15:15">
      <c r="O337" s="128"/>
    </row>
    <row r="338" spans="15:15">
      <c r="O338" s="128"/>
    </row>
    <row r="339" spans="15:15">
      <c r="O339" s="128"/>
    </row>
    <row r="340" spans="15:15">
      <c r="O340" s="128"/>
    </row>
    <row r="341" spans="15:15">
      <c r="O341" s="128"/>
    </row>
    <row r="342" spans="15:15">
      <c r="O342" s="128"/>
    </row>
    <row r="343" spans="15:15">
      <c r="O343" s="128"/>
    </row>
  </sheetData>
  <autoFilter ref="A1:S343" xr:uid="{00000000-0009-0000-0000-00000A000000}"/>
  <hyperlinks>
    <hyperlink ref="I11" r:id="rId1" xr:uid="{00000000-0004-0000-0A00-000000000000}"/>
    <hyperlink ref="I3" r:id="rId2" xr:uid="{00000000-0004-0000-0A00-000001000000}"/>
    <hyperlink ref="I4" display="afbarbosa@fanalca.com.co;ltorres@fanalca.com.co;dialopez@fanalca.com.co;omrodriguez@fanalca.com.co;ojoerns@fanalca.com.co;ralba@fanalca.com.co;tgvanoy@fanalca.com.co;andres.meza@performance-col.com;directorcasamoto@gmail.com;directorcasamoto@gmail.com;and" xr:uid="{00000000-0004-0000-0A00-000002000000}"/>
    <hyperlink ref="I5" r:id="rId3" xr:uid="{00000000-0004-0000-0A00-000003000000}"/>
    <hyperlink ref="I7" r:id="rId4" xr:uid="{00000000-0004-0000-0A00-000004000000}"/>
    <hyperlink ref="I9" r:id="rId5" xr:uid="{00000000-0004-0000-0A00-000005000000}"/>
    <hyperlink ref="I10" r:id="rId6" xr:uid="{00000000-0004-0000-0A00-000006000000}"/>
    <hyperlink ref="I13" r:id="rId7" xr:uid="{00000000-0004-0000-0A00-000007000000}"/>
    <hyperlink ref="I15" r:id="rId8" xr:uid="{00000000-0004-0000-0A00-000008000000}"/>
    <hyperlink ref="I16" r:id="rId9" xr:uid="{00000000-0004-0000-0A00-000009000000}"/>
    <hyperlink ref="I17" r:id="rId10" xr:uid="{00000000-0004-0000-0A00-00000A000000}"/>
    <hyperlink ref="I18" r:id="rId11" xr:uid="{00000000-0004-0000-0A00-00000B000000}"/>
    <hyperlink ref="I19" r:id="rId12" xr:uid="{00000000-0004-0000-0A00-00000C000000}"/>
    <hyperlink ref="I20" r:id="rId13" xr:uid="{00000000-0004-0000-0A00-00000D000000}"/>
    <hyperlink ref="I21" r:id="rId14" xr:uid="{00000000-0004-0000-0A00-00000E000000}"/>
    <hyperlink ref="I22" r:id="rId15" xr:uid="{00000000-0004-0000-0A00-00000F000000}"/>
    <hyperlink ref="I23" r:id="rId16" xr:uid="{00000000-0004-0000-0A00-000010000000}"/>
    <hyperlink ref="I24" r:id="rId17" xr:uid="{00000000-0004-0000-0A00-000011000000}"/>
    <hyperlink ref="I25" r:id="rId18" xr:uid="{00000000-0004-0000-0A00-000012000000}"/>
    <hyperlink ref="I26" r:id="rId19" xr:uid="{00000000-0004-0000-0A00-000013000000}"/>
    <hyperlink ref="I28" r:id="rId20" xr:uid="{00000000-0004-0000-0A00-000014000000}"/>
    <hyperlink ref="I29" r:id="rId21" xr:uid="{00000000-0004-0000-0A00-000015000000}"/>
    <hyperlink ref="I30" r:id="rId22" xr:uid="{00000000-0004-0000-0A00-000016000000}"/>
    <hyperlink ref="I31" r:id="rId23" xr:uid="{00000000-0004-0000-0A00-000017000000}"/>
    <hyperlink ref="I33" r:id="rId24" xr:uid="{00000000-0004-0000-0A00-000018000000}"/>
    <hyperlink ref="I34" r:id="rId25" xr:uid="{00000000-0004-0000-0A00-000019000000}"/>
    <hyperlink ref="I35" r:id="rId26" xr:uid="{00000000-0004-0000-0A00-00001A000000}"/>
    <hyperlink ref="I36" r:id="rId27" xr:uid="{00000000-0004-0000-0A00-00001B000000}"/>
    <hyperlink ref="I37" r:id="rId28" xr:uid="{00000000-0004-0000-0A00-00001C000000}"/>
    <hyperlink ref="I38" r:id="rId29" xr:uid="{00000000-0004-0000-0A00-00001D000000}"/>
    <hyperlink ref="I39" r:id="rId30" xr:uid="{00000000-0004-0000-0A00-00001E000000}"/>
    <hyperlink ref="I40" r:id="rId31" xr:uid="{00000000-0004-0000-0A00-00001F000000}"/>
    <hyperlink ref="I41" r:id="rId32" xr:uid="{00000000-0004-0000-0A00-000020000000}"/>
    <hyperlink ref="I42" r:id="rId33" xr:uid="{00000000-0004-0000-0A00-000021000000}"/>
    <hyperlink ref="I43" display="afbarbosa@fanalca.com.co;ltorres@fanalca.com.co;dialopez@fanalca.com.co;omrodriguez@fanalca.com.co;mburgos@fanalca.com.co;idramirez@fanalca.com.co;jacosta@fanalca.com.co;moto.agro@yahoo.com;auditor.motoagrodelsinu@gmail.com;hondacerete@yahoo.com;humartine" xr:uid="{00000000-0004-0000-0A00-000022000000}"/>
    <hyperlink ref="I45" r:id="rId34" xr:uid="{00000000-0004-0000-0A00-000023000000}"/>
    <hyperlink ref="I46" r:id="rId35" xr:uid="{00000000-0004-0000-0A00-000024000000}"/>
    <hyperlink ref="I47" r:id="rId36" xr:uid="{00000000-0004-0000-0A00-000025000000}"/>
    <hyperlink ref="I48" r:id="rId37" xr:uid="{00000000-0004-0000-0A00-000026000000}"/>
    <hyperlink ref="I49" r:id="rId38" xr:uid="{00000000-0004-0000-0A00-000027000000}"/>
    <hyperlink ref="I50" r:id="rId39" xr:uid="{00000000-0004-0000-0A00-000028000000}"/>
    <hyperlink ref="I51" r:id="rId40" xr:uid="{00000000-0004-0000-0A00-000029000000}"/>
    <hyperlink ref="I52" r:id="rId41" xr:uid="{00000000-0004-0000-0A00-00002A000000}"/>
    <hyperlink ref="I54" r:id="rId42" xr:uid="{00000000-0004-0000-0A00-00002B000000}"/>
    <hyperlink ref="I55" r:id="rId43" xr:uid="{00000000-0004-0000-0A00-00002C000000}"/>
    <hyperlink ref="I56" r:id="rId44" xr:uid="{00000000-0004-0000-0A00-00002D000000}"/>
    <hyperlink ref="I57" r:id="rId45" xr:uid="{00000000-0004-0000-0A00-00002E000000}"/>
    <hyperlink ref="I58" r:id="rId46" xr:uid="{00000000-0004-0000-0A00-00002F000000}"/>
    <hyperlink ref="I59" r:id="rId47" xr:uid="{00000000-0004-0000-0A00-000030000000}"/>
    <hyperlink ref="I60" r:id="rId48" xr:uid="{00000000-0004-0000-0A00-000031000000}"/>
    <hyperlink ref="I61" r:id="rId49" xr:uid="{00000000-0004-0000-0A00-000032000000}"/>
    <hyperlink ref="I62" display="afbarbosa@fanalca.com.co;ltorres@fanalca.com.co;dialopez@fanalca.com.co;omrodriguez@fanalca.com.co;mburgos@fanalca.com.co;idramirez@fanalca.com.co;jacosta@fanalca.com.co;bici_gerencia@hotmail.es;admonmotorepuestosdelacosta@gmail.com;bici_gerencia@hotmail." xr:uid="{00000000-0004-0000-0A00-000033000000}"/>
    <hyperlink ref="I63" r:id="rId50" xr:uid="{00000000-0004-0000-0A00-000034000000}"/>
    <hyperlink ref="I64" r:id="rId51" xr:uid="{00000000-0004-0000-0A00-000035000000}"/>
    <hyperlink ref="I67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6000000}"/>
    <hyperlink ref="I68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7000000}"/>
    <hyperlink ref="I69" r:id="rId52" xr:uid="{00000000-0004-0000-0A00-000038000000}"/>
    <hyperlink ref="I70" display="afbarbosa@fanalca.com.co;ltorres@fanalca.com.co;dialopez@fanalca.com.co;omrodriguez@fanalca.com.co;mburgos@fanalca.com.co;idramirez@fanalca.com.co;jacosta@fanalca.com.co;judamelo30@hotmail.com;inversionesmejiacelada@hotmail.com;credimotossabana@hotmail.co" xr:uid="{00000000-0004-0000-0A00-000039000000}"/>
    <hyperlink ref="I71" r:id="rId53" xr:uid="{00000000-0004-0000-0A00-00003A000000}"/>
    <hyperlink ref="I72" r:id="rId54" xr:uid="{00000000-0004-0000-0A00-00003B000000}"/>
    <hyperlink ref="I73" r:id="rId55" xr:uid="{00000000-0004-0000-0A00-00003C000000}"/>
    <hyperlink ref="I74" r:id="rId56" xr:uid="{00000000-0004-0000-0A00-00003D000000}"/>
    <hyperlink ref="I75" display="afbarbosa@fanalca.com.co;ltorres@fanalca.com.co;dialopez@fanalca.com.co;omrodriguez@fanalca.com.co;mburgos@fanalca.com.co;idramirez@fanalca.com.co;jacosta@fanalca.com.co;tavo.perez@hotmail.com;mercadeoventasmotosgap@outlook.com;motosgap@hotmail.com;tavope" xr:uid="{00000000-0004-0000-0A00-00003E000000}"/>
    <hyperlink ref="I76" r:id="rId57" xr:uid="{00000000-0004-0000-0A00-00003F000000}"/>
    <hyperlink ref="I77" r:id="rId58" xr:uid="{00000000-0004-0000-0A00-000040000000}"/>
    <hyperlink ref="I78" r:id="rId59" xr:uid="{00000000-0004-0000-0A00-000041000000}"/>
    <hyperlink ref="I79" r:id="rId60" xr:uid="{00000000-0004-0000-0A00-000042000000}"/>
    <hyperlink ref="I80" r:id="rId61" xr:uid="{00000000-0004-0000-0A00-000043000000}"/>
    <hyperlink ref="I82" r:id="rId62" xr:uid="{00000000-0004-0000-0A00-000044000000}"/>
    <hyperlink ref="I83" r:id="rId63" xr:uid="{00000000-0004-0000-0A00-000045000000}"/>
    <hyperlink ref="I84" r:id="rId64" xr:uid="{00000000-0004-0000-0A00-000046000000}"/>
    <hyperlink ref="I85" r:id="rId65" xr:uid="{00000000-0004-0000-0A00-000047000000}"/>
    <hyperlink ref="I86" display="afbarbosa@fanalca.com.co;ltorres@fanalca.com.co;dialopez@fanalca.com.co;omrodriguez@fanalca.com.co;jtamayo@fanalca.com.co;idramirez@fanalca.com.co;savalo@fanalca.com.co;jogonzalez@fanalca.com.co;jorgesalazar9@hotmail.com;jefe.ventasdistritomotors@gmail.co" xr:uid="{00000000-0004-0000-0A00-000048000000}"/>
    <hyperlink ref="I87" r:id="rId66" xr:uid="{00000000-0004-0000-0A00-000049000000}"/>
    <hyperlink ref="I88" r:id="rId67" xr:uid="{00000000-0004-0000-0A00-00004A000000}"/>
    <hyperlink ref="I89" r:id="rId68" xr:uid="{00000000-0004-0000-0A00-00004B000000}"/>
    <hyperlink ref="I90" r:id="rId69" xr:uid="{00000000-0004-0000-0A00-00004C000000}"/>
    <hyperlink ref="I91" r:id="rId70" xr:uid="{00000000-0004-0000-0A00-00004D000000}"/>
    <hyperlink ref="I93" display="afbarbosa@fanalca.com.co;ltorres@fanalca.com.co;dialopez@fanalca.com.co;omrodriguez@fanalca.com.co;jtamayo@fanalca.com.co;idramirez@fanalca.com.co;savalo@fanalca.com.co;jogonzalez@fanalca.com.co;eder.jimenez@creditosparra.com.co;robinson@creditosparra.com" xr:uid="{00000000-0004-0000-0A00-00004E000000}"/>
    <hyperlink ref="I94" display="afbarbosa@fanalca.com.co;ltorres@fanalca.com.co;dialopez@fanalca.com.co;omrodriguez@fanalca.com.co;jtamayo@fanalca.com.co;idramirez@fanalca.com.co;savalo@fanalca.com.co;jogonzalez@fanalca.com.co;lgonzalez@motopremiumdeoccidente.com;gerencia@motopremiumdeo" xr:uid="{00000000-0004-0000-0A00-00004F000000}"/>
    <hyperlink ref="I95" r:id="rId71" xr:uid="{00000000-0004-0000-0A00-000050000000}"/>
    <hyperlink ref="I96" r:id="rId72" xr:uid="{00000000-0004-0000-0A00-000051000000}"/>
    <hyperlink ref="I97" r:id="rId73" xr:uid="{00000000-0004-0000-0A00-000052000000}"/>
    <hyperlink ref="I100" r:id="rId74" xr:uid="{00000000-0004-0000-0A00-000053000000}"/>
    <hyperlink ref="I101" r:id="rId75" xr:uid="{00000000-0004-0000-0A00-000054000000}"/>
    <hyperlink ref="I102" r:id="rId76" xr:uid="{00000000-0004-0000-0A00-000055000000}"/>
    <hyperlink ref="I103" r:id="rId77" xr:uid="{00000000-0004-0000-0A00-000056000000}"/>
    <hyperlink ref="I105" r:id="rId78" xr:uid="{00000000-0004-0000-0A00-000057000000}"/>
    <hyperlink ref="I106" r:id="rId79" xr:uid="{00000000-0004-0000-0A00-000058000000}"/>
    <hyperlink ref="I107" r:id="rId80" xr:uid="{00000000-0004-0000-0A00-000059000000}"/>
    <hyperlink ref="I108" r:id="rId81" xr:uid="{00000000-0004-0000-0A00-00005A000000}"/>
    <hyperlink ref="I109" r:id="rId82" xr:uid="{00000000-0004-0000-0A00-00005B000000}"/>
    <hyperlink ref="I110" r:id="rId83" xr:uid="{00000000-0004-0000-0A00-00005C000000}"/>
    <hyperlink ref="I111" r:id="rId84" xr:uid="{00000000-0004-0000-0A00-00005D000000}"/>
    <hyperlink ref="I112" r:id="rId85" xr:uid="{00000000-0004-0000-0A00-00005E000000}"/>
    <hyperlink ref="I113" r:id="rId86" xr:uid="{00000000-0004-0000-0A00-00005F000000}"/>
    <hyperlink ref="I114" r:id="rId87" xr:uid="{00000000-0004-0000-0A00-000060000000}"/>
    <hyperlink ref="I115" r:id="rId88" xr:uid="{00000000-0004-0000-0A00-000061000000}"/>
    <hyperlink ref="I116" r:id="rId89" xr:uid="{00000000-0004-0000-0A00-000062000000}"/>
    <hyperlink ref="I117" r:id="rId90" xr:uid="{00000000-0004-0000-0A00-000063000000}"/>
    <hyperlink ref="I118" r:id="rId91" xr:uid="{00000000-0004-0000-0A00-000064000000}"/>
    <hyperlink ref="I119" r:id="rId92" xr:uid="{00000000-0004-0000-0A00-000065000000}"/>
    <hyperlink ref="I120" r:id="rId93" xr:uid="{00000000-0004-0000-0A00-000066000000}"/>
    <hyperlink ref="I121" r:id="rId94" xr:uid="{00000000-0004-0000-0A00-000067000000}"/>
    <hyperlink ref="I122" r:id="rId95" xr:uid="{00000000-0004-0000-0A00-000068000000}"/>
    <hyperlink ref="I123" r:id="rId96" xr:uid="{00000000-0004-0000-0A00-000069000000}"/>
    <hyperlink ref="I124" r:id="rId97" xr:uid="{00000000-0004-0000-0A00-00006A000000}"/>
    <hyperlink ref="I125" r:id="rId98" xr:uid="{00000000-0004-0000-0A00-00006B000000}"/>
    <hyperlink ref="I126" r:id="rId99" xr:uid="{00000000-0004-0000-0A00-00006C000000}"/>
    <hyperlink ref="I127" r:id="rId100" xr:uid="{00000000-0004-0000-0A00-00006D000000}"/>
    <hyperlink ref="I130" r:id="rId101" xr:uid="{00000000-0004-0000-0A00-00006E000000}"/>
    <hyperlink ref="I131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6F000000}"/>
    <hyperlink ref="I132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0000000}"/>
    <hyperlink ref="I133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1000000}"/>
    <hyperlink ref="I134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2000000}"/>
    <hyperlink ref="I135" r:id="rId102" xr:uid="{00000000-0004-0000-0A00-000073000000}"/>
    <hyperlink ref="I136" r:id="rId103" xr:uid="{00000000-0004-0000-0A00-000074000000}"/>
    <hyperlink ref="I137" r:id="rId104" xr:uid="{00000000-0004-0000-0A00-000075000000}"/>
    <hyperlink ref="I138" r:id="rId105" xr:uid="{00000000-0004-0000-0A00-000076000000}"/>
    <hyperlink ref="I139" r:id="rId106" xr:uid="{00000000-0004-0000-0A00-000077000000}"/>
    <hyperlink ref="I140" r:id="rId107" xr:uid="{00000000-0004-0000-0A00-000078000000}"/>
    <hyperlink ref="I141" r:id="rId108" xr:uid="{00000000-0004-0000-0A00-000079000000}"/>
    <hyperlink ref="I142" r:id="rId109" xr:uid="{00000000-0004-0000-0A00-00007A000000}"/>
    <hyperlink ref="I143" r:id="rId110" xr:uid="{00000000-0004-0000-0A00-00007B000000}"/>
    <hyperlink ref="I144" r:id="rId111" xr:uid="{00000000-0004-0000-0A00-00007C000000}"/>
    <hyperlink ref="I145" r:id="rId112" xr:uid="{00000000-0004-0000-0A00-00007D000000}"/>
    <hyperlink ref="I146" r:id="rId113" xr:uid="{00000000-0004-0000-0A00-00007E000000}"/>
    <hyperlink ref="I147" r:id="rId114" xr:uid="{00000000-0004-0000-0A00-00007F000000}"/>
    <hyperlink ref="I148" r:id="rId115" xr:uid="{00000000-0004-0000-0A00-000080000000}"/>
    <hyperlink ref="I149" r:id="rId116" xr:uid="{00000000-0004-0000-0A00-000081000000}"/>
    <hyperlink ref="I150" r:id="rId117" xr:uid="{00000000-0004-0000-0A00-000082000000}"/>
    <hyperlink ref="I151" r:id="rId118" xr:uid="{00000000-0004-0000-0A00-000083000000}"/>
    <hyperlink ref="I152" r:id="rId119" xr:uid="{00000000-0004-0000-0A00-000084000000}"/>
    <hyperlink ref="I153" r:id="rId120" xr:uid="{00000000-0004-0000-0A00-000085000000}"/>
    <hyperlink ref="I154" r:id="rId121" xr:uid="{00000000-0004-0000-0A00-000086000000}"/>
    <hyperlink ref="I155" r:id="rId122" xr:uid="{00000000-0004-0000-0A00-000087000000}"/>
    <hyperlink ref="I156" r:id="rId123" xr:uid="{00000000-0004-0000-0A00-000088000000}"/>
    <hyperlink ref="I157" display="afbarbosa@fanalca.com.co;ltorres@fanalca.com.co;dialopez@fanalca.com.co;omrodriguez@fanalca.com.co;jtamayo@fanalca.com.co;idramirez@fanalca.com.co;savalo@fanalca.com.co;jogonzalez@fanalca.com.co;oamurillo@supermotosdelcafe.com.co;loguarin@supermotosdelcaf" xr:uid="{00000000-0004-0000-0A00-000089000000}"/>
    <hyperlink ref="I158" display="afbarbosa@fanalca.com.co;ltorres@fanalca.com.co;dialopez@fanalca.com.co;omrodriguez@fanalca.com.co;jtamayo@fanalca.com.co;idramirez@fanalca.com.co;savalo@fanalca.com.co;jogonzalez@fanalca.com.co;anpena@supermotosdesantander.com.co;orueda@supermotosdesanta" xr:uid="{00000000-0004-0000-0A00-00008A000000}"/>
    <hyperlink ref="I160" r:id="rId124" xr:uid="{00000000-0004-0000-0A00-00008B000000}"/>
    <hyperlink ref="I161" r:id="rId125" xr:uid="{00000000-0004-0000-0A00-00008C000000}"/>
    <hyperlink ref="I159" r:id="rId126" xr:uid="{00000000-0004-0000-0A00-00008D000000}"/>
    <hyperlink ref="I32" r:id="rId127" display="nelsoncamacho@gecamacho.co; " xr:uid="{00000000-0004-0000-0A00-00008E000000}"/>
    <hyperlink ref="I98" display="afbarbosa@fanalca.com.co;ltorres@fanalca.com.co;dialopez@fanalca.com.co;omrodriguez@fanalca.com.co;jtamayo@fanalca.com.co;idramirez@fanalca.com.co;savalo@fanalca.com.co;jogonzalez@fanalca.com.co;aacc@fanalca.com.co;tulmotos@telecom.com.co;juansebastianbar" xr:uid="{00000000-0004-0000-0A00-00008F000000}"/>
  </hyperlinks>
  <pageMargins left="0.7" right="0.7" top="0.75" bottom="0.75" header="0.3" footer="0.3"/>
  <pageSetup orientation="portrait" r:id="rId1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topLeftCell="C1" workbookViewId="0">
      <selection activeCell="J16" sqref="J16"/>
    </sheetView>
  </sheetViews>
  <sheetFormatPr defaultColWidth="11.42578125" defaultRowHeight="15"/>
  <cols>
    <col min="1" max="1" width="25.42578125" bestFit="1" customWidth="1"/>
    <col min="2" max="2" width="32.5703125" bestFit="1" customWidth="1"/>
    <col min="3" max="3" width="19.7109375" bestFit="1" customWidth="1"/>
    <col min="4" max="4" width="19.7109375" customWidth="1"/>
    <col min="5" max="6" width="19.7109375" bestFit="1" customWidth="1"/>
    <col min="7" max="7" width="12.5703125" bestFit="1" customWidth="1"/>
    <col min="10" max="10" width="25.42578125" bestFit="1" customWidth="1"/>
    <col min="11" max="11" width="27.42578125" customWidth="1"/>
    <col min="12" max="12" width="19.7109375" bestFit="1" customWidth="1"/>
    <col min="13" max="13" width="12.5703125" bestFit="1" customWidth="1"/>
  </cols>
  <sheetData>
    <row r="1" spans="1:12">
      <c r="A1" s="28" t="s">
        <v>360</v>
      </c>
      <c r="B1" s="173" t="s">
        <v>342</v>
      </c>
    </row>
    <row r="2" spans="1:12">
      <c r="J2" s="28" t="s">
        <v>360</v>
      </c>
      <c r="K2" s="173" t="s">
        <v>342</v>
      </c>
    </row>
    <row r="3" spans="1:12">
      <c r="A3" s="28" t="s">
        <v>1228</v>
      </c>
      <c r="C3" s="28" t="s">
        <v>362</v>
      </c>
      <c r="J3" s="28" t="s">
        <v>2</v>
      </c>
      <c r="K3" s="173" t="s">
        <v>1477</v>
      </c>
      <c r="L3" s="137"/>
    </row>
    <row r="4" spans="1:12">
      <c r="A4" s="28" t="s">
        <v>7</v>
      </c>
      <c r="B4" s="28" t="s">
        <v>0</v>
      </c>
      <c r="C4" s="173" t="s">
        <v>1282</v>
      </c>
      <c r="D4" s="173">
        <v>1</v>
      </c>
      <c r="E4" s="173">
        <v>2</v>
      </c>
      <c r="F4" s="173">
        <v>3</v>
      </c>
      <c r="G4" s="173" t="s">
        <v>264</v>
      </c>
      <c r="J4" s="137"/>
      <c r="K4" s="137"/>
      <c r="L4" s="137"/>
    </row>
    <row r="5" spans="1:12">
      <c r="A5" s="173">
        <v>890207088</v>
      </c>
      <c r="B5" s="173" t="s">
        <v>125</v>
      </c>
      <c r="C5" s="156"/>
      <c r="D5" s="156"/>
      <c r="E5" s="156"/>
      <c r="F5" s="156">
        <v>57899160</v>
      </c>
      <c r="G5" s="156">
        <v>57899160</v>
      </c>
    </row>
    <row r="6" spans="1:12">
      <c r="A6" s="173">
        <v>900182433</v>
      </c>
      <c r="B6" s="173" t="s">
        <v>114</v>
      </c>
      <c r="C6" s="156"/>
      <c r="D6" s="156"/>
      <c r="E6" s="156"/>
      <c r="F6" s="156">
        <v>81786552</v>
      </c>
      <c r="G6" s="156">
        <v>81786552</v>
      </c>
      <c r="J6" s="28" t="s">
        <v>454</v>
      </c>
      <c r="K6" s="28" t="s">
        <v>0</v>
      </c>
    </row>
    <row r="7" spans="1:12">
      <c r="A7" s="173">
        <v>811044897</v>
      </c>
      <c r="B7" s="173" t="s">
        <v>203</v>
      </c>
      <c r="C7" s="156"/>
      <c r="D7" s="156">
        <v>32500001</v>
      </c>
      <c r="E7" s="156"/>
      <c r="F7" s="156"/>
      <c r="G7" s="156">
        <v>32500001</v>
      </c>
      <c r="J7" s="191" t="s">
        <v>1601</v>
      </c>
      <c r="K7" s="173" t="s">
        <v>203</v>
      </c>
    </row>
    <row r="8" spans="1:12">
      <c r="A8" s="173">
        <v>830145805</v>
      </c>
      <c r="B8" s="173" t="s">
        <v>107</v>
      </c>
      <c r="C8" s="156">
        <v>70236141</v>
      </c>
      <c r="D8" s="156"/>
      <c r="E8" s="156"/>
      <c r="F8" s="156"/>
      <c r="G8" s="156">
        <v>70236141</v>
      </c>
      <c r="J8" s="173" t="s">
        <v>1906</v>
      </c>
      <c r="K8" s="173"/>
    </row>
    <row r="9" spans="1:12">
      <c r="A9" s="173">
        <v>900060537</v>
      </c>
      <c r="B9" s="173" t="s">
        <v>239</v>
      </c>
      <c r="C9" s="156"/>
      <c r="D9" s="156"/>
      <c r="E9" s="156">
        <v>15620168</v>
      </c>
      <c r="F9" s="156"/>
      <c r="G9" s="156">
        <v>15620168</v>
      </c>
      <c r="J9" s="173" t="s">
        <v>264</v>
      </c>
    </row>
    <row r="10" spans="1:12">
      <c r="A10" s="173" t="s">
        <v>264</v>
      </c>
      <c r="C10" s="156">
        <v>70236141</v>
      </c>
      <c r="D10" s="156">
        <v>32500001</v>
      </c>
      <c r="E10" s="156">
        <v>15620168</v>
      </c>
      <c r="F10" s="156">
        <v>139685712</v>
      </c>
      <c r="G10" s="156">
        <v>258042022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9"/>
  <sheetViews>
    <sheetView workbookViewId="0">
      <selection activeCell="H6" sqref="H6"/>
    </sheetView>
  </sheetViews>
  <sheetFormatPr defaultColWidth="11.42578125" defaultRowHeight="15"/>
  <cols>
    <col min="1" max="2" width="11.42578125" style="5"/>
    <col min="3" max="3" width="24.42578125" style="5" customWidth="1"/>
    <col min="4" max="5" width="11.42578125" style="5"/>
    <col min="6" max="6" width="25.28515625" style="5" customWidth="1"/>
    <col min="7" max="7" width="19.28515625" style="5" customWidth="1"/>
    <col min="8" max="8" width="13.7109375" style="5" customWidth="1"/>
    <col min="9" max="9" width="12.5703125" style="5" bestFit="1" customWidth="1"/>
    <col min="10" max="16384" width="11.42578125" style="5"/>
  </cols>
  <sheetData>
    <row r="1" spans="2:12">
      <c r="C1" s="18"/>
      <c r="D1" s="18"/>
    </row>
    <row r="2" spans="2:12">
      <c r="B2" s="18" t="s">
        <v>365</v>
      </c>
      <c r="C2" s="18" t="s">
        <v>363</v>
      </c>
      <c r="E2" s="18" t="s">
        <v>365</v>
      </c>
      <c r="F2" s="18" t="s">
        <v>367</v>
      </c>
      <c r="H2" s="18" t="s">
        <v>378</v>
      </c>
      <c r="K2" s="5" t="s">
        <v>379</v>
      </c>
    </row>
    <row r="3" spans="2:12">
      <c r="B3" s="5" t="s">
        <v>366</v>
      </c>
      <c r="C3" s="5" t="s">
        <v>364</v>
      </c>
      <c r="E3" s="5" t="s">
        <v>370</v>
      </c>
      <c r="F3" s="5" t="s">
        <v>368</v>
      </c>
      <c r="H3" s="85" t="s">
        <v>505</v>
      </c>
      <c r="I3" s="20">
        <v>0.29166666666666669</v>
      </c>
      <c r="J3" s="20"/>
      <c r="K3" s="5">
        <v>1</v>
      </c>
      <c r="L3" s="5" t="s">
        <v>380</v>
      </c>
    </row>
    <row r="4" spans="2:12">
      <c r="B4" s="5" t="s">
        <v>1272</v>
      </c>
      <c r="C4" s="5" t="s">
        <v>1273</v>
      </c>
      <c r="E4" s="5" t="s">
        <v>371</v>
      </c>
      <c r="F4" s="5" t="s">
        <v>369</v>
      </c>
      <c r="H4" s="85" t="s">
        <v>506</v>
      </c>
      <c r="I4" s="20">
        <v>0.41666666666666669</v>
      </c>
      <c r="J4" s="20"/>
      <c r="K4" s="5">
        <v>2</v>
      </c>
      <c r="L4" s="5" t="s">
        <v>381</v>
      </c>
    </row>
    <row r="5" spans="2:12">
      <c r="B5" s="5" t="s">
        <v>1276</v>
      </c>
      <c r="C5" s="5" t="s">
        <v>1277</v>
      </c>
      <c r="E5" s="5" t="s">
        <v>372</v>
      </c>
      <c r="F5" s="5" t="s">
        <v>385</v>
      </c>
      <c r="H5" s="85" t="s">
        <v>497</v>
      </c>
      <c r="I5" s="20" t="s">
        <v>387</v>
      </c>
      <c r="J5" s="20"/>
      <c r="K5" s="5">
        <v>3</v>
      </c>
      <c r="L5" s="5" t="s">
        <v>388</v>
      </c>
    </row>
    <row r="6" spans="2:12">
      <c r="E6" s="5" t="s">
        <v>386</v>
      </c>
      <c r="F6" s="5" t="s">
        <v>384</v>
      </c>
      <c r="H6" s="85">
        <v>4</v>
      </c>
      <c r="I6" s="176" t="s">
        <v>1278</v>
      </c>
      <c r="K6" s="5">
        <v>4</v>
      </c>
      <c r="L6" s="5" t="s">
        <v>389</v>
      </c>
    </row>
    <row r="7" spans="2:12">
      <c r="E7" s="5" t="s">
        <v>1274</v>
      </c>
      <c r="F7" s="5" t="s">
        <v>1275</v>
      </c>
    </row>
    <row r="13" spans="2:12">
      <c r="C13" s="5" t="s">
        <v>373</v>
      </c>
    </row>
    <row r="14" spans="2:12">
      <c r="C14" s="19" t="s">
        <v>374</v>
      </c>
      <c r="D14" s="19" t="s">
        <v>375</v>
      </c>
      <c r="E14" s="19" t="s">
        <v>376</v>
      </c>
      <c r="F14" s="19" t="s">
        <v>363</v>
      </c>
      <c r="G14" s="19" t="s">
        <v>377</v>
      </c>
      <c r="H14" s="18" t="s">
        <v>378</v>
      </c>
    </row>
    <row r="15" spans="2:12">
      <c r="C15" s="178">
        <v>1</v>
      </c>
      <c r="D15" s="4">
        <v>23</v>
      </c>
      <c r="E15" s="4">
        <v>11</v>
      </c>
      <c r="F15" s="4" t="s">
        <v>366</v>
      </c>
      <c r="G15" s="4" t="s">
        <v>370</v>
      </c>
    </row>
    <row r="18" spans="3:3">
      <c r="C18" s="5" t="s">
        <v>1412</v>
      </c>
    </row>
    <row r="19" spans="3:3">
      <c r="C19" s="5" t="s">
        <v>1413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B3:I176"/>
  <sheetViews>
    <sheetView workbookViewId="0">
      <selection activeCell="I2" sqref="I2"/>
    </sheetView>
  </sheetViews>
  <sheetFormatPr defaultColWidth="11.42578125" defaultRowHeight="15"/>
  <cols>
    <col min="1" max="1" width="11.42578125" style="128"/>
    <col min="2" max="2" width="17.140625" style="128" customWidth="1"/>
    <col min="3" max="3" width="19.5703125" style="128" customWidth="1"/>
    <col min="4" max="4" width="39.5703125" style="128" customWidth="1"/>
    <col min="5" max="5" width="21.85546875" style="128" customWidth="1"/>
    <col min="6" max="8" width="11.42578125" style="128"/>
    <col min="9" max="9" width="87.5703125" style="128" customWidth="1"/>
    <col min="10" max="16384" width="11.42578125" style="128"/>
  </cols>
  <sheetData>
    <row r="3" spans="2:9">
      <c r="B3" s="128" t="s">
        <v>499</v>
      </c>
      <c r="C3" s="128" t="s">
        <v>439</v>
      </c>
      <c r="D3" s="128" t="s">
        <v>142</v>
      </c>
      <c r="E3" s="128" t="s">
        <v>14</v>
      </c>
      <c r="F3" s="128" t="s">
        <v>15</v>
      </c>
      <c r="G3" s="128">
        <v>1</v>
      </c>
      <c r="I3" s="128" t="str">
        <f>+CONCATENATE(C3,D3,E3,F3)</f>
        <v>PVT-00086110CASTILLO NOGUERA LEIDY ALEJANDRA*CB-110                                           AZUL FIJI</v>
      </c>
    </row>
    <row r="4" spans="2:9">
      <c r="B4" s="128" t="s">
        <v>499</v>
      </c>
      <c r="C4" s="128" t="s">
        <v>439</v>
      </c>
      <c r="D4" s="128" t="s">
        <v>142</v>
      </c>
      <c r="E4" s="128" t="s">
        <v>14</v>
      </c>
      <c r="F4" s="128" t="s">
        <v>16</v>
      </c>
      <c r="G4" s="128">
        <v>1</v>
      </c>
      <c r="I4" s="128" t="str">
        <f t="shared" ref="I4:I67" si="0">+CONCATENATE(C4,D4,E4,F4)</f>
        <v xml:space="preserve">PVT-00086110CASTILLO NOGUERA LEIDY ALEJANDRA*CB-110                                           NEGRO    </v>
      </c>
    </row>
    <row r="5" spans="2:9" hidden="1">
      <c r="B5" s="128" t="s">
        <v>499</v>
      </c>
      <c r="C5" s="128" t="s">
        <v>439</v>
      </c>
      <c r="D5" s="128" t="s">
        <v>142</v>
      </c>
      <c r="E5" s="128" t="s">
        <v>27</v>
      </c>
      <c r="F5" s="128" t="s">
        <v>16</v>
      </c>
      <c r="G5" s="128">
        <v>3</v>
      </c>
      <c r="I5" s="128" t="str">
        <f t="shared" si="0"/>
        <v xml:space="preserve">PVT-00086110CASTILLO NOGUERA LEIDY ALEJANDRA*XR 150L                                          NEGRO    </v>
      </c>
    </row>
    <row r="6" spans="2:9" hidden="1">
      <c r="B6" s="128" t="s">
        <v>499</v>
      </c>
      <c r="C6" s="128" t="s">
        <v>439</v>
      </c>
      <c r="D6" s="128" t="s">
        <v>142</v>
      </c>
      <c r="E6" s="128" t="s">
        <v>27</v>
      </c>
      <c r="F6" s="128" t="s">
        <v>26</v>
      </c>
      <c r="G6" s="128">
        <v>4</v>
      </c>
      <c r="I6" s="128" t="str">
        <f t="shared" si="0"/>
        <v>PVT-00086110CASTILLO NOGUERA LEIDY ALEJANDRA*XR 150L                                          NEGRO BLA</v>
      </c>
    </row>
    <row r="7" spans="2:9" hidden="1">
      <c r="B7" s="128" t="s">
        <v>499</v>
      </c>
      <c r="C7" s="128" t="s">
        <v>439</v>
      </c>
      <c r="D7" s="128" t="s">
        <v>142</v>
      </c>
      <c r="E7" s="128" t="s">
        <v>27</v>
      </c>
      <c r="F7" s="128" t="s">
        <v>32</v>
      </c>
      <c r="G7" s="128">
        <v>3</v>
      </c>
      <c r="I7" s="128" t="str">
        <f t="shared" si="0"/>
        <v>PVT-00086110CASTILLO NOGUERA LEIDY ALEJANDRA*XR 150L                                          NEGRO ROJ</v>
      </c>
    </row>
    <row r="8" spans="2:9" hidden="1">
      <c r="B8" s="128" t="s">
        <v>499</v>
      </c>
      <c r="C8" s="128" t="s">
        <v>439</v>
      </c>
      <c r="D8" s="128" t="s">
        <v>142</v>
      </c>
      <c r="E8" s="128" t="s">
        <v>20</v>
      </c>
      <c r="F8" s="128" t="s">
        <v>44</v>
      </c>
      <c r="G8" s="128">
        <v>1</v>
      </c>
      <c r="I8" s="128" t="str">
        <f t="shared" si="0"/>
        <v>PVT-00086110CASTILLO NOGUERA LEIDY ALEJANDRADREAM NEO                                         BLANCO PE</v>
      </c>
    </row>
    <row r="9" spans="2:9">
      <c r="B9" s="128" t="s">
        <v>499</v>
      </c>
      <c r="C9" s="128" t="s">
        <v>467</v>
      </c>
      <c r="D9" s="128" t="s">
        <v>93</v>
      </c>
      <c r="E9" s="128" t="s">
        <v>14</v>
      </c>
      <c r="F9" s="128" t="s">
        <v>30</v>
      </c>
      <c r="G9" s="128">
        <v>2</v>
      </c>
      <c r="I9" s="128" t="str">
        <f t="shared" si="0"/>
        <v>PVT-00086278MOTO HIT LTDA*CB-110                                           GRIS META</v>
      </c>
    </row>
    <row r="10" spans="2:9" hidden="1">
      <c r="B10" s="128" t="s">
        <v>499</v>
      </c>
      <c r="C10" s="128" t="s">
        <v>467</v>
      </c>
      <c r="D10" s="128" t="s">
        <v>93</v>
      </c>
      <c r="E10" s="128" t="s">
        <v>27</v>
      </c>
      <c r="F10" s="128" t="s">
        <v>32</v>
      </c>
      <c r="G10" s="128">
        <v>3</v>
      </c>
      <c r="I10" s="128" t="str">
        <f t="shared" si="0"/>
        <v>PVT-00086278MOTO HIT LTDA*XR 150L                                          NEGRO ROJ</v>
      </c>
    </row>
    <row r="11" spans="2:9" hidden="1">
      <c r="B11" s="128" t="s">
        <v>499</v>
      </c>
      <c r="C11" s="128" t="s">
        <v>467</v>
      </c>
      <c r="D11" s="128" t="s">
        <v>93</v>
      </c>
      <c r="E11" s="128" t="s">
        <v>20</v>
      </c>
      <c r="F11" s="128" t="s">
        <v>16</v>
      </c>
      <c r="G11" s="128">
        <v>4</v>
      </c>
      <c r="I11" s="128" t="str">
        <f t="shared" si="0"/>
        <v xml:space="preserve">PVT-00086278MOTO HIT LTDADREAM NEO                                         NEGRO    </v>
      </c>
    </row>
    <row r="12" spans="2:9" hidden="1">
      <c r="B12" s="128" t="s">
        <v>499</v>
      </c>
      <c r="C12" s="128" t="s">
        <v>462</v>
      </c>
      <c r="D12" s="128" t="s">
        <v>93</v>
      </c>
      <c r="E12" s="128" t="s">
        <v>27</v>
      </c>
      <c r="F12" s="128" t="s">
        <v>32</v>
      </c>
      <c r="G12" s="128">
        <v>3</v>
      </c>
      <c r="I12" s="128" t="str">
        <f t="shared" si="0"/>
        <v>PVT-00086280MOTO HIT LTDA*XR 150L                                          NEGRO ROJ</v>
      </c>
    </row>
    <row r="13" spans="2:9" hidden="1">
      <c r="B13" s="128" t="s">
        <v>499</v>
      </c>
      <c r="C13" s="128" t="s">
        <v>462</v>
      </c>
      <c r="D13" s="128" t="s">
        <v>93</v>
      </c>
      <c r="E13" s="128" t="s">
        <v>20</v>
      </c>
      <c r="F13" s="128" t="s">
        <v>16</v>
      </c>
      <c r="G13" s="128">
        <v>6</v>
      </c>
      <c r="I13" s="128" t="str">
        <f t="shared" si="0"/>
        <v xml:space="preserve">PVT-00086280MOTO HIT LTDADREAM NEO                                         NEGRO    </v>
      </c>
    </row>
    <row r="14" spans="2:9" hidden="1">
      <c r="B14" s="128" t="s">
        <v>499</v>
      </c>
      <c r="C14" s="128" t="s">
        <v>463</v>
      </c>
      <c r="D14" s="128" t="s">
        <v>93</v>
      </c>
      <c r="E14" s="128" t="s">
        <v>27</v>
      </c>
      <c r="F14" s="128" t="s">
        <v>32</v>
      </c>
      <c r="G14" s="128">
        <v>3</v>
      </c>
      <c r="I14" s="128" t="str">
        <f t="shared" si="0"/>
        <v>PVT-00086282MOTO HIT LTDA*XR 150L                                          NEGRO ROJ</v>
      </c>
    </row>
    <row r="15" spans="2:9" hidden="1">
      <c r="B15" s="128" t="s">
        <v>499</v>
      </c>
      <c r="C15" s="128" t="s">
        <v>463</v>
      </c>
      <c r="D15" s="128" t="s">
        <v>93</v>
      </c>
      <c r="E15" s="128" t="s">
        <v>20</v>
      </c>
      <c r="F15" s="128" t="s">
        <v>16</v>
      </c>
      <c r="G15" s="128">
        <v>3</v>
      </c>
      <c r="I15" s="128" t="str">
        <f t="shared" si="0"/>
        <v xml:space="preserve">PVT-00086282MOTO HIT LTDADREAM NEO                                         NEGRO    </v>
      </c>
    </row>
    <row r="16" spans="2:9">
      <c r="B16" s="128" t="s">
        <v>496</v>
      </c>
      <c r="C16" s="128" t="s">
        <v>449</v>
      </c>
      <c r="D16" s="128" t="s">
        <v>146</v>
      </c>
      <c r="E16" s="128" t="s">
        <v>14</v>
      </c>
      <c r="F16" s="128" t="s">
        <v>15</v>
      </c>
      <c r="G16" s="128">
        <v>3</v>
      </c>
      <c r="I16" s="128" t="str">
        <f t="shared" si="0"/>
        <v>PVT-00086113PADILLA FLOREZ MARIO LUIS*CB-110                                           AZUL FIJI</v>
      </c>
    </row>
    <row r="17" spans="2:9">
      <c r="B17" s="128" t="s">
        <v>496</v>
      </c>
      <c r="C17" s="128" t="s">
        <v>449</v>
      </c>
      <c r="D17" s="128" t="s">
        <v>146</v>
      </c>
      <c r="E17" s="128" t="s">
        <v>14</v>
      </c>
      <c r="F17" s="128" t="s">
        <v>16</v>
      </c>
      <c r="G17" s="128">
        <v>2</v>
      </c>
      <c r="I17" s="128" t="str">
        <f t="shared" si="0"/>
        <v xml:space="preserve">PVT-00086113PADILLA FLOREZ MARIO LUIS*CB-110                                           NEGRO    </v>
      </c>
    </row>
    <row r="18" spans="2:9" hidden="1">
      <c r="B18" s="128" t="s">
        <v>496</v>
      </c>
      <c r="C18" s="128" t="s">
        <v>449</v>
      </c>
      <c r="D18" s="128" t="s">
        <v>146</v>
      </c>
      <c r="E18" s="128" t="s">
        <v>27</v>
      </c>
      <c r="F18" s="128" t="s">
        <v>32</v>
      </c>
      <c r="G18" s="128">
        <v>3</v>
      </c>
      <c r="I18" s="128" t="str">
        <f t="shared" si="0"/>
        <v>PVT-00086113PADILLA FLOREZ MARIO LUIS*XR 150L                                          NEGRO ROJ</v>
      </c>
    </row>
    <row r="19" spans="2:9">
      <c r="B19" s="128" t="s">
        <v>496</v>
      </c>
      <c r="C19" s="128" t="s">
        <v>443</v>
      </c>
      <c r="D19" s="128" t="s">
        <v>87</v>
      </c>
      <c r="E19" s="128" t="s">
        <v>14</v>
      </c>
      <c r="F19" s="128" t="s">
        <v>15</v>
      </c>
      <c r="G19" s="128">
        <v>1</v>
      </c>
      <c r="I19" s="128" t="str">
        <f t="shared" si="0"/>
        <v>PVT-00086125RUBE MOTOS S.A.S.*CB-110                                           AZUL FIJI</v>
      </c>
    </row>
    <row r="20" spans="2:9">
      <c r="B20" s="128" t="s">
        <v>496</v>
      </c>
      <c r="C20" s="128" t="s">
        <v>443</v>
      </c>
      <c r="D20" s="128" t="s">
        <v>87</v>
      </c>
      <c r="E20" s="128" t="s">
        <v>14</v>
      </c>
      <c r="F20" s="128" t="s">
        <v>16</v>
      </c>
      <c r="G20" s="128">
        <v>2</v>
      </c>
      <c r="I20" s="128" t="str">
        <f t="shared" si="0"/>
        <v xml:space="preserve">PVT-00086125RUBE MOTOS S.A.S.*CB-110                                           NEGRO    </v>
      </c>
    </row>
    <row r="21" spans="2:9">
      <c r="B21" s="128" t="s">
        <v>496</v>
      </c>
      <c r="C21" s="128" t="s">
        <v>442</v>
      </c>
      <c r="D21" s="128" t="s">
        <v>315</v>
      </c>
      <c r="E21" s="128" t="s">
        <v>14</v>
      </c>
      <c r="F21" s="128" t="s">
        <v>15</v>
      </c>
      <c r="G21" s="128">
        <v>1</v>
      </c>
      <c r="I21" s="128" t="str">
        <f t="shared" si="0"/>
        <v>PVT-00086154GUERRA MONTES PEDRO ANTONIO*CB-110                                           AZUL FIJI</v>
      </c>
    </row>
    <row r="22" spans="2:9" hidden="1">
      <c r="B22" s="128" t="s">
        <v>496</v>
      </c>
      <c r="C22" s="128" t="s">
        <v>442</v>
      </c>
      <c r="D22" s="128" t="s">
        <v>315</v>
      </c>
      <c r="E22" s="128" t="s">
        <v>27</v>
      </c>
      <c r="F22" s="128" t="s">
        <v>32</v>
      </c>
      <c r="G22" s="128">
        <v>2</v>
      </c>
      <c r="I22" s="128" t="str">
        <f t="shared" si="0"/>
        <v>PVT-00086154GUERRA MONTES PEDRO ANTONIO*XR 150L                                          NEGRO ROJ</v>
      </c>
    </row>
    <row r="23" spans="2:9" hidden="1">
      <c r="B23" s="128" t="s">
        <v>496</v>
      </c>
      <c r="C23" s="128" t="s">
        <v>442</v>
      </c>
      <c r="D23" s="128" t="s">
        <v>315</v>
      </c>
      <c r="E23" s="128" t="s">
        <v>20</v>
      </c>
      <c r="F23" s="128" t="s">
        <v>16</v>
      </c>
      <c r="G23" s="128">
        <v>1</v>
      </c>
      <c r="I23" s="128" t="str">
        <f t="shared" si="0"/>
        <v xml:space="preserve">PVT-00086154GUERRA MONTES PEDRO ANTONIODREAM NEO                                         NEGRO    </v>
      </c>
    </row>
    <row r="24" spans="2:9">
      <c r="B24" s="128" t="s">
        <v>496</v>
      </c>
      <c r="C24" s="128" t="s">
        <v>469</v>
      </c>
      <c r="D24" s="128" t="s">
        <v>93</v>
      </c>
      <c r="E24" s="128" t="s">
        <v>14</v>
      </c>
      <c r="F24" s="128" t="s">
        <v>15</v>
      </c>
      <c r="G24" s="128">
        <v>1</v>
      </c>
      <c r="I24" s="128" t="str">
        <f t="shared" si="0"/>
        <v>PVT-00086279MOTO HIT LTDA*CB-110                                           AZUL FIJI</v>
      </c>
    </row>
    <row r="25" spans="2:9" hidden="1">
      <c r="B25" s="128" t="s">
        <v>496</v>
      </c>
      <c r="C25" s="128" t="s">
        <v>469</v>
      </c>
      <c r="D25" s="128" t="s">
        <v>93</v>
      </c>
      <c r="E25" s="128" t="s">
        <v>27</v>
      </c>
      <c r="F25" s="128" t="s">
        <v>26</v>
      </c>
      <c r="G25" s="128">
        <v>1</v>
      </c>
      <c r="I25" s="128" t="str">
        <f t="shared" si="0"/>
        <v>PVT-00086279MOTO HIT LTDA*XR 150L                                          NEGRO BLA</v>
      </c>
    </row>
    <row r="26" spans="2:9" hidden="1">
      <c r="B26" s="128" t="s">
        <v>496</v>
      </c>
      <c r="C26" s="128" t="s">
        <v>469</v>
      </c>
      <c r="D26" s="128" t="s">
        <v>93</v>
      </c>
      <c r="E26" s="128" t="s">
        <v>27</v>
      </c>
      <c r="F26" s="128" t="s">
        <v>32</v>
      </c>
      <c r="G26" s="128">
        <v>2</v>
      </c>
      <c r="I26" s="128" t="str">
        <f t="shared" si="0"/>
        <v>PVT-00086279MOTO HIT LTDA*XR 150L                                          NEGRO ROJ</v>
      </c>
    </row>
    <row r="27" spans="2:9" hidden="1">
      <c r="B27" s="128" t="s">
        <v>496</v>
      </c>
      <c r="C27" s="128" t="s">
        <v>464</v>
      </c>
      <c r="D27" s="128" t="s">
        <v>93</v>
      </c>
      <c r="E27" s="128" t="s">
        <v>27</v>
      </c>
      <c r="F27" s="128" t="s">
        <v>32</v>
      </c>
      <c r="G27" s="128">
        <v>3</v>
      </c>
      <c r="I27" s="128" t="str">
        <f t="shared" si="0"/>
        <v>PVT-00086283MOTO HIT LTDA*XR 150L                                          NEGRO ROJ</v>
      </c>
    </row>
    <row r="28" spans="2:9" hidden="1">
      <c r="B28" s="128" t="s">
        <v>496</v>
      </c>
      <c r="C28" s="128" t="s">
        <v>464</v>
      </c>
      <c r="D28" s="128" t="s">
        <v>93</v>
      </c>
      <c r="E28" s="128" t="s">
        <v>20</v>
      </c>
      <c r="F28" s="128" t="s">
        <v>16</v>
      </c>
      <c r="G28" s="128">
        <v>2</v>
      </c>
      <c r="I28" s="128" t="str">
        <f t="shared" si="0"/>
        <v xml:space="preserve">PVT-00086283MOTO HIT LTDADREAM NEO                                         NEGRO    </v>
      </c>
    </row>
    <row r="29" spans="2:9">
      <c r="B29" s="128" t="s">
        <v>496</v>
      </c>
      <c r="C29" s="128" t="s">
        <v>466</v>
      </c>
      <c r="D29" s="128" t="s">
        <v>93</v>
      </c>
      <c r="E29" s="128" t="s">
        <v>14</v>
      </c>
      <c r="F29" s="128" t="s">
        <v>15</v>
      </c>
      <c r="G29" s="128">
        <v>1</v>
      </c>
      <c r="I29" s="128" t="str">
        <f t="shared" si="0"/>
        <v>PVT-00086285MOTO HIT LTDA*CB-110                                           AZUL FIJI</v>
      </c>
    </row>
    <row r="30" spans="2:9" hidden="1">
      <c r="B30" s="128" t="s">
        <v>496</v>
      </c>
      <c r="C30" s="128" t="s">
        <v>466</v>
      </c>
      <c r="D30" s="128" t="s">
        <v>93</v>
      </c>
      <c r="E30" s="128" t="s">
        <v>27</v>
      </c>
      <c r="F30" s="128" t="s">
        <v>26</v>
      </c>
      <c r="G30" s="128">
        <v>4</v>
      </c>
      <c r="I30" s="128" t="str">
        <f t="shared" si="0"/>
        <v>PVT-00086285MOTO HIT LTDA*XR 150L                                          NEGRO BLA</v>
      </c>
    </row>
    <row r="31" spans="2:9" hidden="1">
      <c r="B31" s="128" t="s">
        <v>496</v>
      </c>
      <c r="C31" s="128" t="s">
        <v>466</v>
      </c>
      <c r="D31" s="128" t="s">
        <v>93</v>
      </c>
      <c r="E31" s="128" t="s">
        <v>27</v>
      </c>
      <c r="F31" s="128" t="s">
        <v>32</v>
      </c>
      <c r="G31" s="128">
        <v>4</v>
      </c>
      <c r="I31" s="128" t="str">
        <f t="shared" si="0"/>
        <v>PVT-00086285MOTO HIT LTDA*XR 150L                                          NEGRO ROJ</v>
      </c>
    </row>
    <row r="32" spans="2:9" hidden="1">
      <c r="B32" s="128" t="s">
        <v>496</v>
      </c>
      <c r="C32" s="128" t="s">
        <v>466</v>
      </c>
      <c r="D32" s="128" t="s">
        <v>93</v>
      </c>
      <c r="E32" s="128" t="s">
        <v>20</v>
      </c>
      <c r="F32" s="128" t="s">
        <v>16</v>
      </c>
      <c r="G32" s="128">
        <v>4</v>
      </c>
      <c r="I32" s="128" t="str">
        <f t="shared" si="0"/>
        <v xml:space="preserve">PVT-00086285MOTO HIT LTDADREAM NEO                                         NEGRO    </v>
      </c>
    </row>
    <row r="33" spans="2:9" hidden="1">
      <c r="B33" s="128" t="s">
        <v>507</v>
      </c>
      <c r="C33" s="128" t="s">
        <v>445</v>
      </c>
      <c r="D33" s="128" t="s">
        <v>87</v>
      </c>
      <c r="E33" s="128" t="s">
        <v>27</v>
      </c>
      <c r="F33" s="128" t="s">
        <v>16</v>
      </c>
      <c r="G33" s="128">
        <v>1</v>
      </c>
      <c r="I33" s="128" t="str">
        <f t="shared" si="0"/>
        <v xml:space="preserve">PVT-00086127RUBE MOTOS S.A.S.*XR 150L                                          NEGRO    </v>
      </c>
    </row>
    <row r="34" spans="2:9" hidden="1">
      <c r="B34" s="128" t="s">
        <v>507</v>
      </c>
      <c r="C34" s="128" t="s">
        <v>444</v>
      </c>
      <c r="D34" s="128" t="s">
        <v>87</v>
      </c>
      <c r="E34" s="128" t="s">
        <v>27</v>
      </c>
      <c r="F34" s="128" t="s">
        <v>16</v>
      </c>
      <c r="G34" s="128">
        <v>3</v>
      </c>
      <c r="I34" s="128" t="str">
        <f t="shared" si="0"/>
        <v xml:space="preserve">PVT-00086128RUBE MOTOS S.A.S.*XR 150L                                          NEGRO    </v>
      </c>
    </row>
    <row r="35" spans="2:9" hidden="1">
      <c r="B35" s="128" t="s">
        <v>507</v>
      </c>
      <c r="C35" s="128" t="s">
        <v>444</v>
      </c>
      <c r="D35" s="128" t="s">
        <v>87</v>
      </c>
      <c r="E35" s="128" t="s">
        <v>27</v>
      </c>
      <c r="F35" s="128" t="s">
        <v>26</v>
      </c>
      <c r="G35" s="128">
        <v>3</v>
      </c>
      <c r="I35" s="128" t="str">
        <f t="shared" si="0"/>
        <v>PVT-00086128RUBE MOTOS S.A.S.*XR 150L                                          NEGRO BLA</v>
      </c>
    </row>
    <row r="36" spans="2:9">
      <c r="B36" s="128" t="s">
        <v>507</v>
      </c>
      <c r="C36" s="128" t="s">
        <v>446</v>
      </c>
      <c r="D36" s="128" t="s">
        <v>87</v>
      </c>
      <c r="E36" s="128" t="s">
        <v>14</v>
      </c>
      <c r="F36" s="128" t="s">
        <v>15</v>
      </c>
      <c r="G36" s="128">
        <v>1</v>
      </c>
      <c r="I36" s="128" t="str">
        <f t="shared" si="0"/>
        <v>PVT-00086130RUBE MOTOS S.A.S.*CB-110                                           AZUL FIJI</v>
      </c>
    </row>
    <row r="37" spans="2:9">
      <c r="B37" s="128" t="s">
        <v>507</v>
      </c>
      <c r="C37" s="128" t="s">
        <v>446</v>
      </c>
      <c r="D37" s="128" t="s">
        <v>87</v>
      </c>
      <c r="E37" s="128" t="s">
        <v>14</v>
      </c>
      <c r="F37" s="128" t="s">
        <v>16</v>
      </c>
      <c r="G37" s="128">
        <v>2</v>
      </c>
      <c r="I37" s="128" t="str">
        <f t="shared" si="0"/>
        <v xml:space="preserve">PVT-00086130RUBE MOTOS S.A.S.*CB-110                                           NEGRO    </v>
      </c>
    </row>
    <row r="38" spans="2:9" hidden="1">
      <c r="B38" s="128" t="s">
        <v>507</v>
      </c>
      <c r="C38" s="128" t="s">
        <v>446</v>
      </c>
      <c r="D38" s="128" t="s">
        <v>87</v>
      </c>
      <c r="E38" s="128" t="s">
        <v>27</v>
      </c>
      <c r="F38" s="128" t="s">
        <v>16</v>
      </c>
      <c r="G38" s="128">
        <v>1</v>
      </c>
      <c r="I38" s="128" t="str">
        <f t="shared" si="0"/>
        <v xml:space="preserve">PVT-00086130RUBE MOTOS S.A.S.*XR 150L                                          NEGRO    </v>
      </c>
    </row>
    <row r="39" spans="2:9">
      <c r="B39" s="128" t="s">
        <v>507</v>
      </c>
      <c r="C39" s="128" t="s">
        <v>455</v>
      </c>
      <c r="D39" s="128" t="s">
        <v>140</v>
      </c>
      <c r="E39" s="128" t="s">
        <v>14</v>
      </c>
      <c r="F39" s="128" t="s">
        <v>16</v>
      </c>
      <c r="G39" s="128">
        <v>10</v>
      </c>
      <c r="I39" s="128" t="str">
        <f t="shared" si="0"/>
        <v xml:space="preserve">PVT-00086177SUPERMOTOS DE CORDOBA S.A*CB-110                                           NEGRO    </v>
      </c>
    </row>
    <row r="40" spans="2:9">
      <c r="B40" s="128" t="s">
        <v>507</v>
      </c>
      <c r="C40" s="128" t="s">
        <v>465</v>
      </c>
      <c r="D40" s="128" t="s">
        <v>93</v>
      </c>
      <c r="E40" s="128" t="s">
        <v>14</v>
      </c>
      <c r="F40" s="128" t="s">
        <v>15</v>
      </c>
      <c r="G40" s="128">
        <v>1</v>
      </c>
      <c r="I40" s="128" t="str">
        <f t="shared" si="0"/>
        <v>PVT-00086287MOTO HIT LTDA*CB-110                                           AZUL FIJI</v>
      </c>
    </row>
    <row r="41" spans="2:9">
      <c r="B41" s="128" t="s">
        <v>507</v>
      </c>
      <c r="C41" s="128" t="s">
        <v>465</v>
      </c>
      <c r="D41" s="128" t="s">
        <v>93</v>
      </c>
      <c r="E41" s="128" t="s">
        <v>14</v>
      </c>
      <c r="F41" s="128" t="s">
        <v>16</v>
      </c>
      <c r="G41" s="128">
        <v>3</v>
      </c>
      <c r="I41" s="128" t="str">
        <f t="shared" si="0"/>
        <v xml:space="preserve">PVT-00086287MOTO HIT LTDA*CB-110                                           NEGRO    </v>
      </c>
    </row>
    <row r="42" spans="2:9" hidden="1">
      <c r="B42" s="128" t="s">
        <v>507</v>
      </c>
      <c r="C42" s="128" t="s">
        <v>465</v>
      </c>
      <c r="D42" s="128" t="s">
        <v>93</v>
      </c>
      <c r="E42" s="128" t="s">
        <v>27</v>
      </c>
      <c r="F42" s="128" t="s">
        <v>16</v>
      </c>
      <c r="G42" s="128">
        <v>3</v>
      </c>
      <c r="I42" s="128" t="str">
        <f t="shared" si="0"/>
        <v xml:space="preserve">PVT-00086287MOTO HIT LTDA*XR 150L                                          NEGRO    </v>
      </c>
    </row>
    <row r="43" spans="2:9" hidden="1">
      <c r="B43" s="128" t="s">
        <v>507</v>
      </c>
      <c r="C43" s="128" t="s">
        <v>481</v>
      </c>
      <c r="D43" s="128" t="s">
        <v>93</v>
      </c>
      <c r="E43" s="128" t="s">
        <v>20</v>
      </c>
      <c r="F43" s="128" t="s">
        <v>16</v>
      </c>
      <c r="G43" s="128">
        <v>4</v>
      </c>
      <c r="I43" s="128" t="str">
        <f t="shared" si="0"/>
        <v xml:space="preserve">PVT-00086581MOTO HIT LTDADREAM NEO                                         NEGRO    </v>
      </c>
    </row>
    <row r="44" spans="2:9">
      <c r="B44" s="128" t="s">
        <v>504</v>
      </c>
      <c r="C44" s="128" t="s">
        <v>440</v>
      </c>
      <c r="D44" s="128" t="s">
        <v>325</v>
      </c>
      <c r="E44" s="128" t="s">
        <v>14</v>
      </c>
      <c r="F44" s="128" t="s">
        <v>15</v>
      </c>
      <c r="G44" s="128">
        <v>1</v>
      </c>
      <c r="I44" s="128" t="str">
        <f t="shared" si="0"/>
        <v>PVT-00086115MOTOCARIBE S.A.S.*CB-110                                           AZUL FIJI</v>
      </c>
    </row>
    <row r="45" spans="2:9" hidden="1">
      <c r="B45" s="128" t="s">
        <v>504</v>
      </c>
      <c r="C45" s="128" t="s">
        <v>440</v>
      </c>
      <c r="D45" s="128" t="s">
        <v>325</v>
      </c>
      <c r="E45" s="128" t="s">
        <v>27</v>
      </c>
      <c r="F45" s="128" t="s">
        <v>26</v>
      </c>
      <c r="G45" s="128">
        <v>1</v>
      </c>
      <c r="I45" s="128" t="str">
        <f t="shared" si="0"/>
        <v>PVT-00086115MOTOCARIBE S.A.S.*XR 150L                                          NEGRO BLA</v>
      </c>
    </row>
    <row r="46" spans="2:9" hidden="1">
      <c r="B46" s="128" t="s">
        <v>504</v>
      </c>
      <c r="C46" s="128" t="s">
        <v>440</v>
      </c>
      <c r="D46" s="128" t="s">
        <v>325</v>
      </c>
      <c r="E46" s="128" t="s">
        <v>27</v>
      </c>
      <c r="F46" s="128" t="s">
        <v>32</v>
      </c>
      <c r="G46" s="128">
        <v>1</v>
      </c>
      <c r="I46" s="128" t="str">
        <f t="shared" si="0"/>
        <v>PVT-00086115MOTOCARIBE S.A.S.*XR 150L                                          NEGRO ROJ</v>
      </c>
    </row>
    <row r="47" spans="2:9">
      <c r="B47" s="128" t="s">
        <v>504</v>
      </c>
      <c r="C47" s="128" t="s">
        <v>426</v>
      </c>
      <c r="D47" s="128" t="s">
        <v>193</v>
      </c>
      <c r="E47" s="128" t="s">
        <v>14</v>
      </c>
      <c r="F47" s="128" t="s">
        <v>15</v>
      </c>
      <c r="G47" s="128">
        <v>4</v>
      </c>
      <c r="I47" s="128" t="str">
        <f t="shared" si="0"/>
        <v>PVT-00086171SUPERMOTOS DE BOLIVAR S.A.S.*CB-110                                           AZUL FIJI</v>
      </c>
    </row>
    <row r="48" spans="2:9">
      <c r="B48" s="128" t="s">
        <v>504</v>
      </c>
      <c r="C48" s="128" t="s">
        <v>426</v>
      </c>
      <c r="D48" s="128" t="s">
        <v>193</v>
      </c>
      <c r="E48" s="128" t="s">
        <v>14</v>
      </c>
      <c r="F48" s="128" t="s">
        <v>30</v>
      </c>
      <c r="G48" s="128">
        <v>5</v>
      </c>
      <c r="I48" s="128" t="str">
        <f t="shared" si="0"/>
        <v>PVT-00086171SUPERMOTOS DE BOLIVAR S.A.S.*CB-110                                           GRIS META</v>
      </c>
    </row>
    <row r="49" spans="2:9">
      <c r="B49" s="128" t="s">
        <v>504</v>
      </c>
      <c r="C49" s="128" t="s">
        <v>426</v>
      </c>
      <c r="D49" s="128" t="s">
        <v>193</v>
      </c>
      <c r="E49" s="128" t="s">
        <v>14</v>
      </c>
      <c r="F49" s="128" t="s">
        <v>16</v>
      </c>
      <c r="G49" s="128">
        <v>19</v>
      </c>
      <c r="I49" s="128" t="str">
        <f t="shared" si="0"/>
        <v xml:space="preserve">PVT-00086171SUPERMOTOS DE BOLIVAR S.A.S.*CB-110                                           NEGRO    </v>
      </c>
    </row>
    <row r="50" spans="2:9" hidden="1">
      <c r="B50" s="128" t="s">
        <v>504</v>
      </c>
      <c r="C50" s="128" t="s">
        <v>426</v>
      </c>
      <c r="D50" s="128" t="s">
        <v>193</v>
      </c>
      <c r="E50" s="128" t="s">
        <v>354</v>
      </c>
      <c r="F50" s="128" t="s">
        <v>355</v>
      </c>
      <c r="G50" s="128">
        <v>1</v>
      </c>
      <c r="I50" s="128" t="str">
        <f t="shared" si="0"/>
        <v>PVT-00086171SUPERMOTOS DE BOLIVAR S.A.S.CB 160F DLX                                       NEGRO PER</v>
      </c>
    </row>
    <row r="51" spans="2:9" hidden="1">
      <c r="B51" s="128" t="s">
        <v>504</v>
      </c>
      <c r="C51" s="128" t="s">
        <v>426</v>
      </c>
      <c r="D51" s="128" t="s">
        <v>193</v>
      </c>
      <c r="E51" s="128" t="s">
        <v>354</v>
      </c>
      <c r="F51" s="128" t="s">
        <v>17</v>
      </c>
      <c r="G51" s="128">
        <v>1</v>
      </c>
      <c r="I51" s="128" t="str">
        <f t="shared" si="0"/>
        <v>PVT-00086171SUPERMOTOS DE BOLIVAR S.A.S.CB 160F DLX                                       ROJO SPOR</v>
      </c>
    </row>
    <row r="52" spans="2:9" hidden="1">
      <c r="B52" s="128" t="s">
        <v>504</v>
      </c>
      <c r="C52" s="128" t="s">
        <v>426</v>
      </c>
      <c r="D52" s="128" t="s">
        <v>193</v>
      </c>
      <c r="E52" s="128" t="s">
        <v>10</v>
      </c>
      <c r="F52" s="128" t="s">
        <v>13</v>
      </c>
      <c r="G52" s="128">
        <v>2</v>
      </c>
      <c r="I52" s="128" t="str">
        <f t="shared" si="0"/>
        <v>PVT-00086171SUPERMOTOS DE BOLIVAR S.A.S.CB 190R                                           ROJO NEGR</v>
      </c>
    </row>
    <row r="53" spans="2:9">
      <c r="B53" s="128" t="s">
        <v>504</v>
      </c>
      <c r="C53" s="128" t="s">
        <v>468</v>
      </c>
      <c r="D53" s="128" t="s">
        <v>93</v>
      </c>
      <c r="E53" s="128" t="s">
        <v>14</v>
      </c>
      <c r="F53" s="128" t="s">
        <v>15</v>
      </c>
      <c r="G53" s="128">
        <v>1</v>
      </c>
      <c r="I53" s="128" t="str">
        <f t="shared" si="0"/>
        <v>PVT-00086281MOTO HIT LTDA*CB-110                                           AZUL FIJI</v>
      </c>
    </row>
    <row r="54" spans="2:9">
      <c r="B54" s="128" t="s">
        <v>504</v>
      </c>
      <c r="C54" s="128" t="s">
        <v>468</v>
      </c>
      <c r="D54" s="128" t="s">
        <v>93</v>
      </c>
      <c r="E54" s="128" t="s">
        <v>14</v>
      </c>
      <c r="F54" s="128" t="s">
        <v>16</v>
      </c>
      <c r="G54" s="128">
        <v>1</v>
      </c>
      <c r="I54" s="128" t="str">
        <f t="shared" si="0"/>
        <v xml:space="preserve">PVT-00086281MOTO HIT LTDA*CB-110                                           NEGRO    </v>
      </c>
    </row>
    <row r="55" spans="2:9" hidden="1">
      <c r="B55" s="128" t="s">
        <v>504</v>
      </c>
      <c r="C55" s="128" t="s">
        <v>468</v>
      </c>
      <c r="D55" s="128" t="s">
        <v>93</v>
      </c>
      <c r="E55" s="128" t="s">
        <v>27</v>
      </c>
      <c r="F55" s="128" t="s">
        <v>26</v>
      </c>
      <c r="G55" s="128">
        <v>1</v>
      </c>
      <c r="I55" s="128" t="str">
        <f t="shared" si="0"/>
        <v>PVT-00086281MOTO HIT LTDA*XR 150L                                          NEGRO BLA</v>
      </c>
    </row>
    <row r="56" spans="2:9" hidden="1">
      <c r="B56" s="128" t="s">
        <v>504</v>
      </c>
      <c r="C56" s="128" t="s">
        <v>468</v>
      </c>
      <c r="D56" s="128" t="s">
        <v>93</v>
      </c>
      <c r="E56" s="128" t="s">
        <v>27</v>
      </c>
      <c r="F56" s="128" t="s">
        <v>32</v>
      </c>
      <c r="G56" s="128">
        <v>1</v>
      </c>
      <c r="I56" s="128" t="str">
        <f t="shared" si="0"/>
        <v>PVT-00086281MOTO HIT LTDA*XR 150L                                          NEGRO ROJ</v>
      </c>
    </row>
    <row r="57" spans="2:9" hidden="1">
      <c r="B57" s="128" t="s">
        <v>504</v>
      </c>
      <c r="C57" s="128" t="s">
        <v>468</v>
      </c>
      <c r="D57" s="128" t="s">
        <v>93</v>
      </c>
      <c r="E57" s="128" t="s">
        <v>23</v>
      </c>
      <c r="F57" s="128" t="s">
        <v>24</v>
      </c>
      <c r="G57" s="128">
        <v>1</v>
      </c>
      <c r="I57" s="128" t="str">
        <f t="shared" si="0"/>
        <v>PVT-00086281MOTO HIT LTDACLICK 125i                                        NEGRO AST</v>
      </c>
    </row>
    <row r="58" spans="2:9">
      <c r="B58" s="128" t="s">
        <v>503</v>
      </c>
      <c r="C58" s="128" t="s">
        <v>431</v>
      </c>
      <c r="D58" s="128" t="s">
        <v>43</v>
      </c>
      <c r="E58" s="128" t="s">
        <v>14</v>
      </c>
      <c r="F58" s="128" t="s">
        <v>16</v>
      </c>
      <c r="G58" s="128">
        <v>6</v>
      </c>
      <c r="I58" s="128" t="str">
        <f t="shared" si="0"/>
        <v xml:space="preserve">PVT-00086060SUPERMOTOS DE CALI S.A.S.*CB-110                                           NEGRO    </v>
      </c>
    </row>
    <row r="59" spans="2:9" hidden="1">
      <c r="B59" s="128" t="s">
        <v>503</v>
      </c>
      <c r="C59" s="128" t="s">
        <v>431</v>
      </c>
      <c r="D59" s="128" t="s">
        <v>43</v>
      </c>
      <c r="E59" s="128" t="s">
        <v>27</v>
      </c>
      <c r="F59" s="128" t="s">
        <v>32</v>
      </c>
      <c r="G59" s="128">
        <v>2</v>
      </c>
      <c r="I59" s="128" t="str">
        <f t="shared" si="0"/>
        <v>PVT-00086060SUPERMOTOS DE CALI S.A.S.*XR 150L                                          NEGRO ROJ</v>
      </c>
    </row>
    <row r="60" spans="2:9" hidden="1">
      <c r="B60" s="128" t="s">
        <v>503</v>
      </c>
      <c r="C60" s="128" t="s">
        <v>431</v>
      </c>
      <c r="D60" s="128" t="s">
        <v>43</v>
      </c>
      <c r="E60" s="128" t="s">
        <v>354</v>
      </c>
      <c r="F60" s="128" t="s">
        <v>474</v>
      </c>
      <c r="G60" s="128">
        <v>1</v>
      </c>
      <c r="I60" s="128" t="str">
        <f t="shared" si="0"/>
        <v>PVT-00086060SUPERMOTOS DE CALI S.A.S.CB 160F DLX                                       NARANJA N</v>
      </c>
    </row>
    <row r="61" spans="2:9" hidden="1">
      <c r="B61" s="128" t="s">
        <v>503</v>
      </c>
      <c r="C61" s="128" t="s">
        <v>431</v>
      </c>
      <c r="D61" s="128" t="s">
        <v>43</v>
      </c>
      <c r="E61" s="128" t="s">
        <v>354</v>
      </c>
      <c r="F61" s="128" t="s">
        <v>355</v>
      </c>
      <c r="G61" s="128">
        <v>3</v>
      </c>
      <c r="I61" s="128" t="str">
        <f t="shared" si="0"/>
        <v>PVT-00086060SUPERMOTOS DE CALI S.A.S.CB 160F DLX                                       NEGRO PER</v>
      </c>
    </row>
    <row r="62" spans="2:9">
      <c r="B62" s="128" t="s">
        <v>503</v>
      </c>
      <c r="C62" s="128" t="s">
        <v>433</v>
      </c>
      <c r="D62" s="128" t="s">
        <v>43</v>
      </c>
      <c r="E62" s="128" t="s">
        <v>14</v>
      </c>
      <c r="F62" s="128" t="s">
        <v>30</v>
      </c>
      <c r="G62" s="128">
        <v>3</v>
      </c>
      <c r="I62" s="128" t="str">
        <f t="shared" si="0"/>
        <v>PVT-00086065SUPERMOTOS DE CALI S.A.S.*CB-110                                           GRIS META</v>
      </c>
    </row>
    <row r="63" spans="2:9">
      <c r="B63" s="128" t="s">
        <v>503</v>
      </c>
      <c r="C63" s="128" t="s">
        <v>433</v>
      </c>
      <c r="D63" s="128" t="s">
        <v>43</v>
      </c>
      <c r="E63" s="128" t="s">
        <v>14</v>
      </c>
      <c r="F63" s="128" t="s">
        <v>16</v>
      </c>
      <c r="G63" s="128">
        <v>6</v>
      </c>
      <c r="I63" s="128" t="str">
        <f t="shared" si="0"/>
        <v xml:space="preserve">PVT-00086065SUPERMOTOS DE CALI S.A.S.*CB-110                                           NEGRO    </v>
      </c>
    </row>
    <row r="64" spans="2:9" hidden="1">
      <c r="B64" s="128" t="s">
        <v>503</v>
      </c>
      <c r="C64" s="128" t="s">
        <v>433</v>
      </c>
      <c r="D64" s="128" t="s">
        <v>43</v>
      </c>
      <c r="E64" s="128" t="s">
        <v>27</v>
      </c>
      <c r="F64" s="128" t="s">
        <v>32</v>
      </c>
      <c r="G64" s="128">
        <v>1</v>
      </c>
      <c r="I64" s="128" t="str">
        <f t="shared" si="0"/>
        <v>PVT-00086065SUPERMOTOS DE CALI S.A.S.*XR 150L                                          NEGRO ROJ</v>
      </c>
    </row>
    <row r="65" spans="2:9">
      <c r="B65" s="128" t="s">
        <v>503</v>
      </c>
      <c r="C65" s="128" t="s">
        <v>432</v>
      </c>
      <c r="D65" s="128" t="s">
        <v>43</v>
      </c>
      <c r="E65" s="128" t="s">
        <v>14</v>
      </c>
      <c r="F65" s="128" t="s">
        <v>16</v>
      </c>
      <c r="G65" s="128">
        <v>2</v>
      </c>
      <c r="I65" s="128" t="str">
        <f t="shared" si="0"/>
        <v xml:space="preserve">PVT-00086078SUPERMOTOS DE CALI S.A.S.*CB-110                                           NEGRO    </v>
      </c>
    </row>
    <row r="66" spans="2:9" hidden="1">
      <c r="B66" s="128" t="s">
        <v>503</v>
      </c>
      <c r="C66" s="128" t="s">
        <v>432</v>
      </c>
      <c r="D66" s="128" t="s">
        <v>43</v>
      </c>
      <c r="E66" s="128" t="s">
        <v>27</v>
      </c>
      <c r="F66" s="128" t="s">
        <v>32</v>
      </c>
      <c r="G66" s="128">
        <v>2</v>
      </c>
      <c r="I66" s="128" t="str">
        <f t="shared" si="0"/>
        <v>PVT-00086078SUPERMOTOS DE CALI S.A.S.*XR 150L                                          NEGRO ROJ</v>
      </c>
    </row>
    <row r="67" spans="2:9">
      <c r="B67" s="128" t="s">
        <v>502</v>
      </c>
      <c r="C67" s="128" t="s">
        <v>453</v>
      </c>
      <c r="D67" s="128" t="s">
        <v>398</v>
      </c>
      <c r="E67" s="128" t="s">
        <v>14</v>
      </c>
      <c r="F67" s="128" t="s">
        <v>15</v>
      </c>
      <c r="G67" s="128">
        <v>1</v>
      </c>
      <c r="I67" s="128" t="str">
        <f t="shared" si="0"/>
        <v>PVT-00086137SUPREMOTOS S.A.S.*CB-110                                           AZUL FIJI</v>
      </c>
    </row>
    <row r="68" spans="2:9">
      <c r="B68" s="128" t="s">
        <v>502</v>
      </c>
      <c r="C68" s="128" t="s">
        <v>453</v>
      </c>
      <c r="D68" s="128" t="s">
        <v>398</v>
      </c>
      <c r="E68" s="128" t="s">
        <v>14</v>
      </c>
      <c r="F68" s="128" t="s">
        <v>16</v>
      </c>
      <c r="G68" s="128">
        <v>3</v>
      </c>
      <c r="I68" s="128" t="str">
        <f t="shared" ref="I68:I131" si="1">+CONCATENATE(C68,D68,E68,F68)</f>
        <v xml:space="preserve">PVT-00086137SUPREMOTOS S.A.S.*CB-110                                           NEGRO    </v>
      </c>
    </row>
    <row r="69" spans="2:9" hidden="1">
      <c r="B69" s="128" t="s">
        <v>502</v>
      </c>
      <c r="C69" s="128" t="s">
        <v>453</v>
      </c>
      <c r="D69" s="128" t="s">
        <v>398</v>
      </c>
      <c r="E69" s="128" t="s">
        <v>27</v>
      </c>
      <c r="F69" s="128" t="s">
        <v>26</v>
      </c>
      <c r="G69" s="128">
        <v>1</v>
      </c>
      <c r="I69" s="128" t="str">
        <f t="shared" si="1"/>
        <v>PVT-00086137SUPREMOTOS S.A.S.*XR 150L                                          NEGRO BLA</v>
      </c>
    </row>
    <row r="70" spans="2:9" hidden="1">
      <c r="B70" s="128" t="s">
        <v>502</v>
      </c>
      <c r="C70" s="128" t="s">
        <v>453</v>
      </c>
      <c r="D70" s="128" t="s">
        <v>398</v>
      </c>
      <c r="E70" s="128" t="s">
        <v>27</v>
      </c>
      <c r="F70" s="128" t="s">
        <v>32</v>
      </c>
      <c r="G70" s="128">
        <v>1</v>
      </c>
      <c r="I70" s="128" t="str">
        <f t="shared" si="1"/>
        <v>PVT-00086137SUPREMOTOS S.A.S.*XR 150L                                          NEGRO ROJ</v>
      </c>
    </row>
    <row r="71" spans="2:9" hidden="1">
      <c r="B71" s="128" t="s">
        <v>502</v>
      </c>
      <c r="C71" s="128" t="s">
        <v>452</v>
      </c>
      <c r="D71" s="128" t="s">
        <v>398</v>
      </c>
      <c r="E71" s="128" t="s">
        <v>27</v>
      </c>
      <c r="F71" s="128" t="s">
        <v>26</v>
      </c>
      <c r="G71" s="128">
        <v>1</v>
      </c>
      <c r="I71" s="128" t="str">
        <f t="shared" si="1"/>
        <v>PVT-00086139SUPREMOTOS S.A.S.*XR 150L                                          NEGRO BLA</v>
      </c>
    </row>
    <row r="72" spans="2:9">
      <c r="B72" s="128" t="s">
        <v>502</v>
      </c>
      <c r="C72" s="128" t="s">
        <v>455</v>
      </c>
      <c r="D72" s="128" t="s">
        <v>140</v>
      </c>
      <c r="E72" s="128" t="s">
        <v>14</v>
      </c>
      <c r="F72" s="128" t="s">
        <v>16</v>
      </c>
      <c r="G72" s="128">
        <v>8</v>
      </c>
      <c r="I72" s="128" t="str">
        <f t="shared" si="1"/>
        <v xml:space="preserve">PVT-00086177SUPERMOTOS DE CORDOBA S.A*CB-110                                           NEGRO    </v>
      </c>
    </row>
    <row r="73" spans="2:9" hidden="1">
      <c r="B73" s="128" t="s">
        <v>502</v>
      </c>
      <c r="C73" s="128" t="s">
        <v>455</v>
      </c>
      <c r="D73" s="128" t="s">
        <v>140</v>
      </c>
      <c r="E73" s="128" t="s">
        <v>10</v>
      </c>
      <c r="F73" s="128" t="s">
        <v>11</v>
      </c>
      <c r="G73" s="128">
        <v>1</v>
      </c>
      <c r="I73" s="128" t="str">
        <f t="shared" si="1"/>
        <v>PVT-00086177SUPERMOTOS DE CORDOBA S.ACB 190R                                           NEGRO ONI</v>
      </c>
    </row>
    <row r="74" spans="2:9">
      <c r="B74" s="128" t="s">
        <v>502</v>
      </c>
      <c r="C74" s="128" t="s">
        <v>456</v>
      </c>
      <c r="D74" s="128" t="s">
        <v>140</v>
      </c>
      <c r="E74" s="128" t="s">
        <v>14</v>
      </c>
      <c r="F74" s="128" t="s">
        <v>15</v>
      </c>
      <c r="G74" s="128">
        <v>2</v>
      </c>
      <c r="I74" s="128" t="str">
        <f t="shared" si="1"/>
        <v>PVT-00086179SUPERMOTOS DE CORDOBA S.A*CB-110                                           AZUL FIJI</v>
      </c>
    </row>
    <row r="75" spans="2:9">
      <c r="B75" s="128" t="s">
        <v>502</v>
      </c>
      <c r="C75" s="128" t="s">
        <v>456</v>
      </c>
      <c r="D75" s="128" t="s">
        <v>140</v>
      </c>
      <c r="E75" s="128" t="s">
        <v>14</v>
      </c>
      <c r="F75" s="128" t="s">
        <v>16</v>
      </c>
      <c r="G75" s="128">
        <v>5</v>
      </c>
      <c r="I75" s="128" t="str">
        <f t="shared" si="1"/>
        <v xml:space="preserve">PVT-00086179SUPERMOTOS DE CORDOBA S.A*CB-110                                           NEGRO    </v>
      </c>
    </row>
    <row r="76" spans="2:9" hidden="1">
      <c r="B76" s="128" t="s">
        <v>502</v>
      </c>
      <c r="C76" s="128" t="s">
        <v>456</v>
      </c>
      <c r="D76" s="128" t="s">
        <v>140</v>
      </c>
      <c r="E76" s="128" t="s">
        <v>27</v>
      </c>
      <c r="F76" s="128" t="s">
        <v>16</v>
      </c>
      <c r="G76" s="128">
        <v>2</v>
      </c>
      <c r="I76" s="128" t="str">
        <f t="shared" si="1"/>
        <v xml:space="preserve">PVT-00086179SUPERMOTOS DE CORDOBA S.A*XR 150L                                          NEGRO    </v>
      </c>
    </row>
    <row r="77" spans="2:9">
      <c r="B77" s="128" t="s">
        <v>502</v>
      </c>
      <c r="C77" s="128" t="s">
        <v>457</v>
      </c>
      <c r="D77" s="128" t="s">
        <v>140</v>
      </c>
      <c r="E77" s="128" t="s">
        <v>14</v>
      </c>
      <c r="F77" s="128" t="s">
        <v>15</v>
      </c>
      <c r="G77" s="128">
        <v>1</v>
      </c>
      <c r="I77" s="128" t="str">
        <f t="shared" si="1"/>
        <v>PVT-00086181SUPERMOTOS DE CORDOBA S.A*CB-110                                           AZUL FIJI</v>
      </c>
    </row>
    <row r="78" spans="2:9">
      <c r="B78" s="128" t="s">
        <v>502</v>
      </c>
      <c r="C78" s="128" t="s">
        <v>471</v>
      </c>
      <c r="D78" s="128" t="s">
        <v>244</v>
      </c>
      <c r="E78" s="128" t="s">
        <v>14</v>
      </c>
      <c r="F78" s="128" t="s">
        <v>15</v>
      </c>
      <c r="G78" s="128">
        <v>1</v>
      </c>
      <c r="I78" s="128" t="str">
        <f t="shared" si="1"/>
        <v>PVT-00086303HONDA STORE S.A.S.*CB-110                                           AZUL FIJI</v>
      </c>
    </row>
    <row r="79" spans="2:9">
      <c r="B79" s="128" t="s">
        <v>502</v>
      </c>
      <c r="C79" s="128" t="s">
        <v>471</v>
      </c>
      <c r="D79" s="128" t="s">
        <v>244</v>
      </c>
      <c r="E79" s="128" t="s">
        <v>14</v>
      </c>
      <c r="F79" s="128" t="s">
        <v>30</v>
      </c>
      <c r="G79" s="128">
        <v>1</v>
      </c>
      <c r="I79" s="128" t="str">
        <f t="shared" si="1"/>
        <v>PVT-00086303HONDA STORE S.A.S.*CB-110                                           GRIS META</v>
      </c>
    </row>
    <row r="80" spans="2:9">
      <c r="B80" s="128" t="s">
        <v>502</v>
      </c>
      <c r="C80" s="128" t="s">
        <v>471</v>
      </c>
      <c r="D80" s="128" t="s">
        <v>244</v>
      </c>
      <c r="E80" s="128" t="s">
        <v>14</v>
      </c>
      <c r="F80" s="128" t="s">
        <v>16</v>
      </c>
      <c r="G80" s="128">
        <v>1</v>
      </c>
      <c r="I80" s="128" t="str">
        <f t="shared" si="1"/>
        <v xml:space="preserve">PVT-00086303HONDA STORE S.A.S.*CB-110                                           NEGRO    </v>
      </c>
    </row>
    <row r="81" spans="2:9" hidden="1">
      <c r="B81" s="128" t="s">
        <v>502</v>
      </c>
      <c r="C81" s="128" t="s">
        <v>471</v>
      </c>
      <c r="D81" s="128" t="s">
        <v>244</v>
      </c>
      <c r="E81" s="128" t="s">
        <v>27</v>
      </c>
      <c r="F81" s="128" t="s">
        <v>32</v>
      </c>
      <c r="G81" s="128">
        <v>1</v>
      </c>
      <c r="I81" s="128" t="str">
        <f t="shared" si="1"/>
        <v>PVT-00086303HONDA STORE S.A.S.*XR 150L                                          NEGRO ROJ</v>
      </c>
    </row>
    <row r="82" spans="2:9" hidden="1">
      <c r="B82" s="128" t="s">
        <v>502</v>
      </c>
      <c r="C82" s="128" t="s">
        <v>483</v>
      </c>
      <c r="D82" s="128" t="s">
        <v>140</v>
      </c>
      <c r="E82" s="128" t="s">
        <v>10</v>
      </c>
      <c r="F82" s="128" t="s">
        <v>13</v>
      </c>
      <c r="G82" s="128">
        <v>1</v>
      </c>
      <c r="I82" s="128" t="str">
        <f t="shared" si="1"/>
        <v>PVT-00086722SUPERMOTOS DE CORDOBA S.ACB 190R                                           ROJO NEGR</v>
      </c>
    </row>
    <row r="83" spans="2:9" hidden="1">
      <c r="B83" s="128" t="s">
        <v>501</v>
      </c>
      <c r="C83" s="128" t="s">
        <v>427</v>
      </c>
      <c r="D83" s="128" t="s">
        <v>52</v>
      </c>
      <c r="E83" s="128" t="s">
        <v>354</v>
      </c>
      <c r="F83" s="128" t="s">
        <v>474</v>
      </c>
      <c r="G83" s="128">
        <v>4</v>
      </c>
      <c r="I83" s="128" t="str">
        <f t="shared" si="1"/>
        <v>PVT-00086098SUPERMOTOS DEL CAFE S.A.S.CB 160F DLX                                       NARANJA N</v>
      </c>
    </row>
    <row r="84" spans="2:9" hidden="1">
      <c r="B84" s="128" t="s">
        <v>501</v>
      </c>
      <c r="C84" s="128" t="s">
        <v>427</v>
      </c>
      <c r="D84" s="128" t="s">
        <v>52</v>
      </c>
      <c r="E84" s="128" t="s">
        <v>354</v>
      </c>
      <c r="F84" s="128" t="s">
        <v>355</v>
      </c>
      <c r="G84" s="128">
        <v>4</v>
      </c>
      <c r="I84" s="128" t="str">
        <f t="shared" si="1"/>
        <v>PVT-00086098SUPERMOTOS DEL CAFE S.A.S.CB 160F DLX                                       NEGRO PER</v>
      </c>
    </row>
    <row r="85" spans="2:9">
      <c r="B85" s="128" t="s">
        <v>501</v>
      </c>
      <c r="C85" s="128" t="s">
        <v>429</v>
      </c>
      <c r="D85" s="128" t="s">
        <v>52</v>
      </c>
      <c r="E85" s="128" t="s">
        <v>14</v>
      </c>
      <c r="F85" s="128" t="s">
        <v>16</v>
      </c>
      <c r="G85" s="128">
        <v>3</v>
      </c>
      <c r="I85" s="128" t="str">
        <f t="shared" si="1"/>
        <v xml:space="preserve">PVT-00086099SUPERMOTOS DEL CAFE S.A.S.*CB-110                                           NEGRO    </v>
      </c>
    </row>
    <row r="86" spans="2:9">
      <c r="B86" s="128" t="s">
        <v>501</v>
      </c>
      <c r="C86" s="128" t="s">
        <v>430</v>
      </c>
      <c r="D86" s="128" t="s">
        <v>52</v>
      </c>
      <c r="E86" s="128" t="s">
        <v>14</v>
      </c>
      <c r="F86" s="128" t="s">
        <v>15</v>
      </c>
      <c r="G86" s="128">
        <v>2</v>
      </c>
      <c r="I86" s="128" t="str">
        <f t="shared" si="1"/>
        <v>PVT-00086102SUPERMOTOS DEL CAFE S.A.S.*CB-110                                           AZUL FIJI</v>
      </c>
    </row>
    <row r="87" spans="2:9">
      <c r="B87" s="128" t="s">
        <v>501</v>
      </c>
      <c r="C87" s="128" t="s">
        <v>430</v>
      </c>
      <c r="D87" s="128" t="s">
        <v>52</v>
      </c>
      <c r="E87" s="128" t="s">
        <v>14</v>
      </c>
      <c r="F87" s="128" t="s">
        <v>16</v>
      </c>
      <c r="G87" s="128">
        <v>7</v>
      </c>
      <c r="I87" s="128" t="str">
        <f t="shared" si="1"/>
        <v xml:space="preserve">PVT-00086102SUPERMOTOS DEL CAFE S.A.S.*CB-110                                           NEGRO    </v>
      </c>
    </row>
    <row r="88" spans="2:9">
      <c r="B88" s="128" t="s">
        <v>501</v>
      </c>
      <c r="C88" s="128" t="s">
        <v>428</v>
      </c>
      <c r="D88" s="128" t="s">
        <v>52</v>
      </c>
      <c r="E88" s="128" t="s">
        <v>14</v>
      </c>
      <c r="F88" s="128" t="s">
        <v>16</v>
      </c>
      <c r="G88" s="128">
        <v>3</v>
      </c>
      <c r="I88" s="128" t="str">
        <f t="shared" si="1"/>
        <v xml:space="preserve">PVT-00086106SUPERMOTOS DEL CAFE S.A.S.*CB-110                                           NEGRO    </v>
      </c>
    </row>
    <row r="89" spans="2:9" hidden="1">
      <c r="B89" s="128" t="s">
        <v>501</v>
      </c>
      <c r="C89" s="128" t="s">
        <v>479</v>
      </c>
      <c r="D89" s="128" t="s">
        <v>52</v>
      </c>
      <c r="E89" s="128" t="s">
        <v>20</v>
      </c>
      <c r="F89" s="128" t="s">
        <v>16</v>
      </c>
      <c r="G89" s="128">
        <v>9</v>
      </c>
      <c r="I89" s="128" t="str">
        <f t="shared" si="1"/>
        <v xml:space="preserve">PVT-00086594SUPERMOTOS DEL CAFE S.A.S.DREAM NEO                                         NEGRO    </v>
      </c>
    </row>
    <row r="90" spans="2:9" hidden="1">
      <c r="B90" s="128" t="s">
        <v>501</v>
      </c>
      <c r="C90" s="128" t="s">
        <v>480</v>
      </c>
      <c r="D90" s="128" t="s">
        <v>52</v>
      </c>
      <c r="E90" s="128" t="s">
        <v>20</v>
      </c>
      <c r="F90" s="128" t="s">
        <v>16</v>
      </c>
      <c r="G90" s="128">
        <v>4</v>
      </c>
      <c r="I90" s="128" t="str">
        <f t="shared" si="1"/>
        <v xml:space="preserve">PVT-00086595SUPERMOTOS DEL CAFE S.A.S.DREAM NEO                                         NEGRO    </v>
      </c>
    </row>
    <row r="91" spans="2:9">
      <c r="B91" s="128" t="s">
        <v>500</v>
      </c>
      <c r="C91" s="128" t="s">
        <v>470</v>
      </c>
      <c r="D91" s="128" t="s">
        <v>59</v>
      </c>
      <c r="E91" s="128" t="s">
        <v>14</v>
      </c>
      <c r="F91" s="128" t="s">
        <v>15</v>
      </c>
      <c r="G91" s="128">
        <v>2</v>
      </c>
      <c r="I91" s="128" t="str">
        <f t="shared" si="1"/>
        <v>PVT-00086239TULUA MOTOS S. A.*CB-110                                           AZUL FIJI</v>
      </c>
    </row>
    <row r="92" spans="2:9">
      <c r="B92" s="128" t="s">
        <v>500</v>
      </c>
      <c r="C92" s="128" t="s">
        <v>470</v>
      </c>
      <c r="D92" s="128" t="s">
        <v>59</v>
      </c>
      <c r="E92" s="128" t="s">
        <v>14</v>
      </c>
      <c r="F92" s="128" t="s">
        <v>16</v>
      </c>
      <c r="G92" s="128">
        <v>21</v>
      </c>
      <c r="I92" s="128" t="str">
        <f t="shared" si="1"/>
        <v xml:space="preserve">PVT-00086239TULUA MOTOS S. A.*CB-110                                           NEGRO    </v>
      </c>
    </row>
    <row r="93" spans="2:9" hidden="1">
      <c r="B93" s="128" t="s">
        <v>500</v>
      </c>
      <c r="C93" s="128" t="s">
        <v>470</v>
      </c>
      <c r="D93" s="128" t="s">
        <v>59</v>
      </c>
      <c r="E93" s="128" t="s">
        <v>354</v>
      </c>
      <c r="F93" s="128" t="s">
        <v>44</v>
      </c>
      <c r="G93" s="128">
        <v>2</v>
      </c>
      <c r="I93" s="128" t="str">
        <f t="shared" si="1"/>
        <v>PVT-00086239TULUA MOTOS S. A.CB 160F DLX                                       BLANCO PE</v>
      </c>
    </row>
    <row r="94" spans="2:9" hidden="1">
      <c r="B94" s="128" t="s">
        <v>500</v>
      </c>
      <c r="C94" s="128" t="s">
        <v>470</v>
      </c>
      <c r="D94" s="128" t="s">
        <v>59</v>
      </c>
      <c r="E94" s="128" t="s">
        <v>354</v>
      </c>
      <c r="F94" s="128" t="s">
        <v>355</v>
      </c>
      <c r="G94" s="128">
        <v>4</v>
      </c>
      <c r="I94" s="128" t="str">
        <f t="shared" si="1"/>
        <v>PVT-00086239TULUA MOTOS S. A.CB 160F DLX                                       NEGRO PER</v>
      </c>
    </row>
    <row r="95" spans="2:9">
      <c r="B95" s="128" t="s">
        <v>498</v>
      </c>
      <c r="C95" s="128" t="s">
        <v>425</v>
      </c>
      <c r="D95" s="128" t="s">
        <v>178</v>
      </c>
      <c r="E95" s="128" t="s">
        <v>14</v>
      </c>
      <c r="F95" s="128" t="s">
        <v>15</v>
      </c>
      <c r="G95" s="128">
        <v>4</v>
      </c>
      <c r="I95" s="128" t="str">
        <f t="shared" si="1"/>
        <v>PVT-00086112SUPERMOTOS DEL ATLANTICO S.A.S*CB-110                                           AZUL FIJI</v>
      </c>
    </row>
    <row r="96" spans="2:9">
      <c r="B96" s="128" t="s">
        <v>498</v>
      </c>
      <c r="C96" s="128" t="s">
        <v>425</v>
      </c>
      <c r="D96" s="128" t="s">
        <v>178</v>
      </c>
      <c r="E96" s="128" t="s">
        <v>14</v>
      </c>
      <c r="F96" s="128" t="s">
        <v>30</v>
      </c>
      <c r="G96" s="128">
        <v>5</v>
      </c>
      <c r="I96" s="128" t="str">
        <f t="shared" si="1"/>
        <v>PVT-00086112SUPERMOTOS DEL ATLANTICO S.A.S*CB-110                                           GRIS META</v>
      </c>
    </row>
    <row r="97" spans="2:9">
      <c r="B97" s="128" t="s">
        <v>498</v>
      </c>
      <c r="C97" s="128" t="s">
        <v>425</v>
      </c>
      <c r="D97" s="128" t="s">
        <v>178</v>
      </c>
      <c r="E97" s="128" t="s">
        <v>14</v>
      </c>
      <c r="F97" s="128" t="s">
        <v>16</v>
      </c>
      <c r="G97" s="128">
        <v>9</v>
      </c>
      <c r="I97" s="128" t="str">
        <f t="shared" si="1"/>
        <v xml:space="preserve">PVT-00086112SUPERMOTOS DEL ATLANTICO S.A.S*CB-110                                           NEGRO    </v>
      </c>
    </row>
    <row r="98" spans="2:9" hidden="1">
      <c r="B98" s="128" t="s">
        <v>498</v>
      </c>
      <c r="C98" s="128" t="s">
        <v>425</v>
      </c>
      <c r="D98" s="128" t="s">
        <v>178</v>
      </c>
      <c r="E98" s="128" t="s">
        <v>10</v>
      </c>
      <c r="F98" s="128" t="s">
        <v>13</v>
      </c>
      <c r="G98" s="128">
        <v>2</v>
      </c>
      <c r="I98" s="128" t="str">
        <f t="shared" si="1"/>
        <v>PVT-00086112SUPERMOTOS DEL ATLANTICO S.A.SCB 190R                                           ROJO NEGR</v>
      </c>
    </row>
    <row r="99" spans="2:9">
      <c r="B99" s="128" t="s">
        <v>498</v>
      </c>
      <c r="C99" s="128" t="s">
        <v>450</v>
      </c>
      <c r="D99" s="128" t="s">
        <v>180</v>
      </c>
      <c r="E99" s="128" t="s">
        <v>14</v>
      </c>
      <c r="F99" s="128" t="s">
        <v>30</v>
      </c>
      <c r="G99" s="128">
        <v>1</v>
      </c>
      <c r="I99" s="128" t="str">
        <f t="shared" si="1"/>
        <v>PVT-00086135INVERSIONES HERNANDEZ SINNING H&amp;S S.A.S*CB-110                                           GRIS META</v>
      </c>
    </row>
    <row r="100" spans="2:9">
      <c r="B100" s="128" t="s">
        <v>498</v>
      </c>
      <c r="C100" s="128" t="s">
        <v>450</v>
      </c>
      <c r="D100" s="128" t="s">
        <v>180</v>
      </c>
      <c r="E100" s="128" t="s">
        <v>14</v>
      </c>
      <c r="F100" s="128" t="s">
        <v>16</v>
      </c>
      <c r="G100" s="128">
        <v>1</v>
      </c>
      <c r="I100" s="128" t="str">
        <f t="shared" si="1"/>
        <v xml:space="preserve">PVT-00086135INVERSIONES HERNANDEZ SINNING H&amp;S S.A.S*CB-110                                           NEGRO    </v>
      </c>
    </row>
    <row r="101" spans="2:9" hidden="1">
      <c r="B101" s="128" t="s">
        <v>498</v>
      </c>
      <c r="C101" s="128" t="s">
        <v>450</v>
      </c>
      <c r="D101" s="128" t="s">
        <v>180</v>
      </c>
      <c r="E101" s="128" t="s">
        <v>27</v>
      </c>
      <c r="F101" s="128" t="s">
        <v>26</v>
      </c>
      <c r="G101" s="128">
        <v>1</v>
      </c>
      <c r="I101" s="128" t="str">
        <f t="shared" si="1"/>
        <v>PVT-00086135INVERSIONES HERNANDEZ SINNING H&amp;S S.A.S*XR 150L                                          NEGRO BLA</v>
      </c>
    </row>
    <row r="102" spans="2:9" hidden="1">
      <c r="B102" s="128" t="s">
        <v>498</v>
      </c>
      <c r="C102" s="128" t="s">
        <v>450</v>
      </c>
      <c r="D102" s="128" t="s">
        <v>180</v>
      </c>
      <c r="E102" s="128" t="s">
        <v>10</v>
      </c>
      <c r="F102" s="128" t="s">
        <v>13</v>
      </c>
      <c r="G102" s="128">
        <v>1</v>
      </c>
      <c r="I102" s="128" t="str">
        <f t="shared" si="1"/>
        <v>PVT-00086135INVERSIONES HERNANDEZ SINNING H&amp;S S.A.SCB 190R                                           ROJO NEGR</v>
      </c>
    </row>
    <row r="103" spans="2:9" hidden="1">
      <c r="B103" s="128" t="s">
        <v>498</v>
      </c>
      <c r="C103" s="128" t="s">
        <v>441</v>
      </c>
      <c r="D103" s="128" t="s">
        <v>182</v>
      </c>
      <c r="E103" s="128" t="s">
        <v>27</v>
      </c>
      <c r="F103" s="128" t="s">
        <v>16</v>
      </c>
      <c r="G103" s="128">
        <v>1</v>
      </c>
      <c r="I103" s="128" t="str">
        <f t="shared" si="1"/>
        <v xml:space="preserve">PVT-00086144BICIMOTOS Y REPUESTOS S.A.S*XR 150L                                          NEGRO    </v>
      </c>
    </row>
    <row r="104" spans="2:9" hidden="1">
      <c r="B104" s="128" t="s">
        <v>498</v>
      </c>
      <c r="C104" s="128" t="s">
        <v>441</v>
      </c>
      <c r="D104" s="128" t="s">
        <v>182</v>
      </c>
      <c r="E104" s="128" t="s">
        <v>27</v>
      </c>
      <c r="F104" s="128" t="s">
        <v>26</v>
      </c>
      <c r="G104" s="128">
        <v>3</v>
      </c>
      <c r="I104" s="128" t="str">
        <f t="shared" si="1"/>
        <v>PVT-00086144BICIMOTOS Y REPUESTOS S.A.S*XR 150L                                          NEGRO BLA</v>
      </c>
    </row>
    <row r="105" spans="2:9">
      <c r="B105" s="128" t="s">
        <v>498</v>
      </c>
      <c r="C105" s="128" t="s">
        <v>434</v>
      </c>
      <c r="D105" s="128" t="s">
        <v>85</v>
      </c>
      <c r="E105" s="128" t="s">
        <v>14</v>
      </c>
      <c r="F105" s="128" t="s">
        <v>15</v>
      </c>
      <c r="G105" s="128">
        <v>1</v>
      </c>
      <c r="I105" s="128" t="str">
        <f t="shared" si="1"/>
        <v>PVT-00086174SUPERMOTOS DEL MAGDALENA S.A.S*CB-110                                           AZUL FIJI</v>
      </c>
    </row>
    <row r="106" spans="2:9">
      <c r="B106" s="128" t="s">
        <v>498</v>
      </c>
      <c r="C106" s="128" t="s">
        <v>434</v>
      </c>
      <c r="D106" s="128" t="s">
        <v>85</v>
      </c>
      <c r="E106" s="128" t="s">
        <v>14</v>
      </c>
      <c r="F106" s="128" t="s">
        <v>30</v>
      </c>
      <c r="G106" s="128">
        <v>1</v>
      </c>
      <c r="I106" s="128" t="str">
        <f t="shared" si="1"/>
        <v>PVT-00086174SUPERMOTOS DEL MAGDALENA S.A.S*CB-110                                           GRIS META</v>
      </c>
    </row>
    <row r="107" spans="2:9">
      <c r="B107" s="128" t="s">
        <v>498</v>
      </c>
      <c r="C107" s="128" t="s">
        <v>434</v>
      </c>
      <c r="D107" s="128" t="s">
        <v>85</v>
      </c>
      <c r="E107" s="128" t="s">
        <v>14</v>
      </c>
      <c r="F107" s="128" t="s">
        <v>16</v>
      </c>
      <c r="G107" s="128">
        <v>2</v>
      </c>
      <c r="I107" s="128" t="str">
        <f t="shared" si="1"/>
        <v xml:space="preserve">PVT-00086174SUPERMOTOS DEL MAGDALENA S.A.S*CB-110                                           NEGRO    </v>
      </c>
    </row>
    <row r="108" spans="2:9" hidden="1">
      <c r="B108" s="128" t="s">
        <v>498</v>
      </c>
      <c r="C108" s="128" t="s">
        <v>434</v>
      </c>
      <c r="D108" s="128" t="s">
        <v>85</v>
      </c>
      <c r="E108" s="128" t="s">
        <v>27</v>
      </c>
      <c r="F108" s="128" t="s">
        <v>16</v>
      </c>
      <c r="G108" s="128">
        <v>1</v>
      </c>
      <c r="I108" s="128" t="str">
        <f t="shared" si="1"/>
        <v xml:space="preserve">PVT-00086174SUPERMOTOS DEL MAGDALENA S.A.S*XR 150L                                          NEGRO    </v>
      </c>
    </row>
    <row r="109" spans="2:9" hidden="1">
      <c r="B109" s="128" t="s">
        <v>498</v>
      </c>
      <c r="C109" s="128" t="s">
        <v>434</v>
      </c>
      <c r="D109" s="128" t="s">
        <v>85</v>
      </c>
      <c r="E109" s="128" t="s">
        <v>10</v>
      </c>
      <c r="F109" s="128" t="s">
        <v>13</v>
      </c>
      <c r="G109" s="128">
        <v>4</v>
      </c>
      <c r="I109" s="128" t="str">
        <f t="shared" si="1"/>
        <v>PVT-00086174SUPERMOTOS DEL MAGDALENA S.A.SCB 190R                                           ROJO NEGR</v>
      </c>
    </row>
    <row r="110" spans="2:9">
      <c r="B110" s="128" t="s">
        <v>498</v>
      </c>
      <c r="C110" s="128" t="s">
        <v>477</v>
      </c>
      <c r="D110" s="128" t="s">
        <v>81</v>
      </c>
      <c r="E110" s="128" t="s">
        <v>14</v>
      </c>
      <c r="F110" s="128" t="s">
        <v>16</v>
      </c>
      <c r="G110" s="128">
        <v>1</v>
      </c>
      <c r="I110" s="128" t="str">
        <f t="shared" si="1"/>
        <v xml:space="preserve">PVT-00086450SUPERMOTOS DEL HUILA SAS*CB-110                                           NEGRO    </v>
      </c>
    </row>
    <row r="111" spans="2:9">
      <c r="B111" s="128" t="s">
        <v>485</v>
      </c>
      <c r="C111" s="128" t="s">
        <v>421</v>
      </c>
      <c r="D111" s="128" t="s">
        <v>149</v>
      </c>
      <c r="E111" s="128" t="s">
        <v>14</v>
      </c>
      <c r="F111" s="128" t="s">
        <v>15</v>
      </c>
      <c r="G111" s="128">
        <v>3</v>
      </c>
      <c r="I111" s="128" t="str">
        <f t="shared" si="1"/>
        <v>PVT-00086111SUPERMOTOS DE MEDELLIN S.A.S.*CB-110                                           AZUL FIJI</v>
      </c>
    </row>
    <row r="112" spans="2:9">
      <c r="B112" s="128" t="s">
        <v>485</v>
      </c>
      <c r="C112" s="128" t="s">
        <v>421</v>
      </c>
      <c r="D112" s="128" t="s">
        <v>149</v>
      </c>
      <c r="E112" s="128" t="s">
        <v>14</v>
      </c>
      <c r="F112" s="128" t="s">
        <v>30</v>
      </c>
      <c r="G112" s="128">
        <v>3</v>
      </c>
      <c r="I112" s="128" t="str">
        <f t="shared" si="1"/>
        <v>PVT-00086111SUPERMOTOS DE MEDELLIN S.A.S.*CB-110                                           GRIS META</v>
      </c>
    </row>
    <row r="113" spans="2:9">
      <c r="B113" s="128" t="s">
        <v>485</v>
      </c>
      <c r="C113" s="128" t="s">
        <v>421</v>
      </c>
      <c r="D113" s="128" t="s">
        <v>149</v>
      </c>
      <c r="E113" s="128" t="s">
        <v>14</v>
      </c>
      <c r="F113" s="128" t="s">
        <v>16</v>
      </c>
      <c r="G113" s="128">
        <v>3</v>
      </c>
      <c r="I113" s="128" t="str">
        <f t="shared" si="1"/>
        <v xml:space="preserve">PVT-00086111SUPERMOTOS DE MEDELLIN S.A.S.*CB-110                                           NEGRO    </v>
      </c>
    </row>
    <row r="114" spans="2:9" hidden="1">
      <c r="B114" s="128" t="s">
        <v>485</v>
      </c>
      <c r="C114" s="128" t="s">
        <v>421</v>
      </c>
      <c r="D114" s="128" t="s">
        <v>149</v>
      </c>
      <c r="E114" s="128" t="s">
        <v>27</v>
      </c>
      <c r="F114" s="128" t="s">
        <v>16</v>
      </c>
      <c r="G114" s="128">
        <v>3</v>
      </c>
      <c r="I114" s="128" t="str">
        <f t="shared" si="1"/>
        <v xml:space="preserve">PVT-00086111SUPERMOTOS DE MEDELLIN S.A.S.*XR 150L                                          NEGRO    </v>
      </c>
    </row>
    <row r="115" spans="2:9" hidden="1">
      <c r="B115" s="128" t="s">
        <v>485</v>
      </c>
      <c r="C115" s="128" t="s">
        <v>421</v>
      </c>
      <c r="D115" s="128" t="s">
        <v>149</v>
      </c>
      <c r="E115" s="128" t="s">
        <v>354</v>
      </c>
      <c r="F115" s="128" t="s">
        <v>355</v>
      </c>
      <c r="G115" s="128">
        <v>3</v>
      </c>
      <c r="I115" s="128" t="str">
        <f t="shared" si="1"/>
        <v>PVT-00086111SUPERMOTOS DE MEDELLIN S.A.S.CB 160F DLX                                       NEGRO PER</v>
      </c>
    </row>
    <row r="116" spans="2:9">
      <c r="B116" s="128" t="s">
        <v>485</v>
      </c>
      <c r="C116" s="128" t="s">
        <v>438</v>
      </c>
      <c r="D116" s="128" t="s">
        <v>151</v>
      </c>
      <c r="E116" s="128" t="s">
        <v>14</v>
      </c>
      <c r="F116" s="128" t="s">
        <v>16</v>
      </c>
      <c r="I116" s="128" t="str">
        <f t="shared" si="1"/>
        <v xml:space="preserve">PVT-00086172SUPERMOTOS DE ANTIOQUIA S.A.*CB-110                                           NEGRO    </v>
      </c>
    </row>
    <row r="117" spans="2:9" hidden="1">
      <c r="B117" s="128" t="s">
        <v>485</v>
      </c>
      <c r="C117" s="128" t="s">
        <v>438</v>
      </c>
      <c r="D117" s="128" t="s">
        <v>151</v>
      </c>
      <c r="E117" s="128" t="s">
        <v>27</v>
      </c>
      <c r="F117" s="128" t="s">
        <v>16</v>
      </c>
      <c r="I117" s="128" t="str">
        <f t="shared" si="1"/>
        <v xml:space="preserve">PVT-00086172SUPERMOTOS DE ANTIOQUIA S.A.*XR 150L                                          NEGRO    </v>
      </c>
    </row>
    <row r="118" spans="2:9" hidden="1">
      <c r="B118" s="128" t="s">
        <v>485</v>
      </c>
      <c r="C118" s="128" t="s">
        <v>438</v>
      </c>
      <c r="D118" s="128" t="s">
        <v>151</v>
      </c>
      <c r="E118" s="128" t="s">
        <v>354</v>
      </c>
      <c r="F118" s="128" t="s">
        <v>355</v>
      </c>
      <c r="I118" s="128" t="str">
        <f t="shared" si="1"/>
        <v>PVT-00086172SUPERMOTOS DE ANTIOQUIA S.A.CB 160F DLX                                       NEGRO PER</v>
      </c>
    </row>
    <row r="119" spans="2:9">
      <c r="B119" s="128" t="s">
        <v>485</v>
      </c>
      <c r="C119" s="128" t="s">
        <v>437</v>
      </c>
      <c r="D119" s="128" t="s">
        <v>151</v>
      </c>
      <c r="E119" s="128" t="s">
        <v>14</v>
      </c>
      <c r="F119" s="128" t="s">
        <v>15</v>
      </c>
      <c r="G119" s="128">
        <v>1</v>
      </c>
      <c r="I119" s="128" t="str">
        <f t="shared" si="1"/>
        <v>PVT-00086173SUPERMOTOS DE ANTIOQUIA S.A.*CB-110                                           AZUL FIJI</v>
      </c>
    </row>
    <row r="120" spans="2:9">
      <c r="B120" s="128" t="s">
        <v>485</v>
      </c>
      <c r="C120" s="128" t="s">
        <v>437</v>
      </c>
      <c r="D120" s="128" t="s">
        <v>151</v>
      </c>
      <c r="E120" s="128" t="s">
        <v>14</v>
      </c>
      <c r="F120" s="128" t="s">
        <v>30</v>
      </c>
      <c r="G120" s="128">
        <v>1</v>
      </c>
      <c r="I120" s="128" t="str">
        <f t="shared" si="1"/>
        <v>PVT-00086173SUPERMOTOS DE ANTIOQUIA S.A.*CB-110                                           GRIS META</v>
      </c>
    </row>
    <row r="121" spans="2:9">
      <c r="B121" s="128" t="s">
        <v>485</v>
      </c>
      <c r="C121" s="128" t="s">
        <v>437</v>
      </c>
      <c r="D121" s="128" t="s">
        <v>151</v>
      </c>
      <c r="E121" s="128" t="s">
        <v>14</v>
      </c>
      <c r="F121" s="128" t="s">
        <v>16</v>
      </c>
      <c r="G121" s="128">
        <v>1</v>
      </c>
      <c r="I121" s="128" t="str">
        <f t="shared" si="1"/>
        <v xml:space="preserve">PVT-00086173SUPERMOTOS DE ANTIOQUIA S.A.*CB-110                                           NEGRO    </v>
      </c>
    </row>
    <row r="122" spans="2:9" hidden="1">
      <c r="B122" s="128" t="s">
        <v>485</v>
      </c>
      <c r="C122" s="128" t="s">
        <v>437</v>
      </c>
      <c r="D122" s="128" t="s">
        <v>151</v>
      </c>
      <c r="E122" s="128" t="s">
        <v>28</v>
      </c>
      <c r="F122" s="128" t="s">
        <v>16</v>
      </c>
      <c r="G122" s="128">
        <v>1</v>
      </c>
      <c r="I122" s="128" t="str">
        <f t="shared" si="1"/>
        <v xml:space="preserve">PVT-00086173SUPERMOTOS DE ANTIOQUIA S.A.*CBF-125 pt                                       NEGRO    </v>
      </c>
    </row>
    <row r="123" spans="2:9" hidden="1">
      <c r="B123" s="128" t="s">
        <v>485</v>
      </c>
      <c r="C123" s="128" t="s">
        <v>437</v>
      </c>
      <c r="D123" s="128" t="s">
        <v>151</v>
      </c>
      <c r="E123" s="128" t="s">
        <v>27</v>
      </c>
      <c r="F123" s="128" t="s">
        <v>16</v>
      </c>
      <c r="G123" s="128">
        <v>1</v>
      </c>
      <c r="I123" s="128" t="str">
        <f t="shared" si="1"/>
        <v xml:space="preserve">PVT-00086173SUPERMOTOS DE ANTIOQUIA S.A.*XR 150L                                          NEGRO    </v>
      </c>
    </row>
    <row r="124" spans="2:9" hidden="1">
      <c r="B124" s="128" t="s">
        <v>485</v>
      </c>
      <c r="C124" s="128" t="s">
        <v>437</v>
      </c>
      <c r="D124" s="128" t="s">
        <v>151</v>
      </c>
      <c r="E124" s="128" t="s">
        <v>354</v>
      </c>
      <c r="F124" s="128" t="s">
        <v>355</v>
      </c>
      <c r="G124" s="128">
        <v>1</v>
      </c>
      <c r="I124" s="128" t="str">
        <f t="shared" si="1"/>
        <v>PVT-00086173SUPERMOTOS DE ANTIOQUIA S.A.CB 160F DLX                                       NEGRO PER</v>
      </c>
    </row>
    <row r="125" spans="2:9" hidden="1">
      <c r="B125" s="128" t="s">
        <v>485</v>
      </c>
      <c r="C125" s="128" t="s">
        <v>437</v>
      </c>
      <c r="D125" s="128" t="s">
        <v>151</v>
      </c>
      <c r="E125" s="128" t="s">
        <v>10</v>
      </c>
      <c r="F125" s="128" t="s">
        <v>13</v>
      </c>
      <c r="G125" s="128">
        <v>1</v>
      </c>
      <c r="I125" s="128" t="str">
        <f t="shared" si="1"/>
        <v>PVT-00086173SUPERMOTOS DE ANTIOQUIA S.A.CB 190R                                           ROJO NEGR</v>
      </c>
    </row>
    <row r="126" spans="2:9">
      <c r="B126" s="128" t="s">
        <v>485</v>
      </c>
      <c r="C126" s="128" t="s">
        <v>460</v>
      </c>
      <c r="D126" s="128" t="s">
        <v>151</v>
      </c>
      <c r="E126" s="128" t="s">
        <v>14</v>
      </c>
      <c r="F126" s="128" t="s">
        <v>15</v>
      </c>
      <c r="G126" s="128">
        <v>1</v>
      </c>
      <c r="I126" s="128" t="str">
        <f t="shared" si="1"/>
        <v>PVT-00086175SUPERMOTOS DE ANTIOQUIA S.A.*CB-110                                           AZUL FIJI</v>
      </c>
    </row>
    <row r="127" spans="2:9">
      <c r="B127" s="128" t="s">
        <v>485</v>
      </c>
      <c r="C127" s="128" t="s">
        <v>460</v>
      </c>
      <c r="D127" s="128" t="s">
        <v>151</v>
      </c>
      <c r="E127" s="128" t="s">
        <v>14</v>
      </c>
      <c r="F127" s="128" t="s">
        <v>30</v>
      </c>
      <c r="G127" s="128">
        <v>1</v>
      </c>
      <c r="I127" s="128" t="str">
        <f t="shared" si="1"/>
        <v>PVT-00086175SUPERMOTOS DE ANTIOQUIA S.A.*CB-110                                           GRIS META</v>
      </c>
    </row>
    <row r="128" spans="2:9">
      <c r="B128" s="128" t="s">
        <v>485</v>
      </c>
      <c r="C128" s="128" t="s">
        <v>460</v>
      </c>
      <c r="D128" s="128" t="s">
        <v>151</v>
      </c>
      <c r="E128" s="128" t="s">
        <v>14</v>
      </c>
      <c r="F128" s="128" t="s">
        <v>16</v>
      </c>
      <c r="G128" s="128">
        <v>1</v>
      </c>
      <c r="I128" s="128" t="str">
        <f t="shared" si="1"/>
        <v xml:space="preserve">PVT-00086175SUPERMOTOS DE ANTIOQUIA S.A.*CB-110                                           NEGRO    </v>
      </c>
    </row>
    <row r="129" spans="2:9" hidden="1">
      <c r="B129" s="128" t="s">
        <v>485</v>
      </c>
      <c r="C129" s="128" t="s">
        <v>460</v>
      </c>
      <c r="D129" s="128" t="s">
        <v>151</v>
      </c>
      <c r="E129" s="128" t="s">
        <v>27</v>
      </c>
      <c r="F129" s="128" t="s">
        <v>16</v>
      </c>
      <c r="G129" s="128">
        <v>3</v>
      </c>
      <c r="I129" s="128" t="str">
        <f t="shared" si="1"/>
        <v xml:space="preserve">PVT-00086175SUPERMOTOS DE ANTIOQUIA S.A.*XR 150L                                          NEGRO    </v>
      </c>
    </row>
    <row r="130" spans="2:9" hidden="1">
      <c r="B130" s="128" t="s">
        <v>485</v>
      </c>
      <c r="C130" s="128" t="s">
        <v>460</v>
      </c>
      <c r="D130" s="128" t="s">
        <v>151</v>
      </c>
      <c r="E130" s="128" t="s">
        <v>354</v>
      </c>
      <c r="F130" s="128" t="s">
        <v>355</v>
      </c>
      <c r="G130" s="128">
        <v>1</v>
      </c>
      <c r="I130" s="128" t="str">
        <f t="shared" si="1"/>
        <v>PVT-00086175SUPERMOTOS DE ANTIOQUIA S.A.CB 160F DLX                                       NEGRO PER</v>
      </c>
    </row>
    <row r="131" spans="2:9" hidden="1">
      <c r="B131" s="128" t="s">
        <v>485</v>
      </c>
      <c r="C131" s="128" t="s">
        <v>460</v>
      </c>
      <c r="D131" s="128" t="s">
        <v>151</v>
      </c>
      <c r="E131" s="128" t="s">
        <v>20</v>
      </c>
      <c r="F131" s="128" t="s">
        <v>16</v>
      </c>
      <c r="G131" s="128">
        <v>1</v>
      </c>
      <c r="I131" s="128" t="str">
        <f t="shared" si="1"/>
        <v xml:space="preserve">PVT-00086175SUPERMOTOS DE ANTIOQUIA S.A.DREAM NEO                                         NEGRO    </v>
      </c>
    </row>
    <row r="132" spans="2:9">
      <c r="B132" s="128" t="s">
        <v>485</v>
      </c>
      <c r="C132" s="128" t="s">
        <v>461</v>
      </c>
      <c r="D132" s="128" t="s">
        <v>151</v>
      </c>
      <c r="E132" s="128" t="s">
        <v>14</v>
      </c>
      <c r="F132" s="128" t="s">
        <v>15</v>
      </c>
      <c r="G132" s="128">
        <v>1</v>
      </c>
      <c r="I132" s="128" t="str">
        <f t="shared" ref="I132:I176" si="2">+CONCATENATE(C132,D132,E132,F132)</f>
        <v>PVT-00086176SUPERMOTOS DE ANTIOQUIA S.A.*CB-110                                           AZUL FIJI</v>
      </c>
    </row>
    <row r="133" spans="2:9">
      <c r="B133" s="128" t="s">
        <v>485</v>
      </c>
      <c r="C133" s="128" t="s">
        <v>461</v>
      </c>
      <c r="D133" s="128" t="s">
        <v>151</v>
      </c>
      <c r="E133" s="128" t="s">
        <v>14</v>
      </c>
      <c r="F133" s="128" t="s">
        <v>30</v>
      </c>
      <c r="G133" s="128">
        <v>2</v>
      </c>
      <c r="I133" s="128" t="str">
        <f t="shared" si="2"/>
        <v>PVT-00086176SUPERMOTOS DE ANTIOQUIA S.A.*CB-110                                           GRIS META</v>
      </c>
    </row>
    <row r="134" spans="2:9" hidden="1">
      <c r="B134" s="128" t="s">
        <v>485</v>
      </c>
      <c r="C134" s="128" t="s">
        <v>461</v>
      </c>
      <c r="D134" s="128" t="s">
        <v>151</v>
      </c>
      <c r="E134" s="128" t="s">
        <v>27</v>
      </c>
      <c r="F134" s="128" t="s">
        <v>16</v>
      </c>
      <c r="G134" s="128">
        <v>3</v>
      </c>
      <c r="I134" s="128" t="str">
        <f t="shared" si="2"/>
        <v xml:space="preserve">PVT-00086176SUPERMOTOS DE ANTIOQUIA S.A.*XR 150L                                          NEGRO    </v>
      </c>
    </row>
    <row r="135" spans="2:9" hidden="1">
      <c r="B135" s="128" t="s">
        <v>485</v>
      </c>
      <c r="C135" s="128" t="s">
        <v>461</v>
      </c>
      <c r="D135" s="128" t="s">
        <v>151</v>
      </c>
      <c r="E135" s="128" t="s">
        <v>20</v>
      </c>
      <c r="F135" s="128" t="s">
        <v>16</v>
      </c>
      <c r="G135" s="128">
        <v>1</v>
      </c>
      <c r="I135" s="128" t="str">
        <f t="shared" si="2"/>
        <v xml:space="preserve">PVT-00086176SUPERMOTOS DE ANTIOQUIA S.A.DREAM NEO                                         NEGRO    </v>
      </c>
    </row>
    <row r="136" spans="2:9" hidden="1">
      <c r="B136" s="128" t="s">
        <v>485</v>
      </c>
      <c r="C136" s="128" t="s">
        <v>473</v>
      </c>
      <c r="D136" s="128" t="s">
        <v>151</v>
      </c>
      <c r="E136" s="128" t="s">
        <v>10</v>
      </c>
      <c r="F136" s="128" t="s">
        <v>13</v>
      </c>
      <c r="G136" s="128">
        <v>1</v>
      </c>
      <c r="I136" s="128" t="str">
        <f t="shared" si="2"/>
        <v>PVT-00086335SUPERMOTOS DE ANTIOQUIA S.A.CB 190R                                           ROJO NEGR</v>
      </c>
    </row>
    <row r="137" spans="2:9">
      <c r="B137" s="128" t="s">
        <v>486</v>
      </c>
      <c r="C137" s="128" t="s">
        <v>420</v>
      </c>
      <c r="D137" s="128" t="s">
        <v>108</v>
      </c>
      <c r="E137" s="128" t="s">
        <v>14</v>
      </c>
      <c r="F137" s="128" t="s">
        <v>15</v>
      </c>
      <c r="G137" s="128">
        <v>23</v>
      </c>
      <c r="I137" s="128" t="str">
        <f t="shared" si="2"/>
        <v>PVT-00086145SUPERMOTOS DE NARIÑO SAS*CB-110                                           AZUL FIJI</v>
      </c>
    </row>
    <row r="138" spans="2:9">
      <c r="B138" s="128" t="s">
        <v>486</v>
      </c>
      <c r="C138" s="128" t="s">
        <v>420</v>
      </c>
      <c r="D138" s="128" t="s">
        <v>108</v>
      </c>
      <c r="E138" s="128" t="s">
        <v>14</v>
      </c>
      <c r="F138" s="128" t="s">
        <v>30</v>
      </c>
      <c r="G138" s="128">
        <v>3</v>
      </c>
      <c r="I138" s="128" t="str">
        <f t="shared" si="2"/>
        <v>PVT-00086145SUPERMOTOS DE NARIÑO SAS*CB-110                                           GRIS META</v>
      </c>
    </row>
    <row r="139" spans="2:9" hidden="1">
      <c r="B139" s="128" t="s">
        <v>486</v>
      </c>
      <c r="C139" s="128" t="s">
        <v>420</v>
      </c>
      <c r="D139" s="128" t="s">
        <v>108</v>
      </c>
      <c r="E139" s="128" t="s">
        <v>27</v>
      </c>
      <c r="F139" s="128" t="s">
        <v>16</v>
      </c>
      <c r="G139" s="128">
        <v>1</v>
      </c>
      <c r="I139" s="128" t="str">
        <f t="shared" si="2"/>
        <v xml:space="preserve">PVT-00086145SUPERMOTOS DE NARIÑO SAS*XR 150L                                          NEGRO    </v>
      </c>
    </row>
    <row r="140" spans="2:9" hidden="1">
      <c r="B140" s="128" t="s">
        <v>486</v>
      </c>
      <c r="C140" s="128" t="s">
        <v>420</v>
      </c>
      <c r="D140" s="128" t="s">
        <v>108</v>
      </c>
      <c r="E140" s="128" t="s">
        <v>10</v>
      </c>
      <c r="F140" s="128" t="s">
        <v>13</v>
      </c>
      <c r="G140" s="128">
        <v>6</v>
      </c>
      <c r="I140" s="128" t="str">
        <f t="shared" si="2"/>
        <v>PVT-00086145SUPERMOTOS DE NARIÑO SASCB 190R                                           ROJO NEGR</v>
      </c>
    </row>
    <row r="141" spans="2:9">
      <c r="B141" s="128" t="s">
        <v>486</v>
      </c>
      <c r="C141" s="128" t="s">
        <v>472</v>
      </c>
      <c r="D141" s="128" t="s">
        <v>111</v>
      </c>
      <c r="E141" s="128" t="s">
        <v>14</v>
      </c>
      <c r="F141" s="128" t="s">
        <v>15</v>
      </c>
      <c r="G141" s="128">
        <v>3</v>
      </c>
      <c r="I141" s="128" t="str">
        <f t="shared" si="2"/>
        <v>PVT-00086243CALVACHE ORTEGA LUZ AIDEE*CB-110                                           AZUL FIJI</v>
      </c>
    </row>
    <row r="142" spans="2:9">
      <c r="B142" s="128" t="s">
        <v>486</v>
      </c>
      <c r="C142" s="128" t="s">
        <v>472</v>
      </c>
      <c r="D142" s="128" t="s">
        <v>111</v>
      </c>
      <c r="E142" s="128" t="s">
        <v>14</v>
      </c>
      <c r="F142" s="128" t="s">
        <v>30</v>
      </c>
      <c r="G142" s="128">
        <v>1</v>
      </c>
      <c r="I142" s="128" t="str">
        <f t="shared" si="2"/>
        <v>PVT-00086243CALVACHE ORTEGA LUZ AIDEE*CB-110                                           GRIS META</v>
      </c>
    </row>
    <row r="143" spans="2:9" hidden="1">
      <c r="B143" s="128" t="s">
        <v>486</v>
      </c>
      <c r="C143" s="128" t="s">
        <v>472</v>
      </c>
      <c r="D143" s="128" t="s">
        <v>111</v>
      </c>
      <c r="E143" s="128" t="s">
        <v>27</v>
      </c>
      <c r="F143" s="128" t="s">
        <v>16</v>
      </c>
      <c r="G143" s="128">
        <v>3</v>
      </c>
      <c r="I143" s="128" t="str">
        <f t="shared" si="2"/>
        <v xml:space="preserve">PVT-00086243CALVACHE ORTEGA LUZ AIDEE*XR 150L                                          NEGRO    </v>
      </c>
    </row>
    <row r="144" spans="2:9">
      <c r="B144" s="128" t="s">
        <v>487</v>
      </c>
      <c r="C144" s="128" t="s">
        <v>436</v>
      </c>
      <c r="D144" s="128" t="s">
        <v>114</v>
      </c>
      <c r="E144" s="128" t="s">
        <v>14</v>
      </c>
      <c r="F144" s="128" t="s">
        <v>15</v>
      </c>
      <c r="G144" s="128">
        <v>8</v>
      </c>
      <c r="I144" s="128" t="str">
        <f t="shared" si="2"/>
        <v>PVT-00086151SUPERMOTOS DEL ORIENTE S.A.S.*CB-110                                           AZUL FIJI</v>
      </c>
    </row>
    <row r="145" spans="2:9" hidden="1">
      <c r="B145" s="128" t="s">
        <v>487</v>
      </c>
      <c r="C145" s="128" t="s">
        <v>436</v>
      </c>
      <c r="D145" s="128" t="s">
        <v>114</v>
      </c>
      <c r="E145" s="128" t="s">
        <v>18</v>
      </c>
      <c r="F145" s="128" t="s">
        <v>16</v>
      </c>
      <c r="G145" s="128">
        <v>1</v>
      </c>
      <c r="I145" s="128" t="str">
        <f t="shared" si="2"/>
        <v xml:space="preserve">PVT-00086151SUPERMOTOS DEL ORIENTE S.A.S.*INVICTA                                          NEGRO    </v>
      </c>
    </row>
    <row r="146" spans="2:9" hidden="1">
      <c r="B146" s="128" t="s">
        <v>487</v>
      </c>
      <c r="C146" s="128" t="s">
        <v>436</v>
      </c>
      <c r="D146" s="128" t="s">
        <v>114</v>
      </c>
      <c r="E146" s="128" t="s">
        <v>18</v>
      </c>
      <c r="F146" s="128" t="s">
        <v>19</v>
      </c>
      <c r="G146" s="128">
        <v>4</v>
      </c>
      <c r="I146" s="128" t="str">
        <f t="shared" si="2"/>
        <v>PVT-00086151SUPERMOTOS DEL ORIENTE S.A.S.*INVICTA                                          ROJO SIEN</v>
      </c>
    </row>
    <row r="147" spans="2:9" hidden="1">
      <c r="B147" s="128" t="s">
        <v>487</v>
      </c>
      <c r="C147" s="128" t="s">
        <v>436</v>
      </c>
      <c r="D147" s="128" t="s">
        <v>114</v>
      </c>
      <c r="E147" s="128" t="s">
        <v>21</v>
      </c>
      <c r="F147" s="128" t="s">
        <v>16</v>
      </c>
      <c r="G147" s="128">
        <v>7</v>
      </c>
      <c r="I147" s="128" t="str">
        <f t="shared" si="2"/>
        <v xml:space="preserve">PVT-00086151SUPERMOTOS DEL ORIENTE S.A.S.*WAVE 110                                         NEGRO    </v>
      </c>
    </row>
    <row r="148" spans="2:9" hidden="1">
      <c r="B148" s="128" t="s">
        <v>487</v>
      </c>
      <c r="C148" s="128" t="s">
        <v>436</v>
      </c>
      <c r="D148" s="128" t="s">
        <v>114</v>
      </c>
      <c r="E148" s="128" t="s">
        <v>27</v>
      </c>
      <c r="F148" s="128" t="s">
        <v>16</v>
      </c>
      <c r="G148" s="128">
        <v>7</v>
      </c>
      <c r="I148" s="128" t="str">
        <f t="shared" si="2"/>
        <v xml:space="preserve">PVT-00086151SUPERMOTOS DEL ORIENTE S.A.S.*XR 150L                                          NEGRO    </v>
      </c>
    </row>
    <row r="149" spans="2:9">
      <c r="B149" s="128" t="s">
        <v>487</v>
      </c>
      <c r="C149" s="128" t="s">
        <v>476</v>
      </c>
      <c r="D149" s="128" t="s">
        <v>125</v>
      </c>
      <c r="E149" s="128" t="s">
        <v>14</v>
      </c>
      <c r="F149" s="128" t="s">
        <v>15</v>
      </c>
      <c r="G149" s="128">
        <v>2</v>
      </c>
      <c r="I149" s="128" t="str">
        <f t="shared" si="2"/>
        <v>PVT-00086448SUPERMOTOS DE SANTANDER S.A.S*CB-110                                           AZUL FIJI</v>
      </c>
    </row>
    <row r="150" spans="2:9" hidden="1">
      <c r="B150" s="128" t="s">
        <v>487</v>
      </c>
      <c r="C150" s="128" t="s">
        <v>478</v>
      </c>
      <c r="D150" s="128" t="s">
        <v>125</v>
      </c>
      <c r="E150" s="128" t="s">
        <v>20</v>
      </c>
      <c r="F150" s="128" t="s">
        <v>16</v>
      </c>
      <c r="G150" s="128">
        <v>3</v>
      </c>
      <c r="I150" s="128" t="str">
        <f t="shared" si="2"/>
        <v xml:space="preserve">PVT-00086580SUPERMOTOS DE SANTANDER S.A.SDREAM NEO                                         NEGRO    </v>
      </c>
    </row>
    <row r="151" spans="2:9">
      <c r="B151" s="128" t="s">
        <v>488</v>
      </c>
      <c r="C151" s="128" t="s">
        <v>451</v>
      </c>
      <c r="D151" s="128" t="s">
        <v>401</v>
      </c>
      <c r="E151" s="128" t="s">
        <v>14</v>
      </c>
      <c r="F151" s="128" t="s">
        <v>15</v>
      </c>
      <c r="G151" s="128">
        <v>17</v>
      </c>
      <c r="I151" s="128" t="str">
        <f t="shared" si="2"/>
        <v>PVT-00086058POSADA  ROMUALDO*CB-110                                           AZUL FIJI</v>
      </c>
    </row>
    <row r="152" spans="2:9">
      <c r="B152" s="128" t="s">
        <v>488</v>
      </c>
      <c r="C152" s="128" t="s">
        <v>451</v>
      </c>
      <c r="D152" s="128" t="s">
        <v>401</v>
      </c>
      <c r="E152" s="128" t="s">
        <v>14</v>
      </c>
      <c r="F152" s="128" t="s">
        <v>16</v>
      </c>
      <c r="G152" s="128">
        <v>1</v>
      </c>
      <c r="I152" s="128" t="str">
        <f t="shared" si="2"/>
        <v xml:space="preserve">PVT-00086058POSADA  ROMUALDO*CB-110                                           NEGRO    </v>
      </c>
    </row>
    <row r="153" spans="2:9" hidden="1">
      <c r="B153" s="128" t="s">
        <v>488</v>
      </c>
      <c r="C153" s="128" t="s">
        <v>451</v>
      </c>
      <c r="D153" s="128" t="s">
        <v>401</v>
      </c>
      <c r="E153" s="128" t="s">
        <v>27</v>
      </c>
      <c r="F153" s="128" t="s">
        <v>16</v>
      </c>
      <c r="G153" s="128">
        <v>20</v>
      </c>
      <c r="I153" s="128" t="str">
        <f t="shared" si="2"/>
        <v xml:space="preserve">PVT-00086058POSADA  ROMUALDO*XR 150L                                          NEGRO    </v>
      </c>
    </row>
    <row r="154" spans="2:9">
      <c r="B154" s="128" t="s">
        <v>489</v>
      </c>
      <c r="C154" s="128" t="s">
        <v>448</v>
      </c>
      <c r="D154" s="128" t="s">
        <v>33</v>
      </c>
      <c r="E154" s="128" t="s">
        <v>14</v>
      </c>
      <c r="F154" s="128" t="s">
        <v>15</v>
      </c>
      <c r="G154" s="128">
        <v>1</v>
      </c>
      <c r="I154" s="128" t="str">
        <f t="shared" si="2"/>
        <v>PVT-00086071BELTRAN OTALORA ALBERTO*CB-110                                           AZUL FIJI</v>
      </c>
    </row>
    <row r="155" spans="2:9" hidden="1">
      <c r="B155" s="128" t="s">
        <v>489</v>
      </c>
      <c r="C155" s="128" t="s">
        <v>448</v>
      </c>
      <c r="D155" s="128" t="s">
        <v>33</v>
      </c>
      <c r="E155" s="128" t="s">
        <v>21</v>
      </c>
      <c r="F155" s="128" t="s">
        <v>22</v>
      </c>
      <c r="G155" s="128">
        <v>1</v>
      </c>
      <c r="I155" s="128" t="str">
        <f t="shared" si="2"/>
        <v>PVT-00086071BELTRAN OTALORA ALBERTO*WAVE 110                                         AZUL GEMI</v>
      </c>
    </row>
    <row r="156" spans="2:9" hidden="1">
      <c r="B156" s="128" t="s">
        <v>489</v>
      </c>
      <c r="C156" s="128" t="s">
        <v>448</v>
      </c>
      <c r="D156" s="128" t="s">
        <v>33</v>
      </c>
      <c r="E156" s="128" t="s">
        <v>21</v>
      </c>
      <c r="F156" s="128" t="s">
        <v>16</v>
      </c>
      <c r="G156" s="128">
        <v>1</v>
      </c>
      <c r="I156" s="128" t="str">
        <f t="shared" si="2"/>
        <v xml:space="preserve">PVT-00086071BELTRAN OTALORA ALBERTO*WAVE 110                                         NEGRO    </v>
      </c>
    </row>
    <row r="157" spans="2:9" hidden="1">
      <c r="B157" s="128" t="s">
        <v>489</v>
      </c>
      <c r="C157" s="128" t="s">
        <v>448</v>
      </c>
      <c r="D157" s="128" t="s">
        <v>33</v>
      </c>
      <c r="E157" s="128" t="s">
        <v>27</v>
      </c>
      <c r="F157" s="128" t="s">
        <v>16</v>
      </c>
      <c r="G157" s="128">
        <v>1</v>
      </c>
      <c r="I157" s="128" t="str">
        <f t="shared" si="2"/>
        <v xml:space="preserve">PVT-00086071BELTRAN OTALORA ALBERTO*XR 150L                                          NEGRO    </v>
      </c>
    </row>
    <row r="158" spans="2:9" hidden="1">
      <c r="B158" s="128" t="s">
        <v>489</v>
      </c>
      <c r="C158" s="128" t="s">
        <v>448</v>
      </c>
      <c r="D158" s="128" t="s">
        <v>33</v>
      </c>
      <c r="E158" s="128" t="s">
        <v>23</v>
      </c>
      <c r="F158" s="128" t="s">
        <v>24</v>
      </c>
      <c r="G158" s="128">
        <v>1</v>
      </c>
      <c r="I158" s="128" t="str">
        <f t="shared" si="2"/>
        <v>PVT-00086071BELTRAN OTALORA ALBERTOCLICK 125i                                        NEGRO AST</v>
      </c>
    </row>
    <row r="159" spans="2:9" hidden="1">
      <c r="B159" s="128" t="s">
        <v>489</v>
      </c>
      <c r="C159" s="128" t="s">
        <v>448</v>
      </c>
      <c r="D159" s="128" t="s">
        <v>33</v>
      </c>
      <c r="E159" s="128" t="s">
        <v>25</v>
      </c>
      <c r="F159" s="128" t="s">
        <v>31</v>
      </c>
      <c r="G159" s="128">
        <v>1</v>
      </c>
      <c r="I159" s="128" t="str">
        <f t="shared" si="2"/>
        <v>PVT-00086071BELTRAN OTALORA ALBERTODIO 110                                           AZUL BLAN</v>
      </c>
    </row>
    <row r="160" spans="2:9" hidden="1">
      <c r="B160" s="128" t="s">
        <v>489</v>
      </c>
      <c r="C160" s="128" t="s">
        <v>448</v>
      </c>
      <c r="D160" s="128" t="s">
        <v>33</v>
      </c>
      <c r="E160" s="128" t="s">
        <v>20</v>
      </c>
      <c r="F160" s="128" t="s">
        <v>16</v>
      </c>
      <c r="G160" s="128">
        <v>1</v>
      </c>
      <c r="I160" s="128" t="str">
        <f t="shared" si="2"/>
        <v xml:space="preserve">PVT-00086071BELTRAN OTALORA ALBERTODREAM NEO                                         NEGRO    </v>
      </c>
    </row>
    <row r="161" spans="2:9">
      <c r="B161" s="128" t="s">
        <v>489</v>
      </c>
      <c r="C161" s="128" t="s">
        <v>447</v>
      </c>
      <c r="D161" s="128" t="s">
        <v>35</v>
      </c>
      <c r="E161" s="128" t="s">
        <v>14</v>
      </c>
      <c r="F161" s="128" t="s">
        <v>15</v>
      </c>
      <c r="G161" s="128">
        <v>1</v>
      </c>
      <c r="I161" s="128" t="str">
        <f t="shared" si="2"/>
        <v>PVT-00086076MENDEZ PARRA MANUEL RICARDO*CB-110                                           AZUL FIJI</v>
      </c>
    </row>
    <row r="162" spans="2:9" hidden="1">
      <c r="B162" s="128" t="s">
        <v>489</v>
      </c>
      <c r="C162" s="128" t="s">
        <v>447</v>
      </c>
      <c r="D162" s="128" t="s">
        <v>35</v>
      </c>
      <c r="E162" s="128" t="s">
        <v>18</v>
      </c>
      <c r="F162" s="128" t="s">
        <v>19</v>
      </c>
      <c r="G162" s="128">
        <v>1</v>
      </c>
      <c r="I162" s="128" t="str">
        <f t="shared" si="2"/>
        <v>PVT-00086076MENDEZ PARRA MANUEL RICARDO*INVICTA                                          ROJO SIEN</v>
      </c>
    </row>
    <row r="163" spans="2:9" hidden="1">
      <c r="B163" s="128" t="s">
        <v>489</v>
      </c>
      <c r="C163" s="128" t="s">
        <v>447</v>
      </c>
      <c r="D163" s="128" t="s">
        <v>35</v>
      </c>
      <c r="E163" s="128" t="s">
        <v>27</v>
      </c>
      <c r="F163" s="128" t="s">
        <v>16</v>
      </c>
      <c r="G163" s="128">
        <v>1</v>
      </c>
      <c r="I163" s="128" t="str">
        <f t="shared" si="2"/>
        <v xml:space="preserve">PVT-00086076MENDEZ PARRA MANUEL RICARDO*XR 150L                                          NEGRO    </v>
      </c>
    </row>
    <row r="164" spans="2:9" hidden="1">
      <c r="B164" s="128" t="s">
        <v>489</v>
      </c>
      <c r="C164" s="128" t="s">
        <v>447</v>
      </c>
      <c r="D164" s="128" t="s">
        <v>35</v>
      </c>
      <c r="E164" s="128" t="s">
        <v>354</v>
      </c>
      <c r="F164" s="128" t="s">
        <v>355</v>
      </c>
      <c r="G164" s="128">
        <v>1</v>
      </c>
      <c r="I164" s="128" t="str">
        <f t="shared" si="2"/>
        <v>PVT-00086076MENDEZ PARRA MANUEL RICARDOCB 160F DLX                                       NEGRO PER</v>
      </c>
    </row>
    <row r="165" spans="2:9">
      <c r="B165" s="128" t="s">
        <v>489</v>
      </c>
      <c r="C165" s="128" t="s">
        <v>424</v>
      </c>
      <c r="D165" s="128" t="s">
        <v>81</v>
      </c>
      <c r="E165" s="128" t="s">
        <v>14</v>
      </c>
      <c r="F165" s="128" t="s">
        <v>15</v>
      </c>
      <c r="G165" s="128">
        <v>5</v>
      </c>
      <c r="I165" s="128" t="str">
        <f t="shared" si="2"/>
        <v>PVT-00086077SUPERMOTOS DEL HUILA SAS*CB-110                                           AZUL FIJI</v>
      </c>
    </row>
    <row r="166" spans="2:9">
      <c r="B166" s="128" t="s">
        <v>489</v>
      </c>
      <c r="C166" s="128" t="s">
        <v>422</v>
      </c>
      <c r="D166" s="128" t="s">
        <v>81</v>
      </c>
      <c r="E166" s="128" t="s">
        <v>14</v>
      </c>
      <c r="F166" s="128" t="s">
        <v>15</v>
      </c>
      <c r="G166" s="128">
        <v>5</v>
      </c>
      <c r="I166" s="128" t="str">
        <f t="shared" si="2"/>
        <v>PVT-00086088SUPERMOTOS DEL HUILA SAS*CB-110                                           AZUL FIJI</v>
      </c>
    </row>
    <row r="167" spans="2:9" hidden="1">
      <c r="B167" s="128" t="s">
        <v>489</v>
      </c>
      <c r="C167" s="128" t="s">
        <v>422</v>
      </c>
      <c r="D167" s="128" t="s">
        <v>81</v>
      </c>
      <c r="E167" s="128" t="s">
        <v>354</v>
      </c>
      <c r="F167" s="128" t="s">
        <v>355</v>
      </c>
      <c r="G167" s="128">
        <v>2</v>
      </c>
      <c r="I167" s="128" t="str">
        <f t="shared" si="2"/>
        <v>PVT-00086088SUPERMOTOS DEL HUILA SASCB 160F DLX                                       NEGRO PER</v>
      </c>
    </row>
    <row r="168" spans="2:9">
      <c r="B168" s="128" t="s">
        <v>489</v>
      </c>
      <c r="C168" s="128" t="s">
        <v>423</v>
      </c>
      <c r="D168" s="128" t="s">
        <v>81</v>
      </c>
      <c r="E168" s="128" t="s">
        <v>14</v>
      </c>
      <c r="F168" s="128" t="s">
        <v>15</v>
      </c>
      <c r="G168" s="128">
        <v>9</v>
      </c>
      <c r="I168" s="128" t="str">
        <f t="shared" si="2"/>
        <v>PVT-00086093SUPERMOTOS DEL HUILA SAS*CB-110                                           AZUL FIJI</v>
      </c>
    </row>
    <row r="169" spans="2:9">
      <c r="B169" s="128" t="s">
        <v>490</v>
      </c>
      <c r="C169" s="128" t="s">
        <v>435</v>
      </c>
      <c r="D169" s="128" t="s">
        <v>45</v>
      </c>
      <c r="E169" s="128" t="s">
        <v>14</v>
      </c>
      <c r="F169" s="128" t="s">
        <v>15</v>
      </c>
      <c r="G169" s="128">
        <v>10</v>
      </c>
      <c r="I169" s="128" t="str">
        <f t="shared" si="2"/>
        <v>PVT-00086094SUPERMOTOS DEL PACIFICO S.A.S*CB-110                                           AZUL FIJI</v>
      </c>
    </row>
    <row r="170" spans="2:9" hidden="1">
      <c r="B170" s="128" t="s">
        <v>490</v>
      </c>
      <c r="C170" s="128" t="s">
        <v>435</v>
      </c>
      <c r="D170" s="128" t="s">
        <v>45</v>
      </c>
      <c r="E170" s="128" t="s">
        <v>27</v>
      </c>
      <c r="F170" s="128" t="s">
        <v>16</v>
      </c>
      <c r="G170" s="128">
        <v>4</v>
      </c>
      <c r="I170" s="128" t="str">
        <f t="shared" si="2"/>
        <v xml:space="preserve">PVT-00086094SUPERMOTOS DEL PACIFICO S.A.S*XR 150L                                          NEGRO    </v>
      </c>
    </row>
    <row r="171" spans="2:9" hidden="1">
      <c r="B171" s="128" t="s">
        <v>490</v>
      </c>
      <c r="C171" s="128" t="s">
        <v>435</v>
      </c>
      <c r="D171" s="128" t="s">
        <v>45</v>
      </c>
      <c r="E171" s="128" t="s">
        <v>354</v>
      </c>
      <c r="F171" s="128" t="s">
        <v>355</v>
      </c>
      <c r="G171" s="128">
        <v>2</v>
      </c>
      <c r="I171" s="128" t="str">
        <f t="shared" si="2"/>
        <v>PVT-00086094SUPERMOTOS DEL PACIFICO S.A.SCB 160F DLX                                       NEGRO PER</v>
      </c>
    </row>
    <row r="172" spans="2:9">
      <c r="B172" s="128" t="s">
        <v>490</v>
      </c>
      <c r="C172" s="128" t="s">
        <v>458</v>
      </c>
      <c r="D172" s="128" t="s">
        <v>43</v>
      </c>
      <c r="E172" s="128" t="s">
        <v>14</v>
      </c>
      <c r="F172" s="128" t="s">
        <v>15</v>
      </c>
      <c r="G172" s="128">
        <v>1</v>
      </c>
      <c r="I172" s="128" t="str">
        <f t="shared" si="2"/>
        <v>PVT-00086200SUPERMOTOS DE CALI S.A.S.*CB-110                                           AZUL FIJI</v>
      </c>
    </row>
    <row r="173" spans="2:9" hidden="1">
      <c r="B173" s="128" t="s">
        <v>490</v>
      </c>
      <c r="C173" s="128" t="s">
        <v>458</v>
      </c>
      <c r="D173" s="128" t="s">
        <v>43</v>
      </c>
      <c r="E173" s="128" t="s">
        <v>27</v>
      </c>
      <c r="F173" s="128" t="s">
        <v>16</v>
      </c>
      <c r="G173" s="128">
        <v>3</v>
      </c>
      <c r="I173" s="128" t="str">
        <f t="shared" si="2"/>
        <v xml:space="preserve">PVT-00086200SUPERMOTOS DE CALI S.A.S.*XR 150L                                          NEGRO    </v>
      </c>
    </row>
    <row r="174" spans="2:9" hidden="1">
      <c r="B174" s="128" t="s">
        <v>490</v>
      </c>
      <c r="C174" s="128" t="s">
        <v>458</v>
      </c>
      <c r="D174" s="128" t="s">
        <v>43</v>
      </c>
      <c r="E174" s="128" t="s">
        <v>354</v>
      </c>
      <c r="F174" s="128" t="s">
        <v>355</v>
      </c>
      <c r="G174" s="128">
        <v>4</v>
      </c>
      <c r="I174" s="128" t="str">
        <f t="shared" si="2"/>
        <v>PVT-00086200SUPERMOTOS DE CALI S.A.S.CB 160F DLX                                       NEGRO PER</v>
      </c>
    </row>
    <row r="175" spans="2:9" hidden="1">
      <c r="B175" s="128" t="s">
        <v>490</v>
      </c>
      <c r="C175" s="128" t="s">
        <v>484</v>
      </c>
      <c r="D175" s="128" t="s">
        <v>45</v>
      </c>
      <c r="E175" s="128" t="s">
        <v>21</v>
      </c>
      <c r="F175" s="128" t="s">
        <v>16</v>
      </c>
      <c r="G175" s="128">
        <v>1</v>
      </c>
      <c r="I175" s="128" t="str">
        <f t="shared" si="2"/>
        <v xml:space="preserve">PVT-00086700SUPERMOTOS DEL PACIFICO S.A.S*WAVE 110                                         NEGRO    </v>
      </c>
    </row>
    <row r="176" spans="2:9" hidden="1">
      <c r="B176" s="128" t="s">
        <v>264</v>
      </c>
      <c r="G176" s="128">
        <v>511</v>
      </c>
      <c r="I176" s="128" t="str">
        <f t="shared" si="2"/>
        <v/>
      </c>
    </row>
  </sheetData>
  <autoFilter ref="I3:I176" xr:uid="{00000000-0009-0000-0000-00000D000000}">
    <filterColumn colId="0">
      <filters>
        <filter val="PVT-00086058POSADA  ROMUALDO*CB-110                                           AZUL FIJI"/>
        <filter val="PVT-00086058POSADA  ROMUALDO*CB-110                                           NEGRO"/>
        <filter val="PVT-00086060SUPERMOTOS DE CALI S.A.S.*CB-110                                           NEGRO"/>
        <filter val="PVT-00086065SUPERMOTOS DE CALI S.A.S.*CB-110                                           GRIS META"/>
        <filter val="PVT-00086065SUPERMOTOS DE CALI S.A.S.*CB-110                                           NEGRO"/>
        <filter val="PVT-00086071BELTRAN OTALORA ALBERTO*CB-110                                           AZUL FIJI"/>
        <filter val="PVT-00086076MENDEZ PARRA MANUEL RICARDO*CB-110                                           AZUL FIJI"/>
        <filter val="PVT-00086077SUPERMOTOS DEL HUILA SAS*CB-110                                           AZUL FIJI"/>
        <filter val="PVT-00086078SUPERMOTOS DE CALI S.A.S.*CB-110                                           NEGRO"/>
        <filter val="PVT-00086088SUPERMOTOS DEL HUILA SAS*CB-110                                           AZUL FIJI"/>
        <filter val="PVT-00086093SUPERMOTOS DEL HUILA SAS*CB-110                                           AZUL FIJI"/>
        <filter val="PVT-00086094SUPERMOTOS DEL PACIFICO S.A.S*CB-110                                           AZUL FIJI"/>
        <filter val="PVT-00086099SUPERMOTOS DEL CAFE S.A.S.*CB-110                                           NEGRO"/>
        <filter val="PVT-00086102SUPERMOTOS DEL CAFE S.A.S.*CB-110                                           AZUL FIJI"/>
        <filter val="PVT-00086102SUPERMOTOS DEL CAFE S.A.S.*CB-110                                           NEGRO"/>
        <filter val="PVT-00086106SUPERMOTOS DEL CAFE S.A.S.*CB-110                                           NEGRO"/>
        <filter val="PVT-00086110CASTILLO NOGUERA LEIDY ALEJANDRA*CB-110                                           NEGRO"/>
        <filter val="PVT-00086111SUPERMOTOS DE MEDELLIN S.A.S.*CB-110                                           AZUL FIJI"/>
        <filter val="PVT-00086111SUPERMOTOS DE MEDELLIN S.A.S.*CB-110                                           GRIS META"/>
        <filter val="PVT-00086111SUPERMOTOS DE MEDELLIN S.A.S.*CB-110                                           NEGRO"/>
        <filter val="PVT-00086112SUPERMOTOS DEL ATLANTICO S.A.S*CB-110                                           AZUL FIJI"/>
        <filter val="PVT-00086112SUPERMOTOS DEL ATLANTICO S.A.S*CB-110                                           GRIS META"/>
        <filter val="PVT-00086112SUPERMOTOS DEL ATLANTICO S.A.S*CB-110                                           NEGRO"/>
        <filter val="PVT-00086113PADILLA FLOREZ MARIO LUIS*CB-110                                           AZUL FIJI"/>
        <filter val="PVT-00086113PADILLA FLOREZ MARIO LUIS*CB-110                                           NEGRO"/>
        <filter val="PVT-00086115MOTOCARIBE S.A.S.*CB-110                                           AZUL FIJI"/>
        <filter val="PVT-00086125RUBE MOTOS S.A.S.*CB-110                                           AZUL FIJI"/>
        <filter val="PVT-00086125RUBE MOTOS S.A.S.*CB-110                                           NEGRO"/>
        <filter val="PVT-00086130RUBE MOTOS S.A.S.*CB-110                                           AZUL FIJI"/>
        <filter val="PVT-00086130RUBE MOTOS S.A.S.*CB-110                                           NEGRO"/>
        <filter val="PVT-00086135INVERSIONES HERNANDEZ SINNING H&amp;S S.A.S*CB-110                                           GRIS META"/>
        <filter val="PVT-00086135INVERSIONES HERNANDEZ SINNING H&amp;S S.A.S*CB-110                                           NEGRO"/>
        <filter val="PVT-00086137SUPREMOTOS S.A.S.*CB-110                                           AZUL FIJI"/>
        <filter val="PVT-00086137SUPREMOTOS S.A.S.*CB-110                                           NEGRO"/>
        <filter val="PVT-00086145SUPERMOTOS DE NARIÑO SAS*CB-110                                           AZUL FIJI"/>
        <filter val="PVT-00086145SUPERMOTOS DE NARIÑO SAS*CB-110                                           GRIS META"/>
        <filter val="PVT-00086151SUPERMOTOS DEL ORIENTE S.A.S.*CB-110                                           AZUL FIJI"/>
        <filter val="PVT-00086154GUERRA MONTES PEDRO ANTONIO*CB-110                                           AZUL FIJI"/>
        <filter val="PVT-00086171SUPERMOTOS DE BOLIVAR S.A.S.*CB-110                                           AZUL FIJI"/>
        <filter val="PVT-00086171SUPERMOTOS DE BOLIVAR S.A.S.*CB-110                                           GRIS META"/>
        <filter val="PVT-00086171SUPERMOTOS DE BOLIVAR S.A.S.*CB-110                                           NEGRO"/>
        <filter val="PVT-00086172SUPERMOTOS DE ANTIOQUIA S.A.*CB-110                                           NEGRO"/>
        <filter val="PVT-00086173SUPERMOTOS DE ANTIOQUIA S.A.*CB-110                                           AZUL FIJI"/>
        <filter val="PVT-00086173SUPERMOTOS DE ANTIOQUIA S.A.*CB-110                                           GRIS META"/>
        <filter val="PVT-00086173SUPERMOTOS DE ANTIOQUIA S.A.*CB-110                                           NEGRO"/>
        <filter val="PVT-00086174SUPERMOTOS DEL MAGDALENA S.A.S*CB-110                                           AZUL FIJI"/>
        <filter val="PVT-00086174SUPERMOTOS DEL MAGDALENA S.A.S*CB-110                                           GRIS META"/>
        <filter val="PVT-00086174SUPERMOTOS DEL MAGDALENA S.A.S*CB-110                                           NEGRO"/>
        <filter val="PVT-00086175SUPERMOTOS DE ANTIOQUIA S.A.*CB-110                                           AZUL FIJI"/>
        <filter val="PVT-00086175SUPERMOTOS DE ANTIOQUIA S.A.*CB-110                                           GRIS META"/>
        <filter val="PVT-00086175SUPERMOTOS DE ANTIOQUIA S.A.*CB-110                                           NEGRO"/>
        <filter val="PVT-00086176SUPERMOTOS DE ANTIOQUIA S.A.*CB-110                                           AZUL FIJI"/>
        <filter val="PVT-00086176SUPERMOTOS DE ANTIOQUIA S.A.*CB-110                                           GRIS META"/>
        <filter val="PVT-00086177SUPERMOTOS DE CORDOBA S.A*CB-110                                           NEGRO"/>
        <filter val="PVT-00086179SUPERMOTOS DE CORDOBA S.A*CB-110                                           AZUL FIJI"/>
        <filter val="PVT-00086179SUPERMOTOS DE CORDOBA S.A*CB-110                                           NEGRO"/>
        <filter val="PVT-00086181SUPERMOTOS DE CORDOBA S.A*CB-110                                           AZUL FIJI"/>
        <filter val="PVT-00086200SUPERMOTOS DE CALI S.A.S.*CB-110                                           AZUL FIJI"/>
        <filter val="PVT-00086239TULUA MOTOS S. A.*CB-110                                           AZUL FIJI"/>
        <filter val="PVT-00086239TULUA MOTOS S. A.*CB-110                                           NEGRO"/>
        <filter val="PVT-00086243CALVACHE ORTEGA LUZ AIDEE*CB-110                                           AZUL FIJI"/>
        <filter val="PVT-00086243CALVACHE ORTEGA LUZ AIDEE*CB-110                                           GRIS META"/>
        <filter val="PVT-00086278MOTO HIT LTDA*CB-110                                           GRIS META"/>
        <filter val="PVT-00086279MOTO HIT LTDA*CB-110                                           AZUL FIJI"/>
        <filter val="PVT-00086281MOTO HIT LTDA*CB-110                                           AZUL FIJI"/>
        <filter val="PVT-00086281MOTO HIT LTDA*CB-110                                           NEGRO"/>
        <filter val="PVT-00086285MOTO HIT LTDA*CB-110                                           AZUL FIJI"/>
        <filter val="PVT-00086287MOTO HIT LTDA*CB-110                                           AZUL FIJI"/>
        <filter val="PVT-00086287MOTO HIT LTDA*CB-110                                           NEGRO"/>
        <filter val="PVT-00086303HONDA STORE S.A.S.*CB-110                                           AZUL FIJI"/>
        <filter val="PVT-00086303HONDA STORE S.A.S.*CB-110                                           GRIS META"/>
        <filter val="PVT-00086303HONDA STORE S.A.S.*CB-110                                           NEGRO"/>
        <filter val="PVT-00086448SUPERMOTOS DE SANTANDER S.A.S*CB-110                                           AZUL FIJI"/>
        <filter val="PVT-00086450SUPERMOTOS DEL HUILA SAS*CB-110                                           NEG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Estandar de Rutas</vt:lpstr>
      <vt:lpstr>PASO 2 DISPONIBILIDAD</vt:lpstr>
      <vt:lpstr>PASO 3 MOTOS DESCUENTO</vt:lpstr>
      <vt:lpstr>PASO 4 INF DE CUPOS</vt:lpstr>
      <vt:lpstr>DATOS</vt:lpstr>
      <vt:lpstr>Hoja1</vt:lpstr>
      <vt:lpstr>Status Rutas</vt:lpstr>
      <vt:lpstr>PROGRAMACION DE VIAJES</vt:lpstr>
      <vt:lpstr>INF. CLIENTE</vt:lpstr>
      <vt:lpstr>INF. PORTERIA</vt:lpstr>
      <vt:lpstr>DIRECTORIO</vt:lpstr>
      <vt:lpstr>INF. CARTERA</vt:lpstr>
      <vt:lpstr>ESTANDAR</vt:lpstr>
      <vt:lpstr>Hoja4</vt:lpstr>
      <vt:lpstr>'PROGRAMACION DE VIAJES'!Print_Area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Quiceno Laura Carolina</dc:creator>
  <cp:lastModifiedBy>Casa</cp:lastModifiedBy>
  <cp:lastPrinted>2017-01-17T13:03:40Z</cp:lastPrinted>
  <dcterms:created xsi:type="dcterms:W3CDTF">2016-11-16T20:31:07Z</dcterms:created>
  <dcterms:modified xsi:type="dcterms:W3CDTF">2017-12-06T02:22:19Z</dcterms:modified>
</cp:coreProperties>
</file>