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https://kedgebs-my.sharepoint.com/personal/felipe_villegasuran_kedgebs_com/Documents/"/>
    </mc:Choice>
  </mc:AlternateContent>
  <xr:revisionPtr revIDLastSave="0" documentId="8_{A2BECA0A-56C7-4C8E-ADB0-41B8DC67B2B5}" xr6:coauthVersionLast="47" xr6:coauthVersionMax="47" xr10:uidLastSave="{00000000-0000-0000-0000-000000000000}"/>
  <bookViews>
    <workbookView xWindow="-20" yWindow="860" windowWidth="16900" windowHeight="19840" firstSheet="6" activeTab="6" xr2:uid="{CBD84B4D-D09D-154B-ABE5-FE827BE47703}"/>
  </bookViews>
  <sheets>
    <sheet name="Practice" sheetId="3" r:id="rId1"/>
    <sheet name="Exercise 1" sheetId="1" r:id="rId2"/>
    <sheet name="Exercise 2" sheetId="2" r:id="rId3"/>
    <sheet name="Exercise 3" sheetId="4" r:id="rId4"/>
    <sheet name="Exercise 4" sheetId="5" r:id="rId5"/>
    <sheet name="Exercise 4 E.S. + Trend HOLT'S" sheetId="7" r:id="rId6"/>
    <sheet name="Exercise 5 E.S. + T &amp; S WINTERS" sheetId="6" r:id="rId7"/>
  </sheets>
  <definedNames>
    <definedName name="solver_adj" localSheetId="3" hidden="1">'Exercise 3'!$L$5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'Exercise 3'!$L$5</definedName>
    <definedName name="solver_lhs2" localSheetId="3" hidden="1">'Exercise 3'!$L$5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opt" localSheetId="3" hidden="1">'Exercise 3'!$L$47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hs1" localSheetId="3" hidden="1">1</definedName>
    <definedName name="solver_rhs2" localSheetId="3" hidden="1">0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6" l="1"/>
  <c r="F56" i="6"/>
  <c r="F33" i="6"/>
  <c r="F32" i="6"/>
  <c r="D11" i="7"/>
  <c r="D10" i="7"/>
  <c r="E9" i="7"/>
  <c r="E10" i="7"/>
  <c r="E21" i="6"/>
  <c r="E20" i="6"/>
  <c r="C32" i="6"/>
  <c r="E32" i="6"/>
  <c r="D32" i="6"/>
  <c r="C31" i="6"/>
  <c r="E3" i="6"/>
  <c r="E4" i="6" s="1"/>
  <c r="E22" i="6"/>
  <c r="E23" i="6"/>
  <c r="E24" i="6"/>
  <c r="E25" i="6"/>
  <c r="E26" i="6"/>
  <c r="E27" i="6"/>
  <c r="E28" i="6"/>
  <c r="E29" i="6"/>
  <c r="E30" i="6"/>
  <c r="E31" i="6"/>
  <c r="H3" i="4"/>
  <c r="I3" i="4"/>
  <c r="D3" i="2"/>
  <c r="K13" i="4"/>
  <c r="L13" i="4"/>
  <c r="J3" i="4" s="1"/>
  <c r="L11" i="4"/>
  <c r="K11" i="4"/>
  <c r="G3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E3" i="4"/>
  <c r="C26" i="4" s="1"/>
  <c r="D26" i="4" s="1"/>
  <c r="D5" i="2"/>
  <c r="I5" i="2" s="1"/>
  <c r="J5" i="2" s="1"/>
  <c r="D4" i="2"/>
  <c r="I4" i="2" s="1"/>
  <c r="J4" i="2" s="1"/>
  <c r="C3" i="2"/>
  <c r="E84" i="3"/>
  <c r="E83" i="3"/>
  <c r="E85" i="3"/>
  <c r="H73" i="7"/>
  <c r="H64" i="7"/>
  <c r="H65" i="7"/>
  <c r="H66" i="7"/>
  <c r="H67" i="7"/>
  <c r="I67" i="7" s="1"/>
  <c r="H68" i="7"/>
  <c r="H69" i="7"/>
  <c r="H70" i="7"/>
  <c r="H71" i="7"/>
  <c r="H72" i="7"/>
  <c r="H63" i="7"/>
  <c r="C63" i="7"/>
  <c r="I66" i="7"/>
  <c r="I65" i="7"/>
  <c r="I64" i="7"/>
  <c r="I63" i="7"/>
  <c r="I22" i="7"/>
  <c r="H23" i="7"/>
  <c r="H24" i="7"/>
  <c r="H25" i="7"/>
  <c r="H26" i="7"/>
  <c r="H27" i="7"/>
  <c r="H28" i="7"/>
  <c r="H29" i="7"/>
  <c r="H30" i="7"/>
  <c r="H31" i="7"/>
  <c r="H22" i="7"/>
  <c r="H50" i="7"/>
  <c r="E50" i="7"/>
  <c r="F50" i="7" s="1"/>
  <c r="G50" i="7"/>
  <c r="I50" i="7"/>
  <c r="G9" i="7"/>
  <c r="C22" i="7"/>
  <c r="D74" i="3"/>
  <c r="D73" i="3"/>
  <c r="E72" i="3"/>
  <c r="D72" i="3"/>
  <c r="F71" i="3"/>
  <c r="E71" i="3"/>
  <c r="D71" i="3"/>
  <c r="F70" i="3"/>
  <c r="D22" i="7"/>
  <c r="G51" i="7"/>
  <c r="H3" i="6"/>
  <c r="H52" i="5"/>
  <c r="H53" i="5" s="1"/>
  <c r="H54" i="5" s="1"/>
  <c r="H55" i="5" s="1"/>
  <c r="H56" i="5" s="1"/>
  <c r="H57" i="5" s="1"/>
  <c r="H58" i="5" s="1"/>
  <c r="H59" i="5" s="1"/>
  <c r="H51" i="5"/>
  <c r="H50" i="5"/>
  <c r="H11" i="5"/>
  <c r="H12" i="5" s="1"/>
  <c r="H13" i="5" s="1"/>
  <c r="H14" i="5" s="1"/>
  <c r="H15" i="5" s="1"/>
  <c r="H16" i="5" s="1"/>
  <c r="H17" i="5" s="1"/>
  <c r="H18" i="5" s="1"/>
  <c r="H10" i="5"/>
  <c r="H9" i="5"/>
  <c r="G10" i="5"/>
  <c r="R23" i="5" s="1"/>
  <c r="W22" i="5"/>
  <c r="X22" i="5" s="1"/>
  <c r="B63" i="7"/>
  <c r="B64" i="7"/>
  <c r="B65" i="7"/>
  <c r="B66" i="7"/>
  <c r="B67" i="7"/>
  <c r="B68" i="7"/>
  <c r="B69" i="7"/>
  <c r="B70" i="7"/>
  <c r="B71" i="7"/>
  <c r="B72" i="7"/>
  <c r="G4" i="5"/>
  <c r="G5" i="5" s="1"/>
  <c r="G6" i="5" s="1"/>
  <c r="G7" i="5" s="1"/>
  <c r="G8" i="5" s="1"/>
  <c r="G44" i="5"/>
  <c r="G45" i="5" s="1"/>
  <c r="G46" i="5" s="1"/>
  <c r="G47" i="5" s="1"/>
  <c r="G48" i="5" s="1"/>
  <c r="G49" i="5" s="1"/>
  <c r="H44" i="5"/>
  <c r="H45" i="5" s="1"/>
  <c r="H46" i="5" s="1"/>
  <c r="H47" i="5" s="1"/>
  <c r="H48" i="5" s="1"/>
  <c r="H49" i="5" s="1"/>
  <c r="G50" i="5"/>
  <c r="G51" i="5" s="1"/>
  <c r="G52" i="5" s="1"/>
  <c r="G53" i="5" s="1"/>
  <c r="G54" i="5" s="1"/>
  <c r="G55" i="5" s="1"/>
  <c r="G56" i="5" s="1"/>
  <c r="G57" i="5" s="1"/>
  <c r="G58" i="5" s="1"/>
  <c r="G59" i="5" s="1"/>
  <c r="G9" i="5"/>
  <c r="R22" i="5"/>
  <c r="G3" i="5"/>
  <c r="G11" i="5" s="1"/>
  <c r="G12" i="5" s="1"/>
  <c r="G13" i="5" s="1"/>
  <c r="G14" i="5" s="1"/>
  <c r="G15" i="5" s="1"/>
  <c r="G16" i="5" s="1"/>
  <c r="G17" i="5" s="1"/>
  <c r="G18" i="5" s="1"/>
  <c r="R31" i="5" s="1"/>
  <c r="G3" i="6"/>
  <c r="K6" i="5"/>
  <c r="J47" i="5"/>
  <c r="J45" i="5"/>
  <c r="K8" i="5"/>
  <c r="F22" i="5"/>
  <c r="F63" i="5"/>
  <c r="G22" i="5"/>
  <c r="E35" i="5"/>
  <c r="C22" i="5"/>
  <c r="E8" i="5"/>
  <c r="E7" i="5"/>
  <c r="E19" i="1"/>
  <c r="D18" i="1"/>
  <c r="G22" i="4"/>
  <c r="H19" i="4"/>
  <c r="H4" i="4"/>
  <c r="K7" i="4" a="1"/>
  <c r="K7" i="4"/>
  <c r="O7" i="4" a="1"/>
  <c r="O7" i="4"/>
  <c r="C4" i="2"/>
  <c r="F2" i="4"/>
  <c r="D22" i="2"/>
  <c r="B64" i="5"/>
  <c r="B65" i="5"/>
  <c r="B66" i="5"/>
  <c r="B67" i="5"/>
  <c r="B68" i="5"/>
  <c r="B69" i="5"/>
  <c r="B70" i="5"/>
  <c r="B71" i="5"/>
  <c r="B72" i="5"/>
  <c r="B63" i="5"/>
  <c r="F51" i="5"/>
  <c r="M64" i="5" s="1"/>
  <c r="N64" i="5" s="1"/>
  <c r="O64" i="5" s="1"/>
  <c r="F52" i="5"/>
  <c r="M65" i="5" s="1"/>
  <c r="N65" i="5" s="1"/>
  <c r="O65" i="5" s="1"/>
  <c r="F53" i="5"/>
  <c r="M66" i="5" s="1"/>
  <c r="N66" i="5" s="1"/>
  <c r="O66" i="5" s="1"/>
  <c r="F54" i="5"/>
  <c r="M67" i="5" s="1"/>
  <c r="F55" i="5"/>
  <c r="M68" i="5" s="1"/>
  <c r="N68" i="5" s="1"/>
  <c r="O68" i="5" s="1"/>
  <c r="F56" i="5"/>
  <c r="M69" i="5" s="1"/>
  <c r="F57" i="5"/>
  <c r="M70" i="5" s="1"/>
  <c r="N70" i="5" s="1"/>
  <c r="O70" i="5" s="1"/>
  <c r="F58" i="5"/>
  <c r="M71" i="5" s="1"/>
  <c r="F59" i="5"/>
  <c r="M72" i="5" s="1"/>
  <c r="N72" i="5" s="1"/>
  <c r="O72" i="5" s="1"/>
  <c r="F50" i="5"/>
  <c r="M63" i="5" s="1"/>
  <c r="N63" i="5" s="1"/>
  <c r="E49" i="5"/>
  <c r="E50" i="5"/>
  <c r="H63" i="5" s="1"/>
  <c r="E51" i="5"/>
  <c r="H64" i="5" s="1"/>
  <c r="I64" i="5" s="1"/>
  <c r="J64" i="5" s="1"/>
  <c r="E52" i="5"/>
  <c r="H65" i="5" s="1"/>
  <c r="I65" i="5" s="1"/>
  <c r="J65" i="5" s="1"/>
  <c r="E53" i="5"/>
  <c r="H66" i="5" s="1"/>
  <c r="I66" i="5" s="1"/>
  <c r="J66" i="5" s="1"/>
  <c r="E54" i="5"/>
  <c r="H67" i="5" s="1"/>
  <c r="E55" i="5"/>
  <c r="H68" i="5" s="1"/>
  <c r="I68" i="5" s="1"/>
  <c r="J68" i="5" s="1"/>
  <c r="E56" i="5"/>
  <c r="H69" i="5" s="1"/>
  <c r="E57" i="5"/>
  <c r="H70" i="5" s="1"/>
  <c r="I70" i="5" s="1"/>
  <c r="J70" i="5" s="1"/>
  <c r="K70" i="5" s="1"/>
  <c r="E58" i="5"/>
  <c r="H71" i="5" s="1"/>
  <c r="E59" i="5"/>
  <c r="H72" i="5" s="1"/>
  <c r="I72" i="5" s="1"/>
  <c r="J72" i="5" s="1"/>
  <c r="E48" i="5"/>
  <c r="D47" i="5"/>
  <c r="D48" i="5"/>
  <c r="D49" i="5"/>
  <c r="D50" i="5"/>
  <c r="C63" i="5" s="1"/>
  <c r="D51" i="5"/>
  <c r="C64" i="5" s="1"/>
  <c r="D52" i="5"/>
  <c r="C65" i="5" s="1"/>
  <c r="D53" i="5"/>
  <c r="C66" i="5" s="1"/>
  <c r="D54" i="5"/>
  <c r="C67" i="5" s="1"/>
  <c r="D55" i="5"/>
  <c r="C68" i="5" s="1"/>
  <c r="D56" i="5"/>
  <c r="C69" i="5" s="1"/>
  <c r="D57" i="5"/>
  <c r="C70" i="5" s="1"/>
  <c r="D58" i="5"/>
  <c r="C71" i="5" s="1"/>
  <c r="D59" i="5"/>
  <c r="C72" i="5" s="1"/>
  <c r="D46" i="5"/>
  <c r="H3" i="5"/>
  <c r="H4" i="5" s="1"/>
  <c r="H5" i="5" s="1"/>
  <c r="H6" i="5" s="1"/>
  <c r="H7" i="5" s="1"/>
  <c r="H8" i="5" s="1"/>
  <c r="F10" i="5"/>
  <c r="M23" i="5" s="1"/>
  <c r="N23" i="5" s="1"/>
  <c r="O23" i="5" s="1"/>
  <c r="F11" i="5"/>
  <c r="M24" i="5" s="1"/>
  <c r="N24" i="5" s="1"/>
  <c r="O24" i="5" s="1"/>
  <c r="F12" i="5"/>
  <c r="M25" i="5" s="1"/>
  <c r="N25" i="5" s="1"/>
  <c r="O25" i="5" s="1"/>
  <c r="F13" i="5"/>
  <c r="M26" i="5" s="1"/>
  <c r="N26" i="5" s="1"/>
  <c r="O26" i="5" s="1"/>
  <c r="F14" i="5"/>
  <c r="M27" i="5" s="1"/>
  <c r="N27" i="5" s="1"/>
  <c r="O27" i="5" s="1"/>
  <c r="F15" i="5"/>
  <c r="M28" i="5" s="1"/>
  <c r="N28" i="5" s="1"/>
  <c r="O28" i="5" s="1"/>
  <c r="F16" i="5"/>
  <c r="M29" i="5" s="1"/>
  <c r="N29" i="5" s="1"/>
  <c r="O29" i="5" s="1"/>
  <c r="F17" i="5"/>
  <c r="M30" i="5" s="1"/>
  <c r="N30" i="5" s="1"/>
  <c r="O30" i="5" s="1"/>
  <c r="F18" i="5"/>
  <c r="M31" i="5" s="1"/>
  <c r="N31" i="5" s="1"/>
  <c r="O31" i="5" s="1"/>
  <c r="F9" i="5"/>
  <c r="M22" i="5" s="1"/>
  <c r="N22" i="5" s="1"/>
  <c r="D6" i="5"/>
  <c r="D7" i="5"/>
  <c r="D8" i="5"/>
  <c r="D9" i="5"/>
  <c r="D22" i="5" s="1"/>
  <c r="D10" i="5"/>
  <c r="C23" i="5" s="1"/>
  <c r="D23" i="5" s="1"/>
  <c r="E23" i="5" s="1"/>
  <c r="D11" i="5"/>
  <c r="C24" i="5" s="1"/>
  <c r="D24" i="5" s="1"/>
  <c r="E24" i="5" s="1"/>
  <c r="D12" i="5"/>
  <c r="C25" i="5" s="1"/>
  <c r="D25" i="5" s="1"/>
  <c r="E25" i="5" s="1"/>
  <c r="D13" i="5"/>
  <c r="C26" i="5" s="1"/>
  <c r="D26" i="5" s="1"/>
  <c r="E26" i="5" s="1"/>
  <c r="D14" i="5"/>
  <c r="C27" i="5" s="1"/>
  <c r="D27" i="5" s="1"/>
  <c r="E27" i="5" s="1"/>
  <c r="D15" i="5"/>
  <c r="C28" i="5" s="1"/>
  <c r="D28" i="5" s="1"/>
  <c r="E28" i="5" s="1"/>
  <c r="D16" i="5"/>
  <c r="C29" i="5" s="1"/>
  <c r="D29" i="5" s="1"/>
  <c r="E29" i="5" s="1"/>
  <c r="D17" i="5"/>
  <c r="C30" i="5" s="1"/>
  <c r="D30" i="5" s="1"/>
  <c r="E30" i="5" s="1"/>
  <c r="D18" i="5"/>
  <c r="C31" i="5" s="1"/>
  <c r="D31" i="5" s="1"/>
  <c r="E31" i="5" s="1"/>
  <c r="D5" i="5"/>
  <c r="E9" i="5"/>
  <c r="H22" i="5" s="1"/>
  <c r="I22" i="5" s="1"/>
  <c r="E10" i="5"/>
  <c r="H23" i="5" s="1"/>
  <c r="I23" i="5" s="1"/>
  <c r="J23" i="5" s="1"/>
  <c r="E11" i="5"/>
  <c r="H24" i="5" s="1"/>
  <c r="I24" i="5" s="1"/>
  <c r="J24" i="5" s="1"/>
  <c r="E12" i="5"/>
  <c r="H25" i="5" s="1"/>
  <c r="I25" i="5" s="1"/>
  <c r="J25" i="5" s="1"/>
  <c r="E13" i="5"/>
  <c r="H26" i="5" s="1"/>
  <c r="I26" i="5" s="1"/>
  <c r="J26" i="5" s="1"/>
  <c r="E14" i="5"/>
  <c r="H27" i="5" s="1"/>
  <c r="I27" i="5" s="1"/>
  <c r="J27" i="5" s="1"/>
  <c r="E15" i="5"/>
  <c r="H28" i="5" s="1"/>
  <c r="I28" i="5" s="1"/>
  <c r="J28" i="5" s="1"/>
  <c r="E16" i="5"/>
  <c r="H29" i="5" s="1"/>
  <c r="I29" i="5" s="1"/>
  <c r="J29" i="5" s="1"/>
  <c r="E17" i="5"/>
  <c r="H30" i="5" s="1"/>
  <c r="I30" i="5" s="1"/>
  <c r="J30" i="5" s="1"/>
  <c r="E18" i="5"/>
  <c r="H31" i="5" s="1"/>
  <c r="I31" i="5" s="1"/>
  <c r="J31" i="5" s="1"/>
  <c r="G4" i="4"/>
  <c r="M27" i="4" s="1"/>
  <c r="G5" i="4"/>
  <c r="M28" i="4" s="1"/>
  <c r="G6" i="4"/>
  <c r="M29" i="4" s="1"/>
  <c r="G7" i="4"/>
  <c r="M30" i="4" s="1"/>
  <c r="G8" i="4"/>
  <c r="M31" i="4" s="1"/>
  <c r="G9" i="4"/>
  <c r="M32" i="4" s="1"/>
  <c r="G10" i="4"/>
  <c r="M33" i="4" s="1"/>
  <c r="G11" i="4"/>
  <c r="M34" i="4" s="1"/>
  <c r="G12" i="4"/>
  <c r="M35" i="4" s="1"/>
  <c r="G13" i="4"/>
  <c r="M36" i="4" s="1"/>
  <c r="G14" i="4"/>
  <c r="M37" i="4" s="1"/>
  <c r="G15" i="4"/>
  <c r="M38" i="4" s="1"/>
  <c r="G16" i="4"/>
  <c r="M39" i="4" s="1"/>
  <c r="G17" i="4"/>
  <c r="M40" i="4" s="1"/>
  <c r="G18" i="4"/>
  <c r="G19" i="4"/>
  <c r="G20" i="4"/>
  <c r="G21" i="4"/>
  <c r="M26" i="4"/>
  <c r="N38" i="4"/>
  <c r="O38" i="4" s="1"/>
  <c r="N32" i="4"/>
  <c r="O32" i="4" s="1"/>
  <c r="N31" i="4"/>
  <c r="O31" i="4" s="1"/>
  <c r="N30" i="4"/>
  <c r="O30" i="4" s="1"/>
  <c r="E4" i="4"/>
  <c r="C27" i="4" s="1"/>
  <c r="D27" i="4" s="1"/>
  <c r="E27" i="4" s="1"/>
  <c r="F27" i="4" s="1"/>
  <c r="E5" i="4"/>
  <c r="C28" i="4" s="1"/>
  <c r="D28" i="4" s="1"/>
  <c r="E6" i="4"/>
  <c r="C29" i="4" s="1"/>
  <c r="D29" i="4" s="1"/>
  <c r="E7" i="4"/>
  <c r="C30" i="4" s="1"/>
  <c r="D30" i="4" s="1"/>
  <c r="E30" i="4" s="1"/>
  <c r="E8" i="4"/>
  <c r="C31" i="4" s="1"/>
  <c r="D31" i="4" s="1"/>
  <c r="E31" i="4" s="1"/>
  <c r="E9" i="4"/>
  <c r="C32" i="4" s="1"/>
  <c r="D32" i="4" s="1"/>
  <c r="E32" i="4" s="1"/>
  <c r="F32" i="4" s="1"/>
  <c r="E10" i="4"/>
  <c r="C33" i="4" s="1"/>
  <c r="D33" i="4" s="1"/>
  <c r="E33" i="4" s="1"/>
  <c r="E11" i="4"/>
  <c r="C34" i="4" s="1"/>
  <c r="D34" i="4" s="1"/>
  <c r="E12" i="4"/>
  <c r="C35" i="4" s="1"/>
  <c r="D35" i="4" s="1"/>
  <c r="E35" i="4" s="1"/>
  <c r="F35" i="4" s="1"/>
  <c r="E13" i="4"/>
  <c r="C36" i="4" s="1"/>
  <c r="D36" i="4" s="1"/>
  <c r="E14" i="4"/>
  <c r="C37" i="4" s="1"/>
  <c r="D37" i="4" s="1"/>
  <c r="E15" i="4"/>
  <c r="C38" i="4" s="1"/>
  <c r="D38" i="4" s="1"/>
  <c r="E38" i="4" s="1"/>
  <c r="E16" i="4"/>
  <c r="C39" i="4" s="1"/>
  <c r="D39" i="4" s="1"/>
  <c r="E39" i="4" s="1"/>
  <c r="E17" i="4"/>
  <c r="C40" i="4" s="1"/>
  <c r="D40" i="4" s="1"/>
  <c r="N40" i="4" s="1"/>
  <c r="O40" i="4" s="1"/>
  <c r="E18" i="4"/>
  <c r="E19" i="4"/>
  <c r="E20" i="4"/>
  <c r="E21" i="4"/>
  <c r="E22" i="4"/>
  <c r="F25" i="3"/>
  <c r="F26" i="3"/>
  <c r="F27" i="3"/>
  <c r="F28" i="3"/>
  <c r="F29" i="3"/>
  <c r="F30" i="3"/>
  <c r="F31" i="3"/>
  <c r="F32" i="3"/>
  <c r="F33" i="3"/>
  <c r="E26" i="3"/>
  <c r="E27" i="3"/>
  <c r="E28" i="3"/>
  <c r="E29" i="3"/>
  <c r="E30" i="3"/>
  <c r="E31" i="3"/>
  <c r="E32" i="3"/>
  <c r="E33" i="3"/>
  <c r="E25" i="3"/>
  <c r="E35" i="3" s="1"/>
  <c r="C36" i="3"/>
  <c r="B36" i="3"/>
  <c r="C35" i="3"/>
  <c r="B35" i="3"/>
  <c r="D6" i="2"/>
  <c r="I6" i="2" s="1"/>
  <c r="J6" i="2" s="1"/>
  <c r="D7" i="2"/>
  <c r="I7" i="2" s="1"/>
  <c r="J7" i="2" s="1"/>
  <c r="D8" i="2"/>
  <c r="I8" i="2" s="1"/>
  <c r="J8" i="2" s="1"/>
  <c r="D9" i="2"/>
  <c r="I9" i="2" s="1"/>
  <c r="J9" i="2" s="1"/>
  <c r="D10" i="2"/>
  <c r="I10" i="2" s="1"/>
  <c r="J10" i="2" s="1"/>
  <c r="D11" i="2"/>
  <c r="I11" i="2" s="1"/>
  <c r="J11" i="2" s="1"/>
  <c r="D12" i="2"/>
  <c r="I12" i="2" s="1"/>
  <c r="J12" i="2" s="1"/>
  <c r="D13" i="2"/>
  <c r="I13" i="2" s="1"/>
  <c r="J13" i="2" s="1"/>
  <c r="D14" i="2"/>
  <c r="I14" i="2" s="1"/>
  <c r="J14" i="2" s="1"/>
  <c r="D15" i="2"/>
  <c r="I15" i="2" s="1"/>
  <c r="J15" i="2" s="1"/>
  <c r="D16" i="2"/>
  <c r="I16" i="2" s="1"/>
  <c r="J16" i="2" s="1"/>
  <c r="D17" i="2"/>
  <c r="I17" i="2" s="1"/>
  <c r="J17" i="2" s="1"/>
  <c r="D18" i="2"/>
  <c r="I18" i="2" s="1"/>
  <c r="J18" i="2" s="1"/>
  <c r="D19" i="2"/>
  <c r="I19" i="2" s="1"/>
  <c r="J19" i="2" s="1"/>
  <c r="D20" i="2"/>
  <c r="I20" i="2" s="1"/>
  <c r="J20" i="2" s="1"/>
  <c r="D21" i="2"/>
  <c r="I21" i="2" s="1"/>
  <c r="J21" i="2" s="1"/>
  <c r="I22" i="2"/>
  <c r="J22" i="2" s="1"/>
  <c r="I3" i="2"/>
  <c r="C16" i="3"/>
  <c r="B16" i="3"/>
  <c r="B15" i="3"/>
  <c r="E4" i="2"/>
  <c r="F4" i="2" s="1"/>
  <c r="C5" i="2"/>
  <c r="E5" i="2" s="1"/>
  <c r="F5" i="2" s="1"/>
  <c r="C6" i="2"/>
  <c r="E6" i="2" s="1"/>
  <c r="F6" i="2" s="1"/>
  <c r="C7" i="2"/>
  <c r="E7" i="2" s="1"/>
  <c r="F7" i="2" s="1"/>
  <c r="C8" i="2"/>
  <c r="E8" i="2" s="1"/>
  <c r="F8" i="2" s="1"/>
  <c r="C9" i="2"/>
  <c r="E9" i="2" s="1"/>
  <c r="F9" i="2" s="1"/>
  <c r="G9" i="2" s="1"/>
  <c r="C10" i="2"/>
  <c r="E10" i="2" s="1"/>
  <c r="F10" i="2" s="1"/>
  <c r="C11" i="2"/>
  <c r="E11" i="2" s="1"/>
  <c r="F11" i="2" s="1"/>
  <c r="C12" i="2"/>
  <c r="E12" i="2" s="1"/>
  <c r="F12" i="2" s="1"/>
  <c r="G12" i="2" s="1"/>
  <c r="C13" i="2"/>
  <c r="E13" i="2" s="1"/>
  <c r="F13" i="2" s="1"/>
  <c r="C14" i="2"/>
  <c r="E14" i="2" s="1"/>
  <c r="F14" i="2" s="1"/>
  <c r="C15" i="2"/>
  <c r="E15" i="2" s="1"/>
  <c r="F15" i="2" s="1"/>
  <c r="C16" i="2"/>
  <c r="E16" i="2" s="1"/>
  <c r="F16" i="2" s="1"/>
  <c r="C17" i="2"/>
  <c r="E17" i="2" s="1"/>
  <c r="F17" i="2" s="1"/>
  <c r="G17" i="2" s="1"/>
  <c r="C18" i="2"/>
  <c r="E18" i="2" s="1"/>
  <c r="F18" i="2" s="1"/>
  <c r="C19" i="2"/>
  <c r="E19" i="2" s="1"/>
  <c r="F19" i="2" s="1"/>
  <c r="C20" i="2"/>
  <c r="E20" i="2" s="1"/>
  <c r="F20" i="2" s="1"/>
  <c r="G20" i="2" s="1"/>
  <c r="C21" i="2"/>
  <c r="E21" i="2" s="1"/>
  <c r="F21" i="2" s="1"/>
  <c r="C22" i="2"/>
  <c r="E22" i="2" s="1"/>
  <c r="F22" i="2" s="1"/>
  <c r="L16" i="1"/>
  <c r="M16" i="1" s="1"/>
  <c r="D16" i="1"/>
  <c r="E16" i="1" s="1"/>
  <c r="L15" i="1"/>
  <c r="M15" i="1" s="1"/>
  <c r="L14" i="1"/>
  <c r="M14" i="1" s="1"/>
  <c r="L13" i="1"/>
  <c r="M13" i="1" s="1"/>
  <c r="L12" i="1"/>
  <c r="M12" i="1" s="1"/>
  <c r="L11" i="1"/>
  <c r="M11" i="1" s="1"/>
  <c r="D12" i="1"/>
  <c r="E12" i="1" s="1"/>
  <c r="D13" i="1"/>
  <c r="E13" i="1" s="1"/>
  <c r="D14" i="1"/>
  <c r="E14" i="1" s="1"/>
  <c r="F14" i="1" s="1"/>
  <c r="D15" i="1"/>
  <c r="E15" i="1" s="1"/>
  <c r="G15" i="1" s="1"/>
  <c r="D11" i="1"/>
  <c r="G32" i="6" l="1"/>
  <c r="H32" i="6" s="1"/>
  <c r="C33" i="6"/>
  <c r="E33" i="6"/>
  <c r="F4" i="6"/>
  <c r="H4" i="6" s="1"/>
  <c r="G4" i="6"/>
  <c r="E5" i="6" s="1"/>
  <c r="G5" i="6" s="1"/>
  <c r="H9" i="7"/>
  <c r="I9" i="7" s="1"/>
  <c r="G10" i="7"/>
  <c r="F10" i="7"/>
  <c r="F72" i="3"/>
  <c r="F9" i="7"/>
  <c r="D51" i="7"/>
  <c r="E51" i="7" s="1"/>
  <c r="F51" i="7" s="1"/>
  <c r="R26" i="5"/>
  <c r="R24" i="5"/>
  <c r="R27" i="5"/>
  <c r="R30" i="5"/>
  <c r="R25" i="5"/>
  <c r="R29" i="5"/>
  <c r="R28" i="5"/>
  <c r="J22" i="7"/>
  <c r="L22" i="7" s="1"/>
  <c r="E22" i="7"/>
  <c r="D63" i="7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20" i="4"/>
  <c r="H21" i="4"/>
  <c r="H22" i="4"/>
  <c r="J4" i="4"/>
  <c r="AB27" i="4" s="1"/>
  <c r="AC27" i="4" s="1"/>
  <c r="AD27" i="4" s="1"/>
  <c r="AE27" i="4" s="1"/>
  <c r="J5" i="4"/>
  <c r="AB28" i="4" s="1"/>
  <c r="AC28" i="4" s="1"/>
  <c r="AD28" i="4" s="1"/>
  <c r="AF28" i="4" s="1"/>
  <c r="J6" i="4"/>
  <c r="AB29" i="4" s="1"/>
  <c r="AC29" i="4" s="1"/>
  <c r="AD29" i="4" s="1"/>
  <c r="J7" i="4"/>
  <c r="AB30" i="4" s="1"/>
  <c r="AC30" i="4" s="1"/>
  <c r="AD30" i="4" s="1"/>
  <c r="AE30" i="4" s="1"/>
  <c r="J8" i="4"/>
  <c r="AB31" i="4" s="1"/>
  <c r="AC31" i="4" s="1"/>
  <c r="AD31" i="4" s="1"/>
  <c r="AE31" i="4" s="1"/>
  <c r="J9" i="4"/>
  <c r="AB32" i="4" s="1"/>
  <c r="AC32" i="4" s="1"/>
  <c r="AD32" i="4" s="1"/>
  <c r="J10" i="4"/>
  <c r="AB33" i="4" s="1"/>
  <c r="AC33" i="4" s="1"/>
  <c r="AD33" i="4" s="1"/>
  <c r="J11" i="4"/>
  <c r="AB34" i="4" s="1"/>
  <c r="AC34" i="4" s="1"/>
  <c r="AD34" i="4" s="1"/>
  <c r="J12" i="4"/>
  <c r="AB35" i="4" s="1"/>
  <c r="AC35" i="4" s="1"/>
  <c r="AD35" i="4" s="1"/>
  <c r="AE35" i="4" s="1"/>
  <c r="J13" i="4"/>
  <c r="AB36" i="4" s="1"/>
  <c r="AC36" i="4" s="1"/>
  <c r="AD36" i="4" s="1"/>
  <c r="AF36" i="4" s="1"/>
  <c r="J14" i="4"/>
  <c r="AB37" i="4" s="1"/>
  <c r="AC37" i="4" s="1"/>
  <c r="AD37" i="4" s="1"/>
  <c r="AE37" i="4" s="1"/>
  <c r="J15" i="4"/>
  <c r="AB38" i="4" s="1"/>
  <c r="AC38" i="4" s="1"/>
  <c r="AD38" i="4" s="1"/>
  <c r="AE38" i="4" s="1"/>
  <c r="J16" i="4"/>
  <c r="AB39" i="4" s="1"/>
  <c r="AC39" i="4" s="1"/>
  <c r="AD39" i="4" s="1"/>
  <c r="AE39" i="4" s="1"/>
  <c r="J17" i="4"/>
  <c r="AB40" i="4" s="1"/>
  <c r="AC40" i="4" s="1"/>
  <c r="AD40" i="4" s="1"/>
  <c r="J18" i="4"/>
  <c r="J19" i="4"/>
  <c r="J20" i="4"/>
  <c r="J21" i="4"/>
  <c r="J22" i="4"/>
  <c r="AB26" i="4"/>
  <c r="AC26" i="4" s="1"/>
  <c r="AD26" i="4" s="1"/>
  <c r="AD44" i="4" s="1"/>
  <c r="AE40" i="4"/>
  <c r="AF40" i="4"/>
  <c r="AF37" i="4"/>
  <c r="AE34" i="4"/>
  <c r="AF34" i="4"/>
  <c r="AE33" i="4"/>
  <c r="AF33" i="4"/>
  <c r="AE32" i="4"/>
  <c r="AF32" i="4"/>
  <c r="AE29" i="4"/>
  <c r="AF29" i="4"/>
  <c r="I4" i="4"/>
  <c r="W27" i="4" s="1"/>
  <c r="X27" i="4" s="1"/>
  <c r="Y27" i="4" s="1"/>
  <c r="I5" i="4"/>
  <c r="W28" i="4" s="1"/>
  <c r="X28" i="4" s="1"/>
  <c r="Y28" i="4" s="1"/>
  <c r="I6" i="4"/>
  <c r="W29" i="4" s="1"/>
  <c r="X29" i="4" s="1"/>
  <c r="Y29" i="4" s="1"/>
  <c r="I7" i="4"/>
  <c r="W30" i="4" s="1"/>
  <c r="X30" i="4" s="1"/>
  <c r="Y30" i="4" s="1"/>
  <c r="I8" i="4"/>
  <c r="W31" i="4" s="1"/>
  <c r="X31" i="4" s="1"/>
  <c r="Y31" i="4" s="1"/>
  <c r="I9" i="4"/>
  <c r="W32" i="4" s="1"/>
  <c r="X32" i="4" s="1"/>
  <c r="Y32" i="4" s="1"/>
  <c r="I10" i="4"/>
  <c r="W33" i="4" s="1"/>
  <c r="X33" i="4" s="1"/>
  <c r="Y33" i="4" s="1"/>
  <c r="I11" i="4"/>
  <c r="W34" i="4" s="1"/>
  <c r="X34" i="4" s="1"/>
  <c r="Y34" i="4" s="1"/>
  <c r="I12" i="4"/>
  <c r="W35" i="4" s="1"/>
  <c r="X35" i="4" s="1"/>
  <c r="Y35" i="4" s="1"/>
  <c r="I13" i="4"/>
  <c r="W36" i="4" s="1"/>
  <c r="X36" i="4" s="1"/>
  <c r="Y36" i="4" s="1"/>
  <c r="I14" i="4"/>
  <c r="W37" i="4" s="1"/>
  <c r="X37" i="4" s="1"/>
  <c r="Y37" i="4" s="1"/>
  <c r="I15" i="4"/>
  <c r="W38" i="4" s="1"/>
  <c r="X38" i="4" s="1"/>
  <c r="Y38" i="4" s="1"/>
  <c r="I16" i="4"/>
  <c r="W39" i="4" s="1"/>
  <c r="X39" i="4" s="1"/>
  <c r="Y39" i="4" s="1"/>
  <c r="I17" i="4"/>
  <c r="W40" i="4" s="1"/>
  <c r="X40" i="4" s="1"/>
  <c r="Y40" i="4" s="1"/>
  <c r="I18" i="4"/>
  <c r="I19" i="4"/>
  <c r="I20" i="4"/>
  <c r="I21" i="4"/>
  <c r="I22" i="4"/>
  <c r="W26" i="4"/>
  <c r="X26" i="4" s="1"/>
  <c r="E11" i="1"/>
  <c r="G13" i="1"/>
  <c r="F13" i="1"/>
  <c r="G12" i="1"/>
  <c r="F12" i="1"/>
  <c r="M19" i="1"/>
  <c r="E3" i="2"/>
  <c r="B18" i="3"/>
  <c r="B19" i="3"/>
  <c r="I24" i="2"/>
  <c r="J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B37" i="3"/>
  <c r="B38" i="3"/>
  <c r="C38" i="3"/>
  <c r="C37" i="3"/>
  <c r="F35" i="3"/>
  <c r="N37" i="4"/>
  <c r="O37" i="4" s="1"/>
  <c r="E37" i="4"/>
  <c r="G37" i="4" s="1"/>
  <c r="N36" i="4"/>
  <c r="O36" i="4" s="1"/>
  <c r="E36" i="4"/>
  <c r="N29" i="4"/>
  <c r="O29" i="4" s="1"/>
  <c r="E29" i="4"/>
  <c r="G29" i="4" s="1"/>
  <c r="N28" i="4"/>
  <c r="O28" i="4" s="1"/>
  <c r="E28" i="4"/>
  <c r="F28" i="4" s="1"/>
  <c r="J22" i="5"/>
  <c r="J35" i="5" s="1"/>
  <c r="I34" i="5"/>
  <c r="F31" i="5"/>
  <c r="G31" i="5"/>
  <c r="F30" i="5"/>
  <c r="G30" i="5"/>
  <c r="F29" i="5"/>
  <c r="G29" i="5"/>
  <c r="F28" i="5"/>
  <c r="G28" i="5"/>
  <c r="F27" i="5"/>
  <c r="G27" i="5"/>
  <c r="F26" i="5"/>
  <c r="G26" i="5"/>
  <c r="F25" i="5"/>
  <c r="G25" i="5"/>
  <c r="F24" i="5"/>
  <c r="G24" i="5"/>
  <c r="F23" i="5"/>
  <c r="G23" i="5"/>
  <c r="D34" i="5"/>
  <c r="E22" i="5"/>
  <c r="O22" i="5"/>
  <c r="O35" i="5" s="1"/>
  <c r="N34" i="5"/>
  <c r="S22" i="5"/>
  <c r="O63" i="5"/>
  <c r="R63" i="5"/>
  <c r="S63" i="5" s="1"/>
  <c r="D63" i="5"/>
  <c r="I63" i="5"/>
  <c r="D72" i="5"/>
  <c r="E72" i="5" s="1"/>
  <c r="N71" i="5"/>
  <c r="O71" i="5" s="1"/>
  <c r="D71" i="5"/>
  <c r="D70" i="5"/>
  <c r="D69" i="5"/>
  <c r="D68" i="5"/>
  <c r="D67" i="5"/>
  <c r="E67" i="5" s="1"/>
  <c r="D66" i="5"/>
  <c r="E66" i="5" s="1"/>
  <c r="D65" i="5"/>
  <c r="E65" i="5" s="1"/>
  <c r="D64" i="5"/>
  <c r="E64" i="5" s="1"/>
  <c r="E70" i="5"/>
  <c r="E71" i="5"/>
  <c r="W63" i="5"/>
  <c r="X63" i="5" s="1"/>
  <c r="R64" i="5"/>
  <c r="S64" i="5" s="1"/>
  <c r="R65" i="5"/>
  <c r="S65" i="5" s="1"/>
  <c r="T65" i="5" s="1"/>
  <c r="V65" i="5" s="1"/>
  <c r="E68" i="5"/>
  <c r="F68" i="5" s="1"/>
  <c r="I69" i="5"/>
  <c r="J69" i="5" s="1"/>
  <c r="N69" i="5"/>
  <c r="O69" i="5" s="1"/>
  <c r="N67" i="5"/>
  <c r="I71" i="5"/>
  <c r="J71" i="5" s="1"/>
  <c r="K71" i="5" s="1"/>
  <c r="I67" i="5"/>
  <c r="J67" i="5" s="1"/>
  <c r="L67" i="5" s="1"/>
  <c r="E69" i="5"/>
  <c r="G65" i="5"/>
  <c r="F65" i="5"/>
  <c r="Q66" i="5"/>
  <c r="P66" i="5"/>
  <c r="G64" i="5"/>
  <c r="F64" i="5"/>
  <c r="K65" i="5"/>
  <c r="L65" i="5"/>
  <c r="G69" i="5"/>
  <c r="F69" i="5"/>
  <c r="Q71" i="5"/>
  <c r="P71" i="5"/>
  <c r="Q69" i="5"/>
  <c r="P69" i="5"/>
  <c r="Q70" i="5"/>
  <c r="P70" i="5"/>
  <c r="L69" i="5"/>
  <c r="K69" i="5"/>
  <c r="Q64" i="5"/>
  <c r="P64" i="5"/>
  <c r="L68" i="5"/>
  <c r="K68" i="5"/>
  <c r="Q63" i="5"/>
  <c r="P63" i="5"/>
  <c r="F67" i="5"/>
  <c r="G67" i="5"/>
  <c r="P68" i="5"/>
  <c r="Q68" i="5"/>
  <c r="G72" i="5"/>
  <c r="F72" i="5"/>
  <c r="G68" i="5"/>
  <c r="G66" i="5"/>
  <c r="F66" i="5"/>
  <c r="K67" i="5"/>
  <c r="G71" i="5"/>
  <c r="F71" i="5"/>
  <c r="L72" i="5"/>
  <c r="K72" i="5"/>
  <c r="L64" i="5"/>
  <c r="K64" i="5"/>
  <c r="P65" i="5"/>
  <c r="Q65" i="5"/>
  <c r="L66" i="5"/>
  <c r="K66" i="5"/>
  <c r="F70" i="5"/>
  <c r="G70" i="5"/>
  <c r="L71" i="5"/>
  <c r="Q72" i="5"/>
  <c r="P72" i="5"/>
  <c r="L70" i="5"/>
  <c r="W26" i="5"/>
  <c r="X26" i="5" s="1"/>
  <c r="Y26" i="5" s="1"/>
  <c r="AA26" i="5" s="1"/>
  <c r="W25" i="5"/>
  <c r="X25" i="5" s="1"/>
  <c r="Y25" i="5" s="1"/>
  <c r="Z25" i="5" s="1"/>
  <c r="W24" i="5"/>
  <c r="X24" i="5" s="1"/>
  <c r="Y24" i="5" s="1"/>
  <c r="AA24" i="5" s="1"/>
  <c r="W23" i="5"/>
  <c r="X23" i="5" s="1"/>
  <c r="Y23" i="5" s="1"/>
  <c r="AA23" i="5" s="1"/>
  <c r="H26" i="4"/>
  <c r="Q25" i="5"/>
  <c r="P25" i="5"/>
  <c r="Q26" i="5"/>
  <c r="P26" i="5"/>
  <c r="Q27" i="5"/>
  <c r="P27" i="5"/>
  <c r="Q28" i="5"/>
  <c r="P28" i="5"/>
  <c r="Q29" i="5"/>
  <c r="P29" i="5"/>
  <c r="Q22" i="5"/>
  <c r="P22" i="5"/>
  <c r="Q30" i="5"/>
  <c r="P30" i="5"/>
  <c r="Q24" i="5"/>
  <c r="P24" i="5"/>
  <c r="Q23" i="5"/>
  <c r="P23" i="5"/>
  <c r="Q31" i="5"/>
  <c r="P31" i="5"/>
  <c r="L24" i="5"/>
  <c r="K24" i="5"/>
  <c r="L25" i="5"/>
  <c r="K25" i="5"/>
  <c r="L26" i="5"/>
  <c r="K26" i="5"/>
  <c r="L29" i="5"/>
  <c r="K29" i="5"/>
  <c r="L28" i="5"/>
  <c r="K28" i="5"/>
  <c r="K22" i="5"/>
  <c r="L22" i="5"/>
  <c r="L30" i="5"/>
  <c r="K30" i="5"/>
  <c r="L27" i="5"/>
  <c r="K27" i="5"/>
  <c r="L23" i="5"/>
  <c r="K23" i="5"/>
  <c r="L31" i="5"/>
  <c r="K31" i="5"/>
  <c r="R28" i="4"/>
  <c r="S28" i="4" s="1"/>
  <c r="T28" i="4" s="1"/>
  <c r="R36" i="4"/>
  <c r="S36" i="4" s="1"/>
  <c r="T36" i="4" s="1"/>
  <c r="R38" i="4"/>
  <c r="S38" i="4" s="1"/>
  <c r="T38" i="4" s="1"/>
  <c r="V38" i="4" s="1"/>
  <c r="R33" i="4"/>
  <c r="S33" i="4" s="1"/>
  <c r="T33" i="4" s="1"/>
  <c r="U33" i="4" s="1"/>
  <c r="R29" i="4"/>
  <c r="S29" i="4" s="1"/>
  <c r="T29" i="4" s="1"/>
  <c r="U29" i="4" s="1"/>
  <c r="R37" i="4"/>
  <c r="S37" i="4" s="1"/>
  <c r="T37" i="4" s="1"/>
  <c r="V37" i="4" s="1"/>
  <c r="R30" i="4"/>
  <c r="S30" i="4" s="1"/>
  <c r="T30" i="4" s="1"/>
  <c r="R26" i="4"/>
  <c r="S26" i="4" s="1"/>
  <c r="R27" i="4"/>
  <c r="S27" i="4" s="1"/>
  <c r="T27" i="4" s="1"/>
  <c r="V27" i="4" s="1"/>
  <c r="R31" i="4"/>
  <c r="S31" i="4" s="1"/>
  <c r="T31" i="4" s="1"/>
  <c r="V31" i="4" s="1"/>
  <c r="R39" i="4"/>
  <c r="S39" i="4" s="1"/>
  <c r="T39" i="4" s="1"/>
  <c r="U39" i="4" s="1"/>
  <c r="R32" i="4"/>
  <c r="S32" i="4" s="1"/>
  <c r="T32" i="4" s="1"/>
  <c r="V32" i="4" s="1"/>
  <c r="R40" i="4"/>
  <c r="S40" i="4" s="1"/>
  <c r="T40" i="4" s="1"/>
  <c r="R34" i="4"/>
  <c r="S34" i="4" s="1"/>
  <c r="T34" i="4" s="1"/>
  <c r="R35" i="4"/>
  <c r="S35" i="4" s="1"/>
  <c r="T35" i="4" s="1"/>
  <c r="V35" i="4" s="1"/>
  <c r="N34" i="4"/>
  <c r="O34" i="4" s="1"/>
  <c r="E34" i="4"/>
  <c r="F34" i="4" s="1"/>
  <c r="F30" i="4"/>
  <c r="G30" i="4"/>
  <c r="D43" i="4"/>
  <c r="N27" i="4"/>
  <c r="O27" i="4" s="1"/>
  <c r="T26" i="4"/>
  <c r="V26" i="4" s="1"/>
  <c r="V34" i="4"/>
  <c r="U34" i="4"/>
  <c r="V28" i="4"/>
  <c r="U28" i="4"/>
  <c r="V30" i="4"/>
  <c r="U30" i="4"/>
  <c r="V36" i="4"/>
  <c r="U36" i="4"/>
  <c r="V40" i="4"/>
  <c r="U40" i="4"/>
  <c r="H34" i="4"/>
  <c r="I34" i="4" s="1"/>
  <c r="J34" i="4" s="1"/>
  <c r="H33" i="4"/>
  <c r="I33" i="4" s="1"/>
  <c r="J33" i="4" s="1"/>
  <c r="L33" i="4" s="1"/>
  <c r="H39" i="4"/>
  <c r="I39" i="4" s="1"/>
  <c r="J39" i="4" s="1"/>
  <c r="L39" i="4" s="1"/>
  <c r="H29" i="4"/>
  <c r="I29" i="4" s="1"/>
  <c r="J29" i="4" s="1"/>
  <c r="K29" i="4" s="1"/>
  <c r="I26" i="4"/>
  <c r="J26" i="4" s="1"/>
  <c r="L26" i="4" s="1"/>
  <c r="H32" i="4"/>
  <c r="I32" i="4" s="1"/>
  <c r="J32" i="4" s="1"/>
  <c r="L32" i="4" s="1"/>
  <c r="H31" i="4"/>
  <c r="I31" i="4" s="1"/>
  <c r="J31" i="4" s="1"/>
  <c r="H38" i="4"/>
  <c r="I38" i="4" s="1"/>
  <c r="J38" i="4" s="1"/>
  <c r="L38" i="4" s="1"/>
  <c r="H37" i="4"/>
  <c r="I37" i="4" s="1"/>
  <c r="J37" i="4" s="1"/>
  <c r="K37" i="4" s="1"/>
  <c r="H36" i="4"/>
  <c r="I36" i="4" s="1"/>
  <c r="J36" i="4" s="1"/>
  <c r="L36" i="4" s="1"/>
  <c r="H28" i="4"/>
  <c r="I28" i="4" s="1"/>
  <c r="J28" i="4" s="1"/>
  <c r="L28" i="4" s="1"/>
  <c r="H40" i="4"/>
  <c r="I40" i="4" s="1"/>
  <c r="J40" i="4" s="1"/>
  <c r="L40" i="4" s="1"/>
  <c r="H30" i="4"/>
  <c r="I30" i="4" s="1"/>
  <c r="J30" i="4" s="1"/>
  <c r="L30" i="4" s="1"/>
  <c r="H35" i="4"/>
  <c r="I35" i="4" s="1"/>
  <c r="J35" i="4" s="1"/>
  <c r="H27" i="4"/>
  <c r="I27" i="4" s="1"/>
  <c r="J27" i="4" s="1"/>
  <c r="L27" i="4" s="1"/>
  <c r="P30" i="4"/>
  <c r="Q30" i="4"/>
  <c r="Q40" i="4"/>
  <c r="P40" i="4"/>
  <c r="P32" i="4"/>
  <c r="Q32" i="4"/>
  <c r="P36" i="4"/>
  <c r="Q36" i="4"/>
  <c r="P34" i="4"/>
  <c r="Q34" i="4"/>
  <c r="P38" i="4"/>
  <c r="Q38" i="4"/>
  <c r="E40" i="4"/>
  <c r="F40" i="4" s="1"/>
  <c r="F37" i="4"/>
  <c r="F29" i="4"/>
  <c r="N39" i="4"/>
  <c r="O39" i="4" s="1"/>
  <c r="P39" i="4" s="1"/>
  <c r="E26" i="4"/>
  <c r="N33" i="4"/>
  <c r="O33" i="4" s="1"/>
  <c r="Q33" i="4" s="1"/>
  <c r="N26" i="4"/>
  <c r="N35" i="4"/>
  <c r="O35" i="4" s="1"/>
  <c r="P31" i="4"/>
  <c r="Q31" i="4"/>
  <c r="P33" i="4"/>
  <c r="P29" i="4"/>
  <c r="Q29" i="4"/>
  <c r="P37" i="4"/>
  <c r="Q37" i="4"/>
  <c r="P35" i="4"/>
  <c r="Q35" i="4"/>
  <c r="P28" i="4"/>
  <c r="Q28" i="4"/>
  <c r="P27" i="4"/>
  <c r="Q27" i="4"/>
  <c r="F33" i="4"/>
  <c r="G33" i="4"/>
  <c r="F39" i="4"/>
  <c r="G39" i="4"/>
  <c r="F31" i="4"/>
  <c r="G31" i="4"/>
  <c r="F38" i="4"/>
  <c r="G38" i="4"/>
  <c r="G28" i="4"/>
  <c r="G34" i="4"/>
  <c r="G27" i="4"/>
  <c r="G35" i="4"/>
  <c r="G32" i="4"/>
  <c r="G16" i="2"/>
  <c r="H16" i="2"/>
  <c r="H8" i="2"/>
  <c r="G8" i="2"/>
  <c r="H15" i="2"/>
  <c r="G15" i="2"/>
  <c r="H22" i="2"/>
  <c r="G22" i="2"/>
  <c r="H13" i="2"/>
  <c r="G13" i="2"/>
  <c r="G11" i="2"/>
  <c r="H11" i="2"/>
  <c r="G7" i="2"/>
  <c r="H7" i="2"/>
  <c r="H14" i="2"/>
  <c r="G14" i="2"/>
  <c r="G21" i="2"/>
  <c r="H21" i="2"/>
  <c r="H10" i="2"/>
  <c r="G10" i="2"/>
  <c r="G4" i="2"/>
  <c r="H4" i="2"/>
  <c r="H6" i="2"/>
  <c r="G6" i="2"/>
  <c r="G5" i="2"/>
  <c r="H5" i="2"/>
  <c r="H19" i="2"/>
  <c r="G19" i="2"/>
  <c r="G18" i="2"/>
  <c r="H18" i="2"/>
  <c r="H20" i="2"/>
  <c r="H12" i="2"/>
  <c r="H17" i="2"/>
  <c r="H9" i="2"/>
  <c r="G11" i="1"/>
  <c r="L18" i="1"/>
  <c r="G14" i="1"/>
  <c r="F11" i="1"/>
  <c r="F15" i="1"/>
  <c r="N16" i="1"/>
  <c r="O16" i="1"/>
  <c r="F16" i="1"/>
  <c r="G16" i="1"/>
  <c r="O13" i="1"/>
  <c r="N13" i="1"/>
  <c r="O12" i="1"/>
  <c r="N12" i="1"/>
  <c r="O14" i="1"/>
  <c r="N14" i="1"/>
  <c r="O11" i="1"/>
  <c r="N11" i="1"/>
  <c r="O15" i="1"/>
  <c r="N15" i="1"/>
  <c r="D33" i="6" l="1"/>
  <c r="U26" i="4"/>
  <c r="AF38" i="4"/>
  <c r="AE28" i="4"/>
  <c r="AE36" i="4"/>
  <c r="AF27" i="4"/>
  <c r="AF31" i="4"/>
  <c r="AF35" i="4"/>
  <c r="AF39" i="4"/>
  <c r="AC43" i="4"/>
  <c r="AF30" i="4"/>
  <c r="H10" i="7"/>
  <c r="I10" i="7" s="1"/>
  <c r="G11" i="7"/>
  <c r="H11" i="7" s="1"/>
  <c r="E11" i="7"/>
  <c r="D12" i="7" s="1"/>
  <c r="E73" i="3"/>
  <c r="D52" i="7"/>
  <c r="E52" i="7" s="1"/>
  <c r="F52" i="7" s="1"/>
  <c r="H51" i="7"/>
  <c r="K22" i="7"/>
  <c r="F22" i="7"/>
  <c r="G22" i="7"/>
  <c r="E63" i="7"/>
  <c r="J64" i="7"/>
  <c r="C64" i="7"/>
  <c r="D64" i="7" s="1"/>
  <c r="E64" i="7" s="1"/>
  <c r="I23" i="7"/>
  <c r="C23" i="7"/>
  <c r="D23" i="7" s="1"/>
  <c r="J63" i="7"/>
  <c r="Z23" i="5"/>
  <c r="Z26" i="5"/>
  <c r="T64" i="5"/>
  <c r="U64" i="5" s="1"/>
  <c r="Y26" i="4"/>
  <c r="X43" i="4"/>
  <c r="Z40" i="4"/>
  <c r="AA40" i="4"/>
  <c r="Z39" i="4"/>
  <c r="AA39" i="4"/>
  <c r="Z38" i="4"/>
  <c r="AA38" i="4"/>
  <c r="Z37" i="4"/>
  <c r="AA37" i="4"/>
  <c r="Z36" i="4"/>
  <c r="AA36" i="4"/>
  <c r="Z35" i="4"/>
  <c r="AA35" i="4"/>
  <c r="Z34" i="4"/>
  <c r="AA34" i="4"/>
  <c r="Z33" i="4"/>
  <c r="AA33" i="4"/>
  <c r="Z32" i="4"/>
  <c r="AA32" i="4"/>
  <c r="Z31" i="4"/>
  <c r="AA31" i="4"/>
  <c r="Z30" i="4"/>
  <c r="AA30" i="4"/>
  <c r="Z29" i="4"/>
  <c r="AA29" i="4"/>
  <c r="Z28" i="4"/>
  <c r="AA28" i="4"/>
  <c r="Z27" i="4"/>
  <c r="AA27" i="4"/>
  <c r="AE26" i="4"/>
  <c r="AE45" i="4" s="1"/>
  <c r="AF26" i="4"/>
  <c r="O21" i="1"/>
  <c r="O22" i="1" s="1"/>
  <c r="N43" i="4"/>
  <c r="K35" i="4"/>
  <c r="K31" i="4"/>
  <c r="K34" i="4"/>
  <c r="L37" i="5"/>
  <c r="L38" i="5" s="1"/>
  <c r="K36" i="5"/>
  <c r="P36" i="5"/>
  <c r="Q37" i="5"/>
  <c r="Q38" i="5" s="1"/>
  <c r="O67" i="5"/>
  <c r="N75" i="5"/>
  <c r="Y63" i="5"/>
  <c r="I75" i="5"/>
  <c r="J63" i="5"/>
  <c r="D75" i="5"/>
  <c r="E63" i="5"/>
  <c r="T63" i="5"/>
  <c r="R66" i="5"/>
  <c r="S66" i="5" s="1"/>
  <c r="O76" i="5"/>
  <c r="T22" i="5"/>
  <c r="S23" i="5"/>
  <c r="F36" i="5"/>
  <c r="G37" i="5"/>
  <c r="G38" i="5" s="1"/>
  <c r="G36" i="4"/>
  <c r="F36" i="4"/>
  <c r="J25" i="2"/>
  <c r="L3" i="2"/>
  <c r="L27" i="2" s="1"/>
  <c r="L28" i="2" s="1"/>
  <c r="K3" i="2"/>
  <c r="K26" i="2" s="1"/>
  <c r="E24" i="2"/>
  <c r="F3" i="2"/>
  <c r="W64" i="5"/>
  <c r="X64" i="5" s="1"/>
  <c r="V64" i="5"/>
  <c r="U65" i="5"/>
  <c r="AA25" i="5"/>
  <c r="Z24" i="5"/>
  <c r="W27" i="5"/>
  <c r="X27" i="5" s="1"/>
  <c r="Y27" i="5" s="1"/>
  <c r="Y22" i="5"/>
  <c r="U32" i="4"/>
  <c r="U31" i="4"/>
  <c r="U35" i="4"/>
  <c r="V29" i="4"/>
  <c r="V39" i="4"/>
  <c r="U37" i="4"/>
  <c r="S43" i="4"/>
  <c r="U27" i="4"/>
  <c r="V33" i="4"/>
  <c r="T44" i="4"/>
  <c r="U38" i="4"/>
  <c r="K39" i="4"/>
  <c r="L34" i="4"/>
  <c r="L37" i="4"/>
  <c r="K28" i="4"/>
  <c r="K36" i="4"/>
  <c r="L35" i="4"/>
  <c r="K26" i="4"/>
  <c r="L31" i="4"/>
  <c r="K30" i="4"/>
  <c r="K33" i="4"/>
  <c r="K32" i="4"/>
  <c r="K38" i="4"/>
  <c r="K27" i="4"/>
  <c r="I43" i="4"/>
  <c r="L29" i="4"/>
  <c r="J44" i="4"/>
  <c r="Q39" i="4"/>
  <c r="G40" i="4"/>
  <c r="K40" i="4" s="1"/>
  <c r="O26" i="4"/>
  <c r="O44" i="4" s="1"/>
  <c r="F26" i="4"/>
  <c r="F45" i="4" s="1"/>
  <c r="E44" i="4"/>
  <c r="G26" i="4"/>
  <c r="F20" i="1"/>
  <c r="N20" i="1"/>
  <c r="G21" i="1"/>
  <c r="G22" i="1" s="1"/>
  <c r="G33" i="6" l="1"/>
  <c r="H33" i="6" s="1"/>
  <c r="C34" i="6"/>
  <c r="AF46" i="4"/>
  <c r="AF47" i="4" s="1"/>
  <c r="G12" i="7"/>
  <c r="H12" i="7" s="1"/>
  <c r="I11" i="7"/>
  <c r="E74" i="3"/>
  <c r="F74" i="3"/>
  <c r="F73" i="3"/>
  <c r="F11" i="7"/>
  <c r="I51" i="7"/>
  <c r="G52" i="7"/>
  <c r="H52" i="7" s="1"/>
  <c r="I52" i="7" s="1"/>
  <c r="D53" i="7"/>
  <c r="E12" i="7"/>
  <c r="D13" i="7" s="1"/>
  <c r="L64" i="7"/>
  <c r="K64" i="7"/>
  <c r="C24" i="7"/>
  <c r="D24" i="7" s="1"/>
  <c r="E24" i="7" s="1"/>
  <c r="E23" i="7"/>
  <c r="C65" i="7"/>
  <c r="D65" i="7" s="1"/>
  <c r="I24" i="7"/>
  <c r="J24" i="7" s="1"/>
  <c r="F64" i="7"/>
  <c r="G64" i="7"/>
  <c r="K63" i="7"/>
  <c r="L63" i="7"/>
  <c r="J23" i="7"/>
  <c r="F63" i="7"/>
  <c r="G63" i="7"/>
  <c r="F5" i="6"/>
  <c r="Z26" i="4"/>
  <c r="Z45" i="4" s="1"/>
  <c r="AA26" i="4"/>
  <c r="AA46" i="4" s="1"/>
  <c r="AA47" i="4" s="1"/>
  <c r="Y44" i="4"/>
  <c r="U45" i="4"/>
  <c r="Y64" i="5"/>
  <c r="AA64" i="5" s="1"/>
  <c r="F25" i="2"/>
  <c r="H3" i="2"/>
  <c r="H27" i="2" s="1"/>
  <c r="H28" i="2" s="1"/>
  <c r="G3" i="2"/>
  <c r="G26" i="2" s="1"/>
  <c r="T23" i="5"/>
  <c r="S24" i="5"/>
  <c r="U22" i="5"/>
  <c r="V22" i="5"/>
  <c r="T66" i="5"/>
  <c r="R67" i="5"/>
  <c r="S67" i="5" s="1"/>
  <c r="U63" i="5"/>
  <c r="V63" i="5"/>
  <c r="E76" i="5"/>
  <c r="G63" i="5"/>
  <c r="G78" i="5" s="1"/>
  <c r="G79" i="5" s="1"/>
  <c r="F77" i="5"/>
  <c r="J76" i="5"/>
  <c r="L63" i="5"/>
  <c r="L78" i="5" s="1"/>
  <c r="L79" i="5" s="1"/>
  <c r="K63" i="5"/>
  <c r="K77" i="5" s="1"/>
  <c r="AA63" i="5"/>
  <c r="Z63" i="5"/>
  <c r="Q67" i="5"/>
  <c r="Q78" i="5" s="1"/>
  <c r="Q79" i="5" s="1"/>
  <c r="P67" i="5"/>
  <c r="P77" i="5" s="1"/>
  <c r="W65" i="5"/>
  <c r="X65" i="5" s="1"/>
  <c r="W28" i="5"/>
  <c r="X28" i="5" s="1"/>
  <c r="Z27" i="5"/>
  <c r="AA27" i="5"/>
  <c r="AA22" i="5"/>
  <c r="Z22" i="5"/>
  <c r="V46" i="4"/>
  <c r="V47" i="4" s="1"/>
  <c r="G46" i="4"/>
  <c r="G47" i="4" s="1"/>
  <c r="K45" i="4"/>
  <c r="L46" i="4"/>
  <c r="L47" i="4" s="1"/>
  <c r="Q26" i="4"/>
  <c r="Q46" i="4" s="1"/>
  <c r="Q47" i="4" s="1"/>
  <c r="P26" i="4"/>
  <c r="P45" i="4" s="1"/>
  <c r="D34" i="6" l="1"/>
  <c r="C35" i="6" s="1"/>
  <c r="E34" i="6"/>
  <c r="F34" i="6"/>
  <c r="G34" i="6" s="1"/>
  <c r="H34" i="6" s="1"/>
  <c r="G13" i="7"/>
  <c r="H13" i="7" s="1"/>
  <c r="I12" i="7"/>
  <c r="F12" i="7"/>
  <c r="G53" i="7"/>
  <c r="J65" i="7"/>
  <c r="L65" i="7" s="1"/>
  <c r="E53" i="7"/>
  <c r="F53" i="7" s="1"/>
  <c r="C66" i="7" s="1"/>
  <c r="D66" i="7" s="1"/>
  <c r="E66" i="7" s="1"/>
  <c r="D54" i="7"/>
  <c r="E13" i="7"/>
  <c r="D14" i="7" s="1"/>
  <c r="E6" i="6"/>
  <c r="G6" i="6" s="1"/>
  <c r="H5" i="6"/>
  <c r="I25" i="7"/>
  <c r="J25" i="7" s="1"/>
  <c r="C25" i="7"/>
  <c r="D25" i="7" s="1"/>
  <c r="E65" i="7"/>
  <c r="G23" i="7"/>
  <c r="F23" i="7"/>
  <c r="K24" i="7"/>
  <c r="L24" i="7"/>
  <c r="F24" i="7"/>
  <c r="G24" i="7"/>
  <c r="K23" i="7"/>
  <c r="L23" i="7"/>
  <c r="Z64" i="5"/>
  <c r="Y65" i="5"/>
  <c r="AA65" i="5" s="1"/>
  <c r="T67" i="5"/>
  <c r="R68" i="5"/>
  <c r="S68" i="5" s="1"/>
  <c r="U66" i="5"/>
  <c r="V66" i="5"/>
  <c r="T24" i="5"/>
  <c r="S25" i="5"/>
  <c r="V23" i="5"/>
  <c r="U23" i="5"/>
  <c r="W66" i="5"/>
  <c r="X66" i="5" s="1"/>
  <c r="Y28" i="5"/>
  <c r="W29" i="5"/>
  <c r="X29" i="5" s="1"/>
  <c r="Y29" i="5" s="1"/>
  <c r="D35" i="6" l="1"/>
  <c r="C36" i="6" s="1"/>
  <c r="E35" i="6"/>
  <c r="F35" i="6"/>
  <c r="G35" i="6" s="1"/>
  <c r="H35" i="6" s="1"/>
  <c r="K65" i="7"/>
  <c r="G14" i="7"/>
  <c r="H14" i="7" s="1"/>
  <c r="I13" i="7"/>
  <c r="F6" i="6"/>
  <c r="H6" i="6" s="1"/>
  <c r="E7" i="6"/>
  <c r="F7" i="6" s="1"/>
  <c r="F13" i="7"/>
  <c r="H53" i="7"/>
  <c r="I53" i="7" s="1"/>
  <c r="E54" i="7"/>
  <c r="F54" i="7" s="1"/>
  <c r="C67" i="7" s="1"/>
  <c r="D67" i="7" s="1"/>
  <c r="E67" i="7" s="1"/>
  <c r="J66" i="7"/>
  <c r="L66" i="7" s="1"/>
  <c r="E14" i="7"/>
  <c r="D15" i="7" s="1"/>
  <c r="Z65" i="5"/>
  <c r="E25" i="7"/>
  <c r="F66" i="7"/>
  <c r="G66" i="7"/>
  <c r="K25" i="7"/>
  <c r="L25" i="7"/>
  <c r="F65" i="7"/>
  <c r="G65" i="7"/>
  <c r="C26" i="7"/>
  <c r="D26" i="7" s="1"/>
  <c r="E26" i="7" s="1"/>
  <c r="I26" i="7"/>
  <c r="J26" i="7" s="1"/>
  <c r="Y66" i="5"/>
  <c r="AA66" i="5" s="1"/>
  <c r="T25" i="5"/>
  <c r="S26" i="5"/>
  <c r="V24" i="5"/>
  <c r="U24" i="5"/>
  <c r="T68" i="5"/>
  <c r="R69" i="5"/>
  <c r="S69" i="5" s="1"/>
  <c r="U67" i="5"/>
  <c r="V67" i="5"/>
  <c r="W67" i="5"/>
  <c r="X67" i="5" s="1"/>
  <c r="AA29" i="5"/>
  <c r="Z29" i="5"/>
  <c r="Z28" i="5"/>
  <c r="AA28" i="5"/>
  <c r="W31" i="5"/>
  <c r="X31" i="5" s="1"/>
  <c r="W30" i="5"/>
  <c r="X30" i="5" s="1"/>
  <c r="Y30" i="5" s="1"/>
  <c r="D36" i="6" l="1"/>
  <c r="C37" i="6" s="1"/>
  <c r="E36" i="6"/>
  <c r="F36" i="6"/>
  <c r="G36" i="6" s="1"/>
  <c r="H36" i="6" s="1"/>
  <c r="G7" i="6"/>
  <c r="G15" i="7"/>
  <c r="H15" i="7" s="1"/>
  <c r="I14" i="7"/>
  <c r="F14" i="7"/>
  <c r="G54" i="7"/>
  <c r="D55" i="7"/>
  <c r="K66" i="7"/>
  <c r="E15" i="7"/>
  <c r="D16" i="7" s="1"/>
  <c r="Z66" i="5"/>
  <c r="Y31" i="5"/>
  <c r="X34" i="5"/>
  <c r="Y35" i="5"/>
  <c r="F67" i="7"/>
  <c r="G67" i="7"/>
  <c r="F26" i="7"/>
  <c r="G26" i="7"/>
  <c r="F25" i="7"/>
  <c r="G25" i="7"/>
  <c r="I27" i="7"/>
  <c r="L26" i="7"/>
  <c r="K26" i="7"/>
  <c r="C27" i="7"/>
  <c r="D27" i="7" s="1"/>
  <c r="E27" i="7" s="1"/>
  <c r="H7" i="6"/>
  <c r="Y67" i="5"/>
  <c r="AA67" i="5" s="1"/>
  <c r="T69" i="5"/>
  <c r="R70" i="5"/>
  <c r="S70" i="5" s="1"/>
  <c r="V68" i="5"/>
  <c r="U68" i="5"/>
  <c r="T26" i="5"/>
  <c r="S27" i="5"/>
  <c r="V25" i="5"/>
  <c r="U25" i="5"/>
  <c r="W68" i="5"/>
  <c r="X68" i="5" s="1"/>
  <c r="AA30" i="5"/>
  <c r="Z30" i="5"/>
  <c r="AA31" i="5"/>
  <c r="Z31" i="5"/>
  <c r="Z36" i="5" s="1"/>
  <c r="D37" i="6" l="1"/>
  <c r="C38" i="6" s="1"/>
  <c r="F37" i="6"/>
  <c r="G37" i="6" s="1"/>
  <c r="H37" i="6" s="1"/>
  <c r="E37" i="6"/>
  <c r="G16" i="7"/>
  <c r="H16" i="7" s="1"/>
  <c r="I15" i="7"/>
  <c r="F15" i="7"/>
  <c r="H54" i="7"/>
  <c r="I54" i="7" s="1"/>
  <c r="J67" i="7"/>
  <c r="E55" i="7"/>
  <c r="F55" i="7" s="1"/>
  <c r="C68" i="7" s="1"/>
  <c r="D68" i="7" s="1"/>
  <c r="E68" i="7" s="1"/>
  <c r="F68" i="7" s="1"/>
  <c r="E16" i="7"/>
  <c r="D17" i="7" s="1"/>
  <c r="Z67" i="5"/>
  <c r="C28" i="7"/>
  <c r="D28" i="7" s="1"/>
  <c r="G27" i="7"/>
  <c r="F27" i="7"/>
  <c r="J27" i="7"/>
  <c r="I28" i="7"/>
  <c r="J28" i="7" s="1"/>
  <c r="AA37" i="5"/>
  <c r="AA38" i="5" s="1"/>
  <c r="E8" i="6"/>
  <c r="G8" i="6" s="1"/>
  <c r="Y68" i="5"/>
  <c r="Z68" i="5" s="1"/>
  <c r="T27" i="5"/>
  <c r="S28" i="5"/>
  <c r="V26" i="5"/>
  <c r="U26" i="5"/>
  <c r="T70" i="5"/>
  <c r="R72" i="5"/>
  <c r="S72" i="5" s="1"/>
  <c r="T72" i="5" s="1"/>
  <c r="R71" i="5"/>
  <c r="S71" i="5" s="1"/>
  <c r="V69" i="5"/>
  <c r="U69" i="5"/>
  <c r="W69" i="5"/>
  <c r="X69" i="5" s="1"/>
  <c r="E38" i="6" l="1"/>
  <c r="D38" i="6"/>
  <c r="G17" i="7"/>
  <c r="H17" i="7" s="1"/>
  <c r="I16" i="7"/>
  <c r="F16" i="7"/>
  <c r="G55" i="7"/>
  <c r="H55" i="7" s="1"/>
  <c r="I55" i="7" s="1"/>
  <c r="D56" i="7"/>
  <c r="E56" i="7" s="1"/>
  <c r="F56" i="7" s="1"/>
  <c r="C69" i="7" s="1"/>
  <c r="D69" i="7" s="1"/>
  <c r="E69" i="7" s="1"/>
  <c r="L67" i="7"/>
  <c r="K67" i="7"/>
  <c r="G68" i="7"/>
  <c r="E17" i="7"/>
  <c r="D18" i="7" s="1"/>
  <c r="AA68" i="5"/>
  <c r="I29" i="7"/>
  <c r="J29" i="7" s="1"/>
  <c r="K27" i="7"/>
  <c r="L27" i="7"/>
  <c r="E28" i="7"/>
  <c r="C29" i="7"/>
  <c r="D29" i="7" s="1"/>
  <c r="E29" i="7" s="1"/>
  <c r="K28" i="7"/>
  <c r="L28" i="7"/>
  <c r="F8" i="6"/>
  <c r="S75" i="5"/>
  <c r="Y69" i="5"/>
  <c r="T71" i="5"/>
  <c r="V72" i="5"/>
  <c r="U72" i="5"/>
  <c r="V70" i="5"/>
  <c r="U70" i="5"/>
  <c r="T28" i="5"/>
  <c r="S29" i="5"/>
  <c r="V27" i="5"/>
  <c r="U27" i="5"/>
  <c r="AA69" i="5"/>
  <c r="Z69" i="5"/>
  <c r="W70" i="5"/>
  <c r="X70" i="5" s="1"/>
  <c r="C39" i="6" l="1"/>
  <c r="F38" i="6"/>
  <c r="G38" i="6" s="1"/>
  <c r="H38" i="6" s="1"/>
  <c r="I68" i="7"/>
  <c r="J68" i="7" s="1"/>
  <c r="G18" i="7"/>
  <c r="H18" i="7" s="1"/>
  <c r="I18" i="7" s="1"/>
  <c r="I17" i="7"/>
  <c r="E18" i="7"/>
  <c r="F18" i="7" s="1"/>
  <c r="F17" i="7"/>
  <c r="G56" i="7"/>
  <c r="L68" i="7"/>
  <c r="K68" i="7"/>
  <c r="D57" i="7"/>
  <c r="E9" i="6"/>
  <c r="G9" i="6" s="1"/>
  <c r="H8" i="6"/>
  <c r="F29" i="7"/>
  <c r="G29" i="7"/>
  <c r="F69" i="7"/>
  <c r="G69" i="7"/>
  <c r="C31" i="7"/>
  <c r="D31" i="7" s="1"/>
  <c r="C30" i="7"/>
  <c r="D30" i="7" s="1"/>
  <c r="E30" i="7" s="1"/>
  <c r="I30" i="7"/>
  <c r="J30" i="7" s="1"/>
  <c r="K29" i="7"/>
  <c r="L29" i="7"/>
  <c r="F28" i="7"/>
  <c r="G28" i="7"/>
  <c r="Y70" i="5"/>
  <c r="Z70" i="5" s="1"/>
  <c r="T29" i="5"/>
  <c r="S31" i="5"/>
  <c r="T31" i="5" s="1"/>
  <c r="S30" i="5"/>
  <c r="U28" i="5"/>
  <c r="V28" i="5"/>
  <c r="U71" i="5"/>
  <c r="U77" i="5" s="1"/>
  <c r="V71" i="5"/>
  <c r="V78" i="5" s="1"/>
  <c r="V79" i="5" s="1"/>
  <c r="T76" i="5"/>
  <c r="W72" i="5"/>
  <c r="X72" i="5" s="1"/>
  <c r="Y72" i="5" s="1"/>
  <c r="W71" i="5"/>
  <c r="X71" i="5" s="1"/>
  <c r="D39" i="6" l="1"/>
  <c r="F39" i="6" s="1"/>
  <c r="G39" i="6" s="1"/>
  <c r="H39" i="6" s="1"/>
  <c r="E39" i="6"/>
  <c r="C40" i="6"/>
  <c r="I31" i="7"/>
  <c r="F9" i="6"/>
  <c r="E10" i="6" s="1"/>
  <c r="G10" i="6" s="1"/>
  <c r="D34" i="7"/>
  <c r="E57" i="7"/>
  <c r="F57" i="7" s="1"/>
  <c r="C70" i="7" s="1"/>
  <c r="D70" i="7" s="1"/>
  <c r="E70" i="7" s="1"/>
  <c r="D58" i="7"/>
  <c r="H56" i="7"/>
  <c r="I56" i="7" s="1"/>
  <c r="I69" i="7"/>
  <c r="J69" i="7" s="1"/>
  <c r="AA70" i="5"/>
  <c r="L30" i="7"/>
  <c r="K30" i="7"/>
  <c r="F30" i="7"/>
  <c r="G30" i="7"/>
  <c r="J31" i="7"/>
  <c r="I34" i="7"/>
  <c r="E31" i="7"/>
  <c r="Y71" i="5"/>
  <c r="Y76" i="5" s="1"/>
  <c r="X75" i="5"/>
  <c r="T30" i="5"/>
  <c r="S34" i="5"/>
  <c r="V31" i="5"/>
  <c r="U31" i="5"/>
  <c r="V29" i="5"/>
  <c r="U29" i="5"/>
  <c r="AA71" i="5"/>
  <c r="Z71" i="5"/>
  <c r="AA72" i="5"/>
  <c r="Z72" i="5"/>
  <c r="E40" i="6" l="1"/>
  <c r="D40" i="6"/>
  <c r="C41" i="6" s="1"/>
  <c r="F40" i="6"/>
  <c r="G40" i="6" s="1"/>
  <c r="H40" i="6" s="1"/>
  <c r="H9" i="6"/>
  <c r="F10" i="6"/>
  <c r="G57" i="7"/>
  <c r="K69" i="7"/>
  <c r="L69" i="7"/>
  <c r="H57" i="7"/>
  <c r="I57" i="7" s="1"/>
  <c r="I70" i="7"/>
  <c r="E58" i="7"/>
  <c r="F58" i="7" s="1"/>
  <c r="C71" i="7" s="1"/>
  <c r="D71" i="7" s="1"/>
  <c r="F70" i="7"/>
  <c r="G70" i="7"/>
  <c r="E11" i="6"/>
  <c r="G11" i="6" s="1"/>
  <c r="H10" i="6"/>
  <c r="G31" i="7"/>
  <c r="G37" i="7" s="1"/>
  <c r="G38" i="7" s="1"/>
  <c r="F31" i="7"/>
  <c r="F36" i="7" s="1"/>
  <c r="E35" i="7"/>
  <c r="K31" i="7"/>
  <c r="K36" i="7" s="1"/>
  <c r="L31" i="7"/>
  <c r="L37" i="7" s="1"/>
  <c r="L38" i="7" s="1"/>
  <c r="J35" i="7"/>
  <c r="Z77" i="5"/>
  <c r="AA78" i="5"/>
  <c r="AA79" i="5" s="1"/>
  <c r="V30" i="5"/>
  <c r="V37" i="5" s="1"/>
  <c r="V38" i="5" s="1"/>
  <c r="U30" i="5"/>
  <c r="U36" i="5" s="1"/>
  <c r="T35" i="5"/>
  <c r="D41" i="6" l="1"/>
  <c r="C42" i="6" s="1"/>
  <c r="E41" i="6"/>
  <c r="F41" i="6"/>
  <c r="G41" i="6" s="1"/>
  <c r="H41" i="6" s="1"/>
  <c r="F11" i="6"/>
  <c r="G58" i="7"/>
  <c r="D59" i="7"/>
  <c r="E59" i="7" s="1"/>
  <c r="F59" i="7" s="1"/>
  <c r="C72" i="7" s="1"/>
  <c r="D72" i="7" s="1"/>
  <c r="J70" i="7"/>
  <c r="E71" i="7"/>
  <c r="E12" i="6"/>
  <c r="G12" i="6" s="1"/>
  <c r="H11" i="6"/>
  <c r="D42" i="6" l="1"/>
  <c r="C43" i="6" s="1"/>
  <c r="E42" i="6"/>
  <c r="F42" i="6"/>
  <c r="G42" i="6" s="1"/>
  <c r="H42" i="6" s="1"/>
  <c r="E72" i="7"/>
  <c r="D75" i="7"/>
  <c r="F12" i="6"/>
  <c r="H58" i="7"/>
  <c r="I58" i="7" s="1"/>
  <c r="I71" i="7"/>
  <c r="G71" i="7"/>
  <c r="F71" i="7"/>
  <c r="E76" i="7"/>
  <c r="L70" i="7"/>
  <c r="K70" i="7"/>
  <c r="E13" i="6"/>
  <c r="G13" i="6" s="1"/>
  <c r="H12" i="6"/>
  <c r="D43" i="6" l="1"/>
  <c r="C44" i="6" s="1"/>
  <c r="F43" i="6"/>
  <c r="G43" i="6" s="1"/>
  <c r="H43" i="6" s="1"/>
  <c r="E43" i="6"/>
  <c r="F72" i="7"/>
  <c r="F77" i="7" s="1"/>
  <c r="G72" i="7"/>
  <c r="G78" i="7" s="1"/>
  <c r="G79" i="7" s="1"/>
  <c r="F13" i="6"/>
  <c r="H13" i="6" s="1"/>
  <c r="G59" i="7"/>
  <c r="I72" i="7" s="1"/>
  <c r="J72" i="7" s="1"/>
  <c r="J71" i="7"/>
  <c r="H59" i="7"/>
  <c r="I59" i="7" s="1"/>
  <c r="E14" i="6"/>
  <c r="F14" i="6" s="1"/>
  <c r="H14" i="6" s="1"/>
  <c r="D44" i="6" l="1"/>
  <c r="C45" i="6" s="1"/>
  <c r="F44" i="6"/>
  <c r="G44" i="6" s="1"/>
  <c r="H44" i="6" s="1"/>
  <c r="E44" i="6"/>
  <c r="G14" i="6"/>
  <c r="I75" i="7"/>
  <c r="K72" i="7"/>
  <c r="L72" i="7"/>
  <c r="K71" i="7"/>
  <c r="L71" i="7"/>
  <c r="J76" i="7"/>
  <c r="D45" i="6" l="1"/>
  <c r="C46" i="6" s="1"/>
  <c r="F45" i="6"/>
  <c r="G45" i="6" s="1"/>
  <c r="H45" i="6" s="1"/>
  <c r="E45" i="6"/>
  <c r="L78" i="7"/>
  <c r="L79" i="7" s="1"/>
  <c r="K77" i="7"/>
  <c r="D46" i="6" l="1"/>
  <c r="C47" i="6" s="1"/>
  <c r="E46" i="6"/>
  <c r="F46" i="6"/>
  <c r="G46" i="6" s="1"/>
  <c r="H46" i="6" s="1"/>
  <c r="D47" i="6" l="1"/>
  <c r="C48" i="6" s="1"/>
  <c r="F47" i="6"/>
  <c r="G47" i="6" s="1"/>
  <c r="H47" i="6" s="1"/>
  <c r="E47" i="6"/>
  <c r="D48" i="6" l="1"/>
  <c r="C49" i="6" s="1"/>
  <c r="E48" i="6"/>
  <c r="F48" i="6"/>
  <c r="G48" i="6" s="1"/>
  <c r="H48" i="6" s="1"/>
  <c r="D49" i="6" l="1"/>
  <c r="C50" i="6" s="1"/>
  <c r="E49" i="6"/>
  <c r="F49" i="6"/>
  <c r="G49" i="6" s="1"/>
  <c r="H49" i="6" s="1"/>
  <c r="D50" i="6" l="1"/>
  <c r="E50" i="6"/>
  <c r="F50" i="6" l="1"/>
  <c r="G50" i="6" s="1"/>
  <c r="H50" i="6" s="1"/>
  <c r="C51" i="6"/>
  <c r="D51" i="6" l="1"/>
  <c r="F51" i="6"/>
  <c r="G51" i="6" s="1"/>
  <c r="H51" i="6" s="1"/>
  <c r="E51" i="6"/>
  <c r="C52" i="6"/>
  <c r="E52" i="6" l="1"/>
  <c r="D52" i="6"/>
  <c r="F52" i="6"/>
  <c r="G52" i="6" s="1"/>
  <c r="H52" i="6" s="1"/>
  <c r="C53" i="6"/>
  <c r="D53" i="6" l="1"/>
  <c r="F53" i="6" s="1"/>
  <c r="G53" i="6" s="1"/>
  <c r="H53" i="6" s="1"/>
  <c r="E53" i="6"/>
  <c r="C54" i="6"/>
  <c r="D54" i="6" l="1"/>
  <c r="E54" i="6"/>
  <c r="F54" i="6"/>
  <c r="G54" i="6" s="1"/>
  <c r="H54" i="6" s="1"/>
  <c r="C55" i="6"/>
  <c r="D55" i="6" l="1"/>
  <c r="F63" i="6"/>
  <c r="F64" i="6"/>
  <c r="F65" i="6"/>
  <c r="F61" i="6"/>
  <c r="E55" i="6"/>
  <c r="F55" i="6"/>
  <c r="G55" i="6" s="1"/>
  <c r="H55" i="6" s="1"/>
  <c r="F59" i="6"/>
  <c r="F60" i="6"/>
  <c r="F67" i="6"/>
  <c r="F58" i="6"/>
  <c r="F66" i="6" l="1"/>
  <c r="F6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<sst xmlns="http://schemas.openxmlformats.org/spreadsheetml/2006/main" count="401" uniqueCount="104">
  <si>
    <t>Time</t>
  </si>
  <si>
    <t>Demand</t>
  </si>
  <si>
    <t>mean</t>
  </si>
  <si>
    <t>SD</t>
  </si>
  <si>
    <t>upper bound</t>
  </si>
  <si>
    <t>lower bound</t>
  </si>
  <si>
    <t>month</t>
  </si>
  <si>
    <t>D1</t>
  </si>
  <si>
    <t>D2</t>
  </si>
  <si>
    <t>Diff D1</t>
  </si>
  <si>
    <t>Diff D2</t>
  </si>
  <si>
    <t>Upper bound</t>
  </si>
  <si>
    <t>Lower boud</t>
  </si>
  <si>
    <t>forecast</t>
  </si>
  <si>
    <t>Deman</t>
  </si>
  <si>
    <t xml:space="preserve">Period </t>
  </si>
  <si>
    <t>budget</t>
  </si>
  <si>
    <t>sales</t>
  </si>
  <si>
    <t>Month</t>
  </si>
  <si>
    <t>Base</t>
  </si>
  <si>
    <t>Trend</t>
  </si>
  <si>
    <t>Forecast</t>
  </si>
  <si>
    <t xml:space="preserve">alpha </t>
  </si>
  <si>
    <t>dec</t>
  </si>
  <si>
    <t>beta</t>
  </si>
  <si>
    <t>Jun</t>
  </si>
  <si>
    <t>Jul</t>
  </si>
  <si>
    <t>Ago</t>
  </si>
  <si>
    <t>Sep</t>
  </si>
  <si>
    <t>Oct</t>
  </si>
  <si>
    <t>Nov</t>
  </si>
  <si>
    <t>Dec</t>
  </si>
  <si>
    <t>seasonality</t>
  </si>
  <si>
    <t>alpha</t>
  </si>
  <si>
    <t xml:space="preserve">beta </t>
  </si>
  <si>
    <t>gamma</t>
  </si>
  <si>
    <t>Forecast 1</t>
  </si>
  <si>
    <t>Forecast 2</t>
  </si>
  <si>
    <t>error</t>
  </si>
  <si>
    <t>abs error</t>
  </si>
  <si>
    <t>% abs error</t>
  </si>
  <si>
    <t>error^2</t>
  </si>
  <si>
    <t>ME</t>
  </si>
  <si>
    <t>MAE</t>
  </si>
  <si>
    <t>MAPE</t>
  </si>
  <si>
    <t>MSE</t>
  </si>
  <si>
    <t>RMSE</t>
  </si>
  <si>
    <t>forecast 2</t>
  </si>
  <si>
    <t>Product</t>
  </si>
  <si>
    <t>year</t>
  </si>
  <si>
    <t>cars (x1000)</t>
  </si>
  <si>
    <t>Apartments (x1000)</t>
  </si>
  <si>
    <t>sales (m$)</t>
  </si>
  <si>
    <t>Forecast sales 1</t>
  </si>
  <si>
    <t>Exponential smoothing</t>
  </si>
  <si>
    <t>Forecast 3 (dep)</t>
  </si>
  <si>
    <t>Forecast MultiReg</t>
  </si>
  <si>
    <t>Forecast cars</t>
  </si>
  <si>
    <t>Forecast apart</t>
  </si>
  <si>
    <t>Slope apt</t>
  </si>
  <si>
    <t>Slope cars</t>
  </si>
  <si>
    <t>intercept</t>
  </si>
  <si>
    <t>R^2</t>
  </si>
  <si>
    <t>intercept car</t>
  </si>
  <si>
    <t>slope car</t>
  </si>
  <si>
    <t>intercept apt</t>
  </si>
  <si>
    <t>slope apt</t>
  </si>
  <si>
    <t>Forecast sales 2</t>
  </si>
  <si>
    <t>PRODUCT A</t>
  </si>
  <si>
    <t>Period</t>
  </si>
  <si>
    <t>Product A</t>
  </si>
  <si>
    <t>Product B</t>
  </si>
  <si>
    <t>Naïve</t>
  </si>
  <si>
    <t>K=3</t>
  </si>
  <si>
    <t>K=5</t>
  </si>
  <si>
    <t>alpha 1</t>
  </si>
  <si>
    <t>alpha 2</t>
  </si>
  <si>
    <t>alpha A average</t>
  </si>
  <si>
    <t>alpha A average 4</t>
  </si>
  <si>
    <t>Alpha 1</t>
  </si>
  <si>
    <t>Alpha 2</t>
  </si>
  <si>
    <t>PRODUCT B</t>
  </si>
  <si>
    <t>alpha B average</t>
  </si>
  <si>
    <t>alpha B average 4</t>
  </si>
  <si>
    <t>t</t>
  </si>
  <si>
    <t>alpha 1 = Smoth Forecast</t>
  </si>
  <si>
    <t>Beta 1 = Smoth trend</t>
  </si>
  <si>
    <t>Adjusted Forecast a</t>
  </si>
  <si>
    <t>Adjusted Forecast b</t>
  </si>
  <si>
    <t>Year 2020</t>
  </si>
  <si>
    <t>Year 2021</t>
  </si>
  <si>
    <t>Year 2022</t>
  </si>
  <si>
    <t>y = Smoth season</t>
  </si>
  <si>
    <t>Adjusted Forecast</t>
  </si>
  <si>
    <t>Jan</t>
  </si>
  <si>
    <t>Feb</t>
  </si>
  <si>
    <t>Mar</t>
  </si>
  <si>
    <t>Apr</t>
  </si>
  <si>
    <t>May</t>
  </si>
  <si>
    <t>yt</t>
  </si>
  <si>
    <t>B</t>
  </si>
  <si>
    <t>T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</si>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</sst>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6"/>
      <name val="Aptos Narrow"/>
      <scheme val="minor"/>
    </font>
    <font>
      <sz val="12"/>
      <color rgb="FF002060"/>
      <name val="Aptos Narrow"/>
      <family val="2"/>
      <scheme val="minor"/>
    </font>
    <font>
      <sz val="12"/>
      <color theme="6"/>
      <name val="Aptos Narrow"/>
      <family val="2"/>
      <scheme val="minor"/>
    </font>
    <font>
      <b/>
      <sz val="10"/>
      <color theme="1"/>
      <name val="Arial"/>
      <family val="2"/>
    </font>
    <font>
      <sz val="12"/>
      <color theme="5"/>
      <name val="Aptos Narrow"/>
      <family val="2"/>
      <scheme val="minor"/>
    </font>
    <font>
      <sz val="12"/>
      <color theme="8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1"/>
      <color rgb="FF000000"/>
      <name val="Calibri"/>
      <family val="2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FFEE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9">
    <xf numFmtId="0" fontId="0" fillId="0" borderId="0" xfId="0"/>
    <xf numFmtId="0" fontId="4" fillId="0" borderId="0" xfId="0" applyFont="1"/>
    <xf numFmtId="1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5" fillId="0" borderId="0" xfId="0" applyFont="1"/>
    <xf numFmtId="0" fontId="0" fillId="0" borderId="4" xfId="0" applyBorder="1"/>
    <xf numFmtId="0" fontId="0" fillId="0" borderId="5" xfId="0" applyBorder="1"/>
    <xf numFmtId="10" fontId="0" fillId="0" borderId="5" xfId="1" applyNumberFormat="1" applyFont="1" applyBorder="1"/>
    <xf numFmtId="0" fontId="0" fillId="0" borderId="6" xfId="0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7" xfId="0" applyFont="1" applyBorder="1"/>
    <xf numFmtId="0" fontId="11" fillId="0" borderId="10" xfId="0" applyFont="1" applyBorder="1"/>
    <xf numFmtId="0" fontId="11" fillId="0" borderId="12" xfId="0" applyFont="1" applyBorder="1"/>
    <xf numFmtId="0" fontId="2" fillId="0" borderId="0" xfId="0" applyFont="1"/>
    <xf numFmtId="0" fontId="3" fillId="0" borderId="8" xfId="0" applyFont="1" applyBorder="1"/>
    <xf numFmtId="0" fontId="3" fillId="0" borderId="0" xfId="0" applyFont="1"/>
    <xf numFmtId="0" fontId="3" fillId="0" borderId="13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4" xfId="0" applyFont="1" applyBorder="1"/>
    <xf numFmtId="10" fontId="10" fillId="0" borderId="0" xfId="1" applyNumberFormat="1" applyFont="1"/>
    <xf numFmtId="10" fontId="2" fillId="0" borderId="0" xfId="1" applyNumberFormat="1" applyFont="1"/>
    <xf numFmtId="10" fontId="9" fillId="0" borderId="0" xfId="1" applyNumberFormat="1" applyFont="1"/>
    <xf numFmtId="10" fontId="3" fillId="0" borderId="0" xfId="1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15" xfId="0" applyFont="1" applyBorder="1"/>
    <xf numFmtId="0" fontId="5" fillId="0" borderId="17" xfId="0" applyFont="1" applyBorder="1"/>
    <xf numFmtId="0" fontId="5" fillId="0" borderId="16" xfId="0" applyFont="1" applyBorder="1"/>
    <xf numFmtId="10" fontId="0" fillId="0" borderId="0" xfId="1" applyNumberFormat="1" applyFont="1" applyBorder="1"/>
    <xf numFmtId="10" fontId="0" fillId="0" borderId="13" xfId="1" applyNumberFormat="1" applyFont="1" applyBorder="1"/>
    <xf numFmtId="0" fontId="11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1" fillId="4" borderId="10" xfId="0" applyFont="1" applyFill="1" applyBorder="1"/>
    <xf numFmtId="0" fontId="3" fillId="4" borderId="0" xfId="0" applyFont="1" applyFill="1"/>
    <xf numFmtId="0" fontId="3" fillId="4" borderId="11" xfId="0" applyFont="1" applyFill="1" applyBorder="1"/>
    <xf numFmtId="10" fontId="3" fillId="4" borderId="0" xfId="1" applyNumberFormat="1" applyFont="1" applyFill="1" applyBorder="1"/>
    <xf numFmtId="0" fontId="11" fillId="4" borderId="12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10" fontId="3" fillId="0" borderId="0" xfId="1" applyNumberFormat="1" applyFont="1"/>
    <xf numFmtId="10" fontId="3" fillId="0" borderId="0" xfId="1" applyNumberFormat="1" applyFont="1" applyFill="1"/>
    <xf numFmtId="0" fontId="11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11" fillId="5" borderId="10" xfId="0" applyFont="1" applyFill="1" applyBorder="1"/>
    <xf numFmtId="0" fontId="3" fillId="5" borderId="0" xfId="0" applyFont="1" applyFill="1"/>
    <xf numFmtId="0" fontId="3" fillId="5" borderId="11" xfId="0" applyFont="1" applyFill="1" applyBorder="1"/>
    <xf numFmtId="10" fontId="3" fillId="5" borderId="0" xfId="1" applyNumberFormat="1" applyFont="1" applyFill="1" applyBorder="1"/>
    <xf numFmtId="0" fontId="11" fillId="5" borderId="12" xfId="0" applyFont="1" applyFill="1" applyBorder="1"/>
    <xf numFmtId="0" fontId="3" fillId="5" borderId="13" xfId="0" applyFont="1" applyFill="1" applyBorder="1"/>
    <xf numFmtId="0" fontId="3" fillId="5" borderId="14" xfId="0" applyFont="1" applyFill="1" applyBorder="1"/>
    <xf numFmtId="0" fontId="0" fillId="0" borderId="21" xfId="0" applyBorder="1"/>
    <xf numFmtId="0" fontId="6" fillId="0" borderId="21" xfId="0" applyFont="1" applyBorder="1"/>
    <xf numFmtId="0" fontId="5" fillId="0" borderId="21" xfId="0" applyFont="1" applyBorder="1"/>
    <xf numFmtId="0" fontId="5" fillId="0" borderId="22" xfId="0" applyFont="1" applyBorder="1"/>
    <xf numFmtId="0" fontId="6" fillId="2" borderId="21" xfId="0" applyFont="1" applyFill="1" applyBorder="1"/>
    <xf numFmtId="0" fontId="4" fillId="0" borderId="21" xfId="0" applyFont="1" applyBorder="1"/>
    <xf numFmtId="10" fontId="0" fillId="0" borderId="21" xfId="0" applyNumberFormat="1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0" fontId="0" fillId="0" borderId="32" xfId="1" applyNumberFormat="1" applyFont="1" applyBorder="1"/>
    <xf numFmtId="0" fontId="0" fillId="0" borderId="33" xfId="0" applyBorder="1"/>
    <xf numFmtId="0" fontId="0" fillId="0" borderId="34" xfId="0" applyBorder="1"/>
    <xf numFmtId="0" fontId="0" fillId="2" borderId="34" xfId="0" applyFill="1" applyBorder="1"/>
    <xf numFmtId="0" fontId="0" fillId="6" borderId="0" xfId="0" applyFill="1"/>
    <xf numFmtId="0" fontId="0" fillId="6" borderId="1" xfId="0" applyFill="1" applyBorder="1"/>
    <xf numFmtId="0" fontId="12" fillId="6" borderId="0" xfId="0" applyFont="1" applyFill="1"/>
    <xf numFmtId="10" fontId="12" fillId="6" borderId="0" xfId="1" applyNumberFormat="1" applyFont="1" applyFill="1"/>
    <xf numFmtId="2" fontId="3" fillId="0" borderId="8" xfId="0" applyNumberFormat="1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16" xfId="0" applyFont="1" applyBorder="1"/>
    <xf numFmtId="10" fontId="0" fillId="0" borderId="0" xfId="1" applyNumberFormat="1" applyFont="1"/>
    <xf numFmtId="0" fontId="3" fillId="0" borderId="7" xfId="0" applyFont="1" applyBorder="1"/>
    <xf numFmtId="0" fontId="0" fillId="0" borderId="35" xfId="0" applyBorder="1"/>
    <xf numFmtId="0" fontId="0" fillId="0" borderId="36" xfId="0" applyBorder="1"/>
    <xf numFmtId="10" fontId="0" fillId="0" borderId="36" xfId="1" applyNumberFormat="1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10" fontId="0" fillId="0" borderId="41" xfId="1" applyNumberFormat="1" applyFont="1" applyBorder="1"/>
    <xf numFmtId="0" fontId="0" fillId="0" borderId="42" xfId="0" applyBorder="1"/>
    <xf numFmtId="0" fontId="0" fillId="2" borderId="0" xfId="0" applyFill="1"/>
    <xf numFmtId="0" fontId="15" fillId="2" borderId="35" xfId="0" applyFont="1" applyFill="1" applyBorder="1"/>
    <xf numFmtId="0" fontId="15" fillId="2" borderId="36" xfId="0" applyFont="1" applyFill="1" applyBorder="1"/>
    <xf numFmtId="0" fontId="15" fillId="2" borderId="37" xfId="0" applyFont="1" applyFill="1" applyBorder="1"/>
    <xf numFmtId="0" fontId="0" fillId="2" borderId="38" xfId="0" applyFill="1" applyBorder="1"/>
    <xf numFmtId="0" fontId="0" fillId="2" borderId="39" xfId="0" applyFill="1" applyBorder="1"/>
    <xf numFmtId="0" fontId="11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11" fillId="0" borderId="38" xfId="0" applyFont="1" applyBorder="1"/>
    <xf numFmtId="0" fontId="3" fillId="0" borderId="39" xfId="0" applyFont="1" applyBorder="1"/>
    <xf numFmtId="0" fontId="11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16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0" fillId="6" borderId="36" xfId="0" applyFill="1" applyBorder="1"/>
    <xf numFmtId="0" fontId="2" fillId="0" borderId="41" xfId="0" applyFont="1" applyBorder="1"/>
    <xf numFmtId="0" fontId="9" fillId="0" borderId="41" xfId="0" applyFont="1" applyBorder="1"/>
    <xf numFmtId="0" fontId="12" fillId="6" borderId="41" xfId="0" applyFont="1" applyFill="1" applyBorder="1"/>
    <xf numFmtId="0" fontId="8" fillId="0" borderId="41" xfId="0" applyFont="1" applyBorder="1"/>
    <xf numFmtId="0" fontId="7" fillId="0" borderId="0" xfId="0" applyFont="1"/>
    <xf numFmtId="0" fontId="7" fillId="0" borderId="41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0" fillId="6" borderId="37" xfId="0" applyFill="1" applyBorder="1"/>
    <xf numFmtId="0" fontId="0" fillId="6" borderId="39" xfId="0" applyFill="1" applyBorder="1"/>
    <xf numFmtId="0" fontId="13" fillId="6" borderId="0" xfId="0" applyFont="1" applyFill="1"/>
    <xf numFmtId="0" fontId="14" fillId="6" borderId="39" xfId="0" applyFont="1" applyFill="1" applyBorder="1"/>
    <xf numFmtId="0" fontId="13" fillId="6" borderId="41" xfId="0" applyFont="1" applyFill="1" applyBorder="1"/>
    <xf numFmtId="0" fontId="14" fillId="6" borderId="42" xfId="0" applyFont="1" applyFill="1" applyBorder="1"/>
    <xf numFmtId="10" fontId="13" fillId="6" borderId="0" xfId="1" applyNumberFormat="1" applyFont="1" applyFill="1"/>
    <xf numFmtId="0" fontId="14" fillId="6" borderId="0" xfId="0" applyFont="1" applyFill="1"/>
    <xf numFmtId="10" fontId="14" fillId="6" borderId="0" xfId="1" applyNumberFormat="1" applyFont="1" applyFill="1"/>
    <xf numFmtId="0" fontId="15" fillId="0" borderId="37" xfId="0" applyFont="1" applyBorder="1"/>
    <xf numFmtId="0" fontId="15" fillId="2" borderId="0" xfId="0" applyFont="1" applyFill="1"/>
    <xf numFmtId="0" fontId="15" fillId="0" borderId="39" xfId="0" applyFont="1" applyBorder="1"/>
    <xf numFmtId="0" fontId="15" fillId="2" borderId="38" xfId="0" applyFont="1" applyFill="1" applyBorder="1"/>
    <xf numFmtId="10" fontId="0" fillId="0" borderId="39" xfId="1" applyNumberFormat="1" applyFont="1" applyBorder="1"/>
    <xf numFmtId="0" fontId="5" fillId="0" borderId="38" xfId="0" applyFont="1" applyBorder="1"/>
    <xf numFmtId="0" fontId="5" fillId="0" borderId="40" xfId="0" applyFont="1" applyBorder="1"/>
    <xf numFmtId="0" fontId="5" fillId="0" borderId="41" xfId="0" applyFont="1" applyBorder="1"/>
    <xf numFmtId="10" fontId="0" fillId="0" borderId="42" xfId="1" applyNumberFormat="1" applyFont="1" applyBorder="1"/>
    <xf numFmtId="0" fontId="17" fillId="0" borderId="0" xfId="0" applyFont="1"/>
    <xf numFmtId="0" fontId="17" fillId="0" borderId="41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ED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Practice!$B$1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Practice!$A$2:$A$13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Practice!$B$2:$B$13</c:f>
              <c:numCache>
                <c:formatCode>General</c:formatCode>
                <c:ptCount val="12"/>
                <c:pt idx="0">
                  <c:v>28</c:v>
                </c:pt>
                <c:pt idx="1">
                  <c:v>37</c:v>
                </c:pt>
                <c:pt idx="2">
                  <c:v>29</c:v>
                </c:pt>
                <c:pt idx="3">
                  <c:v>32</c:v>
                </c:pt>
                <c:pt idx="4">
                  <c:v>49</c:v>
                </c:pt>
                <c:pt idx="5">
                  <c:v>38</c:v>
                </c:pt>
                <c:pt idx="6">
                  <c:v>29</c:v>
                </c:pt>
                <c:pt idx="7">
                  <c:v>36</c:v>
                </c:pt>
                <c:pt idx="8">
                  <c:v>21</c:v>
                </c:pt>
                <c:pt idx="9">
                  <c:v>35</c:v>
                </c:pt>
                <c:pt idx="10">
                  <c:v>14</c:v>
                </c:pt>
                <c:pt idx="1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F-1B49-B592-F0ABE3151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401040"/>
        <c:axId val="1909326496"/>
      </c:scatterChart>
      <c:valAx>
        <c:axId val="19094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26496"/>
        <c:crosses val="autoZero"/>
        <c:crossBetween val="midCat"/>
      </c:valAx>
      <c:valAx>
        <c:axId val="19093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40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Practice!$B$23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89620189013918E-4"/>
                  <c:y val="4.14730785770422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Practice!$A$24:$A$33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Practice!$B$24:$B$33</c:f>
              <c:numCache>
                <c:formatCode>General</c:formatCode>
                <c:ptCount val="10"/>
                <c:pt idx="0">
                  <c:v>19</c:v>
                </c:pt>
                <c:pt idx="1">
                  <c:v>20</c:v>
                </c:pt>
                <c:pt idx="2">
                  <c:v>20</c:v>
                </c:pt>
                <c:pt idx="3">
                  <c:v>22</c:v>
                </c:pt>
                <c:pt idx="4">
                  <c:v>17</c:v>
                </c:pt>
                <c:pt idx="5">
                  <c:v>22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D-5C4E-AA8E-146CAC906E6C}"/>
            </c:ext>
          </c:extLst>
        </c:ser>
        <c:ser>
          <c:idx val="1"/>
          <c:order val="1"/>
          <c:tx>
            <c:strRef>
              <c:f>Practice!$C$23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Practice!$A$24:$A$33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Practice!$C$24:$C$33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15</c:v>
                </c:pt>
                <c:pt idx="3">
                  <c:v>17</c:v>
                </c:pt>
                <c:pt idx="4">
                  <c:v>18</c:v>
                </c:pt>
                <c:pt idx="5">
                  <c:v>21</c:v>
                </c:pt>
                <c:pt idx="6">
                  <c:v>23</c:v>
                </c:pt>
                <c:pt idx="7">
                  <c:v>24</c:v>
                </c:pt>
                <c:pt idx="8">
                  <c:v>28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D-5C4E-AA8E-146CAC90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634512"/>
        <c:axId val="1909372576"/>
      </c:lineChart>
      <c:catAx>
        <c:axId val="179263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72576"/>
        <c:crosses val="autoZero"/>
        <c:auto val="1"/>
        <c:lblAlgn val="ctr"/>
        <c:lblOffset val="100"/>
        <c:noMultiLvlLbl val="0"/>
      </c:catAx>
      <c:valAx>
        <c:axId val="19093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63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'Exercise 1'!$B$1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'Exercise 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'Exercise 1'!$B$2:$B$7</c:f>
              <c:numCache>
                <c:formatCode>General</c:formatCode>
                <c:ptCount val="6"/>
                <c:pt idx="0">
                  <c:v>492</c:v>
                </c:pt>
                <c:pt idx="1">
                  <c:v>470</c:v>
                </c:pt>
                <c:pt idx="2">
                  <c:v>485</c:v>
                </c:pt>
                <c:pt idx="3">
                  <c:v>493</c:v>
                </c:pt>
                <c:pt idx="4">
                  <c:v>498</c:v>
                </c:pt>
                <c:pt idx="5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F-644C-88FB-9483BEEE4C67}"/>
            </c:ext>
          </c:extLst>
        </c:ser>
        <c:ser>
          <c:idx val="1"/>
          <c:order val="1"/>
          <c:tx>
            <c:strRef>
              <c:f>'Exercise 1'!$C$1</c:f>
              <c:strCache>
                <c:ptCount val="1"/>
                <c:pt idx="0">
                  <c:v>Forecast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'Exercise 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'Exercise 1'!$C$2:$C$7</c:f>
              <c:numCache>
                <c:formatCode>General</c:formatCode>
                <c:ptCount val="6"/>
                <c:pt idx="0">
                  <c:v>488</c:v>
                </c:pt>
                <c:pt idx="1">
                  <c:v>484</c:v>
                </c:pt>
                <c:pt idx="2">
                  <c:v>480</c:v>
                </c:pt>
                <c:pt idx="3">
                  <c:v>490</c:v>
                </c:pt>
                <c:pt idx="4">
                  <c:v>497</c:v>
                </c:pt>
                <c:pt idx="5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F-644C-88FB-9483BEEE4C67}"/>
            </c:ext>
          </c:extLst>
        </c:ser>
        <c:ser>
          <c:idx val="2"/>
          <c:order val="2"/>
          <c:tx>
            <c:strRef>
              <c:f>'Exercise 1'!$D$1</c:f>
              <c:strCache>
                <c:ptCount val="1"/>
                <c:pt idx="0">
                  <c:v>Forecast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'Exercise 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'Exercise 1'!$D$2:$D$7</c:f>
              <c:numCache>
                <c:formatCode>General</c:formatCode>
                <c:ptCount val="6"/>
                <c:pt idx="0">
                  <c:v>495</c:v>
                </c:pt>
                <c:pt idx="1">
                  <c:v>482</c:v>
                </c:pt>
                <c:pt idx="2">
                  <c:v>478</c:v>
                </c:pt>
                <c:pt idx="3">
                  <c:v>488</c:v>
                </c:pt>
                <c:pt idx="4">
                  <c:v>492</c:v>
                </c:pt>
                <c:pt idx="5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9F-644C-88FB-9483BEEE4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982768"/>
        <c:axId val="1770350640"/>
      </c:lineChart>
      <c:catAx>
        <c:axId val="181398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50640"/>
        <c:crosses val="autoZero"/>
        <c:auto val="1"/>
        <c:lblAlgn val="ctr"/>
        <c:lblOffset val="100"/>
        <c:noMultiLvlLbl val="0"/>
      </c:catAx>
      <c:valAx>
        <c:axId val="177035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8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'Exercise 2'!$B$2</c:f>
              <c:strCache>
                <c:ptCount val="1"/>
                <c:pt idx="0">
                  <c:v>Product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015098864339337E-2"/>
                  <c:y val="0.194261314197935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'Exercise 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'Exercise 2'!$B$3:$B$22</c:f>
              <c:numCache>
                <c:formatCode>General</c:formatCode>
                <c:ptCount val="20"/>
                <c:pt idx="0">
                  <c:v>1500</c:v>
                </c:pt>
                <c:pt idx="1">
                  <c:v>1530</c:v>
                </c:pt>
                <c:pt idx="2">
                  <c:v>2070</c:v>
                </c:pt>
                <c:pt idx="3">
                  <c:v>420</c:v>
                </c:pt>
                <c:pt idx="4">
                  <c:v>2950</c:v>
                </c:pt>
                <c:pt idx="5">
                  <c:v>3400</c:v>
                </c:pt>
                <c:pt idx="6">
                  <c:v>4130</c:v>
                </c:pt>
                <c:pt idx="7">
                  <c:v>4500</c:v>
                </c:pt>
                <c:pt idx="8">
                  <c:v>4900</c:v>
                </c:pt>
                <c:pt idx="9">
                  <c:v>5620</c:v>
                </c:pt>
                <c:pt idx="10">
                  <c:v>6390</c:v>
                </c:pt>
                <c:pt idx="11">
                  <c:v>7710</c:v>
                </c:pt>
                <c:pt idx="12">
                  <c:v>8390</c:v>
                </c:pt>
                <c:pt idx="13">
                  <c:v>9200</c:v>
                </c:pt>
                <c:pt idx="14">
                  <c:v>11700</c:v>
                </c:pt>
                <c:pt idx="15">
                  <c:v>11800</c:v>
                </c:pt>
                <c:pt idx="16">
                  <c:v>12600</c:v>
                </c:pt>
                <c:pt idx="17">
                  <c:v>13400</c:v>
                </c:pt>
                <c:pt idx="18">
                  <c:v>14700</c:v>
                </c:pt>
                <c:pt idx="19">
                  <c:v>15600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D-1F45-AD49-72847B6D7D24}"/>
            </c:ext>
          </c:extLst>
        </c:ser>
        <c:ser>
          <c:idx val="1"/>
          <c:order val="1"/>
          <c:tx>
            <c:strRef>
              <c:f>'Exercise 2'!$C$2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'Exercise 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'Exercise 2'!$C$3:$C$22</c:f>
              <c:numCache>
                <c:formatCode>General</c:formatCode>
                <c:ptCount val="20"/>
                <c:pt idx="0">
                  <c:v>400</c:v>
                </c:pt>
                <c:pt idx="1">
                  <c:v>1100</c:v>
                </c:pt>
                <c:pt idx="2">
                  <c:v>1800</c:v>
                </c:pt>
                <c:pt idx="3">
                  <c:v>2500</c:v>
                </c:pt>
                <c:pt idx="4">
                  <c:v>3200</c:v>
                </c:pt>
                <c:pt idx="5">
                  <c:v>3900</c:v>
                </c:pt>
                <c:pt idx="6">
                  <c:v>4600</c:v>
                </c:pt>
                <c:pt idx="7">
                  <c:v>5300</c:v>
                </c:pt>
                <c:pt idx="8">
                  <c:v>6000</c:v>
                </c:pt>
                <c:pt idx="9">
                  <c:v>6700</c:v>
                </c:pt>
                <c:pt idx="10">
                  <c:v>7400</c:v>
                </c:pt>
                <c:pt idx="11">
                  <c:v>8100</c:v>
                </c:pt>
                <c:pt idx="12">
                  <c:v>8800</c:v>
                </c:pt>
                <c:pt idx="13">
                  <c:v>9500</c:v>
                </c:pt>
                <c:pt idx="14">
                  <c:v>10200</c:v>
                </c:pt>
                <c:pt idx="15">
                  <c:v>10900</c:v>
                </c:pt>
                <c:pt idx="16">
                  <c:v>11600</c:v>
                </c:pt>
                <c:pt idx="17">
                  <c:v>12300</c:v>
                </c:pt>
                <c:pt idx="18">
                  <c:v>13000</c:v>
                </c:pt>
                <c:pt idx="19">
                  <c:v>13700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3D-1F45-AD49-72847B6D7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114560"/>
        <c:axId val="1923180240"/>
      </c:lineChart>
      <c:catAx>
        <c:axId val="19231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80240"/>
        <c:crosses val="autoZero"/>
        <c:auto val="1"/>
        <c:lblAlgn val="ctr"/>
        <c:lblOffset val="100"/>
        <c:noMultiLvlLbl val="0"/>
      </c:catAx>
      <c:valAx>
        <c:axId val="19231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3'!$D$1</c:f>
              <c:strCache>
                <c:ptCount val="1"/>
                <c:pt idx="0">
                  <c:v>sales (m$)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4447775152178083E-2"/>
                  <c:y val="1.41877829042164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'Exercise 3'!$A$3:$A$17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'Exercise 3'!$D$3:$D$17</c:f>
              <c:numCache>
                <c:formatCode>General</c:formatCode>
                <c:ptCount val="15"/>
                <c:pt idx="0">
                  <c:v>165</c:v>
                </c:pt>
                <c:pt idx="1">
                  <c:v>202</c:v>
                </c:pt>
                <c:pt idx="2">
                  <c:v>201.5</c:v>
                </c:pt>
                <c:pt idx="3">
                  <c:v>226</c:v>
                </c:pt>
                <c:pt idx="4">
                  <c:v>216</c:v>
                </c:pt>
                <c:pt idx="5">
                  <c:v>291.5</c:v>
                </c:pt>
                <c:pt idx="6">
                  <c:v>298.3</c:v>
                </c:pt>
                <c:pt idx="7">
                  <c:v>310.39999999999998</c:v>
                </c:pt>
                <c:pt idx="8">
                  <c:v>256.8</c:v>
                </c:pt>
                <c:pt idx="9">
                  <c:v>303.5</c:v>
                </c:pt>
                <c:pt idx="10">
                  <c:v>314.5</c:v>
                </c:pt>
                <c:pt idx="11">
                  <c:v>301.39999999999998</c:v>
                </c:pt>
                <c:pt idx="12">
                  <c:v>328.5</c:v>
                </c:pt>
                <c:pt idx="13">
                  <c:v>389.5</c:v>
                </c:pt>
                <c:pt idx="14">
                  <c:v>438.7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1-EE4D-A0D8-43266EEA6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658288"/>
        <c:axId val="1923128288"/>
      </c:scatterChart>
      <c:valAx>
        <c:axId val="178265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28288"/>
        <c:crosses val="autoZero"/>
        <c:crossBetween val="midCat"/>
      </c:valAx>
      <c:valAx>
        <c:axId val="19231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5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'Exercise 4'!$O$5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'Exercise 4'!$N$6:$N$15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'Exercise 4'!$O$6:$O$15</c:f>
              <c:numCache>
                <c:formatCode>General</c:formatCode>
                <c:ptCount val="10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60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E-884B-B27C-FB726D600449}"/>
            </c:ext>
          </c:extLst>
        </c:ser>
        <c:ser>
          <c:idx val="1"/>
          <c:order val="1"/>
          <c:tx>
            <c:strRef>
              <c:f>'Exercise 4'!$P$5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'Exercise 4'!$N$6:$N$15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'Exercise 4'!$P$6:$P$15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60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E-884B-B27C-FB726D600449}"/>
            </c:ext>
          </c:extLst>
        </c:ser>
        <c:ser>
          <c:idx val="2"/>
          <c:order val="2"/>
          <c:tx>
            <c:strRef>
              <c:f>'Exercise 4'!$Q$5</c:f>
              <c:strCache>
                <c:ptCount val="1"/>
                <c:pt idx="0">
                  <c:v>K=3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'Exercise 4'!$N$6:$N$15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'Exercise 4'!$Q$6:$Q$15</c:f>
              <c:numCache>
                <c:formatCode>General</c:formatCode>
                <c:ptCount val="10"/>
                <c:pt idx="0">
                  <c:v>50</c:v>
                </c:pt>
                <c:pt idx="1">
                  <c:v>33.333333333333336</c:v>
                </c:pt>
                <c:pt idx="2">
                  <c:v>33.333333333333336</c:v>
                </c:pt>
                <c:pt idx="3">
                  <c:v>40</c:v>
                </c:pt>
                <c:pt idx="4">
                  <c:v>46.666666666666664</c:v>
                </c:pt>
                <c:pt idx="5">
                  <c:v>60</c:v>
                </c:pt>
                <c:pt idx="6">
                  <c:v>63.333333333333336</c:v>
                </c:pt>
                <c:pt idx="7">
                  <c:v>56.666666666666664</c:v>
                </c:pt>
                <c:pt idx="8">
                  <c:v>46.666666666666664</c:v>
                </c:pt>
                <c:pt idx="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0E-884B-B27C-FB726D600449}"/>
            </c:ext>
          </c:extLst>
        </c:ser>
        <c:ser>
          <c:idx val="3"/>
          <c:order val="3"/>
          <c:tx>
            <c:strRef>
              <c:f>'Exercise 4'!$R$5</c:f>
              <c:strCache>
                <c:ptCount val="1"/>
                <c:pt idx="0">
                  <c:v>K=5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'Exercise 4'!$N$6:$N$15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'Exercise 4'!$R$6:$R$15</c:f>
              <c:numCache>
                <c:formatCode>General</c:formatCode>
                <c:ptCount val="10"/>
                <c:pt idx="0">
                  <c:v>54</c:v>
                </c:pt>
                <c:pt idx="1">
                  <c:v>52</c:v>
                </c:pt>
                <c:pt idx="2">
                  <c:v>44</c:v>
                </c:pt>
                <c:pt idx="3">
                  <c:v>36</c:v>
                </c:pt>
                <c:pt idx="4">
                  <c:v>42</c:v>
                </c:pt>
                <c:pt idx="5">
                  <c:v>50</c:v>
                </c:pt>
                <c:pt idx="6">
                  <c:v>54</c:v>
                </c:pt>
                <c:pt idx="7">
                  <c:v>56</c:v>
                </c:pt>
                <c:pt idx="8">
                  <c:v>54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0E-884B-B27C-FB726D600449}"/>
            </c:ext>
          </c:extLst>
        </c:ser>
        <c:ser>
          <c:idx val="4"/>
          <c:order val="4"/>
          <c:tx>
            <c:strRef>
              <c:f>'Exercise 4'!$S$5</c:f>
              <c:strCache>
                <c:ptCount val="1"/>
                <c:pt idx="0">
                  <c:v>alpha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'Exercise 4'!$N$6:$N$15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'Exercise 4'!$S$6:$S$15</c:f>
              <c:numCache>
                <c:formatCode>General</c:formatCode>
                <c:ptCount val="10"/>
                <c:pt idx="0">
                  <c:v>51.933964000000003</c:v>
                </c:pt>
                <c:pt idx="1">
                  <c:v>49.740567600000006</c:v>
                </c:pt>
                <c:pt idx="2">
                  <c:v>49.766510840000009</c:v>
                </c:pt>
                <c:pt idx="3">
                  <c:v>50.789859756000013</c:v>
                </c:pt>
                <c:pt idx="4">
                  <c:v>52.710873780400014</c:v>
                </c:pt>
                <c:pt idx="5">
                  <c:v>53.439786402360014</c:v>
                </c:pt>
                <c:pt idx="6">
                  <c:v>52.095807762124011</c:v>
                </c:pt>
                <c:pt idx="7">
                  <c:v>50.886226985911613</c:v>
                </c:pt>
                <c:pt idx="8">
                  <c:v>49.797604287320453</c:v>
                </c:pt>
                <c:pt idx="9">
                  <c:v>49.817843858588411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0E-884B-B27C-FB726D600449}"/>
            </c:ext>
          </c:extLst>
        </c:ser>
        <c:ser>
          <c:idx val="5"/>
          <c:order val="5"/>
          <c:tx>
            <c:strRef>
              <c:f>'Exercise 4'!$T$5</c:f>
              <c:strCache>
                <c:ptCount val="1"/>
                <c:pt idx="0">
                  <c:v>alpha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'Exercise 4'!$N$6:$N$15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'Exercise 4'!$T$6:$T$15</c:f>
              <c:numCache>
                <c:formatCode>General</c:formatCode>
                <c:ptCount val="10"/>
                <c:pt idx="0">
                  <c:v>40.6875</c:v>
                </c:pt>
                <c:pt idx="1">
                  <c:v>35.34375</c:v>
                </c:pt>
                <c:pt idx="2">
                  <c:v>42.671875</c:v>
                </c:pt>
                <c:pt idx="3">
                  <c:v>51.3359375</c:v>
                </c:pt>
                <c:pt idx="4">
                  <c:v>60.66796875</c:v>
                </c:pt>
                <c:pt idx="5">
                  <c:v>60.333984375</c:v>
                </c:pt>
                <c:pt idx="6">
                  <c:v>50.1669921875</c:v>
                </c:pt>
                <c:pt idx="7">
                  <c:v>45.08349609375</c:v>
                </c:pt>
                <c:pt idx="8">
                  <c:v>42.541748046875</c:v>
                </c:pt>
                <c:pt idx="9">
                  <c:v>46.2708740234375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0E-884B-B27C-FB726D600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805071"/>
        <c:axId val="251801871"/>
      </c:lineChart>
      <c:catAx>
        <c:axId val="25180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01871"/>
        <c:crosses val="autoZero"/>
        <c:auto val="1"/>
        <c:lblAlgn val="ctr"/>
        <c:lblOffset val="100"/>
        <c:noMultiLvlLbl val="0"/>
      </c:catAx>
      <c:valAx>
        <c:axId val="25180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0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16444831676704"/>
                  <c:y val="-6.16715283470922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'Exercise 5 E.S. + T &amp; S WINTERS'!$A$3:$A$14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'Exercise 5 E.S. + T &amp; S WINTERS'!$B$3:$B$14</c:f>
              <c:numCache>
                <c:formatCode>General</c:formatCode>
                <c:ptCount val="12"/>
                <c:pt idx="0">
                  <c:v>401</c:v>
                </c:pt>
                <c:pt idx="1">
                  <c:v>395</c:v>
                </c:pt>
                <c:pt idx="2">
                  <c:v>451</c:v>
                </c:pt>
                <c:pt idx="3">
                  <c:v>427</c:v>
                </c:pt>
                <c:pt idx="4">
                  <c:v>496</c:v>
                </c:pt>
                <c:pt idx="5">
                  <c:v>467</c:v>
                </c:pt>
                <c:pt idx="6">
                  <c:v>352</c:v>
                </c:pt>
                <c:pt idx="7">
                  <c:v>182</c:v>
                </c:pt>
                <c:pt idx="8">
                  <c:v>522</c:v>
                </c:pt>
                <c:pt idx="9">
                  <c:v>687</c:v>
                </c:pt>
                <c:pt idx="10">
                  <c:v>1080</c:v>
                </c:pt>
                <c:pt idx="11">
                  <c:v>1391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D-C94C-82F0-98E3F701FD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4507530147848552E-3"/>
                  <c:y val="0.155875007149530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'Exercise 5 E.S. + T &amp; S WINTERS'!$A$3:$A$14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'Exercise 5 E.S. + T &amp; S WINTERS'!$C$3:$C$14</c:f>
              <c:numCache>
                <c:formatCode>General</c:formatCode>
                <c:ptCount val="12"/>
                <c:pt idx="0">
                  <c:v>263</c:v>
                </c:pt>
                <c:pt idx="1">
                  <c:v>289</c:v>
                </c:pt>
                <c:pt idx="2">
                  <c:v>337</c:v>
                </c:pt>
                <c:pt idx="3">
                  <c:v>374</c:v>
                </c:pt>
                <c:pt idx="4">
                  <c:v>292</c:v>
                </c:pt>
                <c:pt idx="5">
                  <c:v>398</c:v>
                </c:pt>
                <c:pt idx="6">
                  <c:v>421</c:v>
                </c:pt>
                <c:pt idx="7">
                  <c:v>173</c:v>
                </c:pt>
                <c:pt idx="8">
                  <c:v>522</c:v>
                </c:pt>
                <c:pt idx="9">
                  <c:v>642</c:v>
                </c:pt>
                <c:pt idx="10">
                  <c:v>984</c:v>
                </c:pt>
                <c:pt idx="11">
                  <c:v>1307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D-C94C-82F0-98E3F701FDA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1581501604665405"/>
                  <c:y val="-0.16961659453585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'Exercise 5 E.S. + T &amp; S WINTERS'!$A$3:$A$14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'Exercise 5 E.S. + T &amp; S WINTERS'!$D$3:$D$14</c:f>
              <c:numCache>
                <c:formatCode>General</c:formatCode>
                <c:ptCount val="12"/>
                <c:pt idx="0">
                  <c:v>393</c:v>
                </c:pt>
                <c:pt idx="1">
                  <c:v>316</c:v>
                </c:pt>
                <c:pt idx="2">
                  <c:v>428</c:v>
                </c:pt>
                <c:pt idx="3">
                  <c:v>467</c:v>
                </c:pt>
                <c:pt idx="4">
                  <c:v>501</c:v>
                </c:pt>
                <c:pt idx="5">
                  <c:v>487</c:v>
                </c:pt>
                <c:pt idx="6">
                  <c:v>463</c:v>
                </c:pt>
                <c:pt idx="7">
                  <c:v>165</c:v>
                </c:pt>
                <c:pt idx="8">
                  <c:v>595</c:v>
                </c:pt>
                <c:pt idx="9">
                  <c:v>698</c:v>
                </c:pt>
                <c:pt idx="10">
                  <c:v>1012</c:v>
                </c:pt>
                <c:pt idx="11">
                  <c:v>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1D-C94C-82F0-98E3F701F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715360"/>
        <c:axId val="2049400512"/>
      </c:lineChart>
      <c:catAx>
        <c:axId val="211471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400512"/>
        <c:crosses val="autoZero"/>
        <c:auto val="1"/>
        <c:lblAlgn val="ctr"/>
        <c:lblOffset val="100"/>
        <c:noMultiLvlLbl val="0"/>
      </c:catAx>
      <c:valAx>
        <c:axId val="20494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1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'Exercise 5 E.S. + T &amp; S WINTERS'!$B$19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760290322389059E-2"/>
                  <c:y val="-0.118232452459199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'Exercise 5 E.S. + T &amp; S WINTERS'!$A$20:$A$55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'Exercise 5 E.S. + T &amp; S WINTERS'!$B$20:$B$55</c:f>
              <c:numCache>
                <c:formatCode>General</c:formatCode>
                <c:ptCount val="36"/>
                <c:pt idx="0">
                  <c:v>401</c:v>
                </c:pt>
                <c:pt idx="1">
                  <c:v>395</c:v>
                </c:pt>
                <c:pt idx="2">
                  <c:v>451</c:v>
                </c:pt>
                <c:pt idx="3">
                  <c:v>427</c:v>
                </c:pt>
                <c:pt idx="4">
                  <c:v>496</c:v>
                </c:pt>
                <c:pt idx="5">
                  <c:v>467</c:v>
                </c:pt>
                <c:pt idx="6">
                  <c:v>352</c:v>
                </c:pt>
                <c:pt idx="7">
                  <c:v>182</c:v>
                </c:pt>
                <c:pt idx="8">
                  <c:v>522</c:v>
                </c:pt>
                <c:pt idx="9">
                  <c:v>687</c:v>
                </c:pt>
                <c:pt idx="10">
                  <c:v>1080</c:v>
                </c:pt>
                <c:pt idx="11">
                  <c:v>1391</c:v>
                </c:pt>
                <c:pt idx="12">
                  <c:v>263</c:v>
                </c:pt>
                <c:pt idx="13">
                  <c:v>289</c:v>
                </c:pt>
                <c:pt idx="14">
                  <c:v>337</c:v>
                </c:pt>
                <c:pt idx="15">
                  <c:v>374</c:v>
                </c:pt>
                <c:pt idx="16">
                  <c:v>292</c:v>
                </c:pt>
                <c:pt idx="17">
                  <c:v>398</c:v>
                </c:pt>
                <c:pt idx="18">
                  <c:v>421</c:v>
                </c:pt>
                <c:pt idx="19">
                  <c:v>173</c:v>
                </c:pt>
                <c:pt idx="20">
                  <c:v>522</c:v>
                </c:pt>
                <c:pt idx="21">
                  <c:v>642</c:v>
                </c:pt>
                <c:pt idx="22">
                  <c:v>984</c:v>
                </c:pt>
                <c:pt idx="23">
                  <c:v>1307</c:v>
                </c:pt>
                <c:pt idx="24">
                  <c:v>393</c:v>
                </c:pt>
                <c:pt idx="25">
                  <c:v>316</c:v>
                </c:pt>
                <c:pt idx="26">
                  <c:v>428</c:v>
                </c:pt>
                <c:pt idx="27">
                  <c:v>467</c:v>
                </c:pt>
                <c:pt idx="28">
                  <c:v>501</c:v>
                </c:pt>
                <c:pt idx="29">
                  <c:v>487</c:v>
                </c:pt>
                <c:pt idx="30">
                  <c:v>463</c:v>
                </c:pt>
                <c:pt idx="31">
                  <c:v>165</c:v>
                </c:pt>
                <c:pt idx="32">
                  <c:v>595</c:v>
                </c:pt>
                <c:pt idx="33">
                  <c:v>698</c:v>
                </c:pt>
                <c:pt idx="34">
                  <c:v>1012</c:v>
                </c:pt>
                <c:pt idx="35">
                  <c:v>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F-FD47-BE12-A0CF9C895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653039"/>
        <c:axId val="1811333648"/>
      </c:lineChart>
      <c:catAx>
        <c:axId val="25265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33648"/>
        <c:crosses val="autoZero"/>
        <c:auto val="1"/>
        <c:lblAlgn val="ctr"/>
        <c:lblOffset val="100"/>
        <c:noMultiLvlLbl val="0"/>
      </c:catAx>
      <c:valAx>
        <c:axId val="18113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5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0</xdr:row>
      <xdr:rowOff>38100</xdr:rowOff>
    </xdr:from>
    <xdr:to>
      <xdr:col>9</xdr:col>
      <xdr:colOff>800100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EA39C-FFD7-1D8A-FBEE-20E795D0F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</xdr:colOff>
      <xdr:row>22</xdr:row>
      <xdr:rowOff>6350</xdr:rowOff>
    </xdr:from>
    <xdr:to>
      <xdr:col>14</xdr:col>
      <xdr:colOff>406400</xdr:colOff>
      <xdr:row>38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986310-CC1A-5A19-5D71-881092779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342780</xdr:colOff>
      <xdr:row>62</xdr:row>
      <xdr:rowOff>19910</xdr:rowOff>
    </xdr:from>
    <xdr:to>
      <xdr:col>13</xdr:col>
      <xdr:colOff>552049</xdr:colOff>
      <xdr:row>77</xdr:row>
      <xdr:rowOff>182180</xdr:rowOff>
    </xdr:to>
    <xdr:pic>
      <xdr:nvPicPr>
        <xdr:cNvPr id="5" name="Image 1">
          <a:extLst>
            <a:ext uri="{FF2B5EF4-FFF2-40B4-BE49-F238E27FC236}">
              <a16:creationId xmlns:a16="http://schemas.microsoft.com/office/drawing/2014/main" id="{AEE6229B-AF1A-2545-8B11-5035575D30C3}"/>
            </a:ext>
            <a:ext uri="{147F2762-F138-4A5C-976F-8EAC2B608ADB}">
              <a16:predDERef xmlns:a16="http://schemas.microsoft.com/office/drawing/2014/main" pred="{C3DE4445-8452-B98F-D9CC-E2C15274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9020" y="12618310"/>
          <a:ext cx="4425669" cy="3210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165100</xdr:rowOff>
    </xdr:from>
    <xdr:to>
      <xdr:col>6</xdr:col>
      <xdr:colOff>165100</xdr:colOff>
      <xdr:row>44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539E5D-F1EE-AEC0-90E4-8EF05923B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311150</xdr:colOff>
      <xdr:row>0</xdr:row>
      <xdr:rowOff>104775</xdr:rowOff>
    </xdr:from>
    <xdr:to>
      <xdr:col>20</xdr:col>
      <xdr:colOff>254000</xdr:colOff>
      <xdr:row>23</xdr:row>
      <xdr:rowOff>85725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EB13A54-EC09-1552-30B3-50335289D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322489</xdr:colOff>
      <xdr:row>0</xdr:row>
      <xdr:rowOff>161018</xdr:rowOff>
    </xdr:from>
    <xdr:to>
      <xdr:col>24</xdr:col>
      <xdr:colOff>408214</xdr:colOff>
      <xdr:row>18</xdr:row>
      <xdr:rowOff>141060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43040AD-5BDE-AA7F-17F2-958DE4F9F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541867</xdr:colOff>
      <xdr:row>0</xdr:row>
      <xdr:rowOff>0</xdr:rowOff>
    </xdr:from>
    <xdr:to>
      <xdr:col>22</xdr:col>
      <xdr:colOff>757767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6AC7C1-CBBD-F080-5F3F-A5C58680D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32564</xdr:colOff>
      <xdr:row>1</xdr:row>
      <xdr:rowOff>0</xdr:rowOff>
    </xdr:from>
    <xdr:to>
      <xdr:col>15</xdr:col>
      <xdr:colOff>413564</xdr:colOff>
      <xdr:row>16</xdr:row>
      <xdr:rowOff>123825</xdr:rowOff>
    </xdr:to>
    <xdr:pic>
      <xdr:nvPicPr>
        <xdr:cNvPr id="7" name="Image 1">
          <a:extLst>
            <a:ext uri="{FF2B5EF4-FFF2-40B4-BE49-F238E27FC236}">
              <a16:creationId xmlns:a16="http://schemas.microsoft.com/office/drawing/2014/main" id="{437BEC76-D6EF-4AAC-847E-CAE29794E83B}"/>
            </a:ext>
            <a:ext uri="{147F2762-F138-4A5C-976F-8EAC2B608ADB}">
              <a16:predDERef xmlns:a16="http://schemas.microsoft.com/office/drawing/2014/main" pred="{C3DE4445-8452-B98F-D9CC-E2C15274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8120" y="217094"/>
          <a:ext cx="4560059" cy="3217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686510</xdr:colOff>
      <xdr:row>1</xdr:row>
      <xdr:rowOff>7794</xdr:rowOff>
    </xdr:from>
    <xdr:to>
      <xdr:col>22</xdr:col>
      <xdr:colOff>254492</xdr:colOff>
      <xdr:row>20</xdr:row>
      <xdr:rowOff>145226</xdr:rowOff>
    </xdr:to>
    <xdr:graphicFrame macro="">
      <xdr:nvGraphicFramePr>
        <xdr:cNvPr id="43" name="Chart 2">
          <a:extLst>
            <a:ext uri="{FF2B5EF4-FFF2-40B4-BE49-F238E27FC236}">
              <a16:creationId xmlns:a16="http://schemas.microsoft.com/office/drawing/2014/main" id="{F86F050F-4D48-E1F7-70F3-AEF5A1654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78719</xdr:colOff>
      <xdr:row>15</xdr:row>
      <xdr:rowOff>11073</xdr:rowOff>
    </xdr:from>
    <xdr:to>
      <xdr:col>14</xdr:col>
      <xdr:colOff>726208</xdr:colOff>
      <xdr:row>30</xdr:row>
      <xdr:rowOff>72767</xdr:rowOff>
    </xdr:to>
    <xdr:graphicFrame macro="">
      <xdr:nvGraphicFramePr>
        <xdr:cNvPr id="41" name="Chart 3">
          <a:extLst>
            <a:ext uri="{FF2B5EF4-FFF2-40B4-BE49-F238E27FC236}">
              <a16:creationId xmlns:a16="http://schemas.microsoft.com/office/drawing/2014/main" id="{C3DE4445-8452-B98F-D9CC-E2C15274FEAB}"/>
            </a:ext>
            <a:ext uri="{147F2762-F138-4A5C-976F-8EAC2B608ADB}">
              <a16:predDERef xmlns:a16="http://schemas.microsoft.com/office/drawing/2014/main" pred="{F86F050F-4D48-E1F7-70F3-AEF5A1654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523875</xdr:colOff>
      <xdr:row>0</xdr:row>
      <xdr:rowOff>57150</xdr:rowOff>
    </xdr:from>
    <xdr:to>
      <xdr:col>14</xdr:col>
      <xdr:colOff>66675</xdr:colOff>
      <xdr:row>16</xdr:row>
      <xdr:rowOff>6350</xdr:rowOff>
    </xdr:to>
    <xdr:pic>
      <xdr:nvPicPr>
        <xdr:cNvPr id="42" name="Image 4">
          <a:extLst>
            <a:ext uri="{FF2B5EF4-FFF2-40B4-BE49-F238E27FC236}">
              <a16:creationId xmlns:a16="http://schemas.microsoft.com/office/drawing/2014/main" id="{1537CA04-0ADD-6872-97E2-8ABDD3507678}"/>
            </a:ext>
            <a:ext uri="{147F2762-F138-4A5C-976F-8EAC2B608ADB}">
              <a16:predDERef xmlns:a16="http://schemas.microsoft.com/office/drawing/2014/main" pred="{C3DE4445-8452-B98F-D9CC-E2C15274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15550" y="57150"/>
          <a:ext cx="4572000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3AF4A1F-4676-524D-B211-9CC5D0799582}">
  <we:reference id="73d20708-c99a-400a-95ae-5f6b394f4054" version="2.0.0.0" store="EXCatalog" storeType="EXCatalog"/>
  <we:alternateReferences>
    <we:reference id="WA104379190" version="2.0.0.0" store="fr-F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CC10B9F7-262F-984A-8068-257EA75D5B00}">
  <we:reference id="026e7b2b-fa4d-4fe0-bf3b-b965f6f25bee" version="1.0.0.73" store="EXCatalog" storeType="EXCatalog"/>
  <we:alternateReferences>
    <we:reference id="WA200000565" version="1.0.0.7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9399-29D7-3349-A610-3DD13A479CE9}">
  <dimension ref="A1:H90"/>
  <sheetViews>
    <sheetView zoomScale="125" workbookViewId="0">
      <selection activeCell="D8" sqref="D8"/>
    </sheetView>
  </sheetViews>
  <sheetFormatPr defaultColWidth="11" defaultRowHeight="15.95"/>
  <sheetData>
    <row r="1" spans="1:3">
      <c r="A1" s="67" t="s">
        <v>0</v>
      </c>
      <c r="B1" s="67" t="s">
        <v>1</v>
      </c>
    </row>
    <row r="2" spans="1:3">
      <c r="A2" s="65">
        <v>1</v>
      </c>
      <c r="B2" s="65">
        <v>28</v>
      </c>
    </row>
    <row r="3" spans="1:3">
      <c r="A3" s="65">
        <v>2</v>
      </c>
      <c r="B3" s="65">
        <v>37</v>
      </c>
    </row>
    <row r="4" spans="1:3">
      <c r="A4" s="65">
        <v>3</v>
      </c>
      <c r="B4" s="65">
        <v>29</v>
      </c>
    </row>
    <row r="5" spans="1:3">
      <c r="A5" s="65">
        <v>4</v>
      </c>
      <c r="B5" s="65">
        <v>32</v>
      </c>
    </row>
    <row r="6" spans="1:3">
      <c r="A6" s="69">
        <v>5</v>
      </c>
      <c r="B6" s="69">
        <v>49</v>
      </c>
    </row>
    <row r="7" spans="1:3">
      <c r="A7" s="65">
        <v>6</v>
      </c>
      <c r="B7" s="65">
        <v>38</v>
      </c>
    </row>
    <row r="8" spans="1:3">
      <c r="A8" s="65">
        <v>7</v>
      </c>
      <c r="B8" s="65">
        <v>29</v>
      </c>
    </row>
    <row r="9" spans="1:3">
      <c r="A9" s="65">
        <v>8</v>
      </c>
      <c r="B9" s="65">
        <v>36</v>
      </c>
    </row>
    <row r="10" spans="1:3">
      <c r="A10" s="65">
        <v>9</v>
      </c>
      <c r="B10" s="65">
        <v>21</v>
      </c>
    </row>
    <row r="11" spans="1:3">
      <c r="A11" s="65">
        <v>10</v>
      </c>
      <c r="B11" s="65">
        <v>35</v>
      </c>
    </row>
    <row r="12" spans="1:3">
      <c r="A12" s="69">
        <v>11</v>
      </c>
      <c r="B12" s="69">
        <v>14</v>
      </c>
    </row>
    <row r="13" spans="1:3">
      <c r="A13" s="65">
        <v>12</v>
      </c>
      <c r="B13" s="65">
        <v>31</v>
      </c>
    </row>
    <row r="15" spans="1:3">
      <c r="A15" s="67" t="s">
        <v>2</v>
      </c>
      <c r="B15" s="67">
        <f>+AVERAGE(B2:B13)</f>
        <v>31.583333333333332</v>
      </c>
    </row>
    <row r="16" spans="1:3">
      <c r="A16" s="68" t="s">
        <v>3</v>
      </c>
      <c r="B16" s="68">
        <f>+STDEV(B2:B13)</f>
        <v>8.8055595386027985</v>
      </c>
      <c r="C16" s="65">
        <f>+SQRT(_xlfn.VAR.S(B2:B13))</f>
        <v>8.8055595386027985</v>
      </c>
    </row>
    <row r="18" spans="1:6">
      <c r="A18" s="67" t="s">
        <v>4</v>
      </c>
      <c r="B18" s="67">
        <f>+B15+B16*1.96</f>
        <v>48.84223002899482</v>
      </c>
    </row>
    <row r="19" spans="1:6">
      <c r="A19" s="67" t="s">
        <v>5</v>
      </c>
      <c r="B19" s="67">
        <f>+B15-B16*1.96</f>
        <v>14.324436637671848</v>
      </c>
    </row>
    <row r="23" spans="1:6">
      <c r="A23" s="65" t="s">
        <v>6</v>
      </c>
      <c r="B23" s="65" t="s">
        <v>7</v>
      </c>
      <c r="C23" s="65" t="s">
        <v>8</v>
      </c>
      <c r="D23" s="65"/>
      <c r="E23" s="65" t="s">
        <v>9</v>
      </c>
      <c r="F23" s="65" t="s">
        <v>10</v>
      </c>
    </row>
    <row r="24" spans="1:6">
      <c r="A24" s="65">
        <v>1</v>
      </c>
      <c r="B24" s="65">
        <v>19</v>
      </c>
      <c r="C24" s="65">
        <v>11</v>
      </c>
      <c r="D24" s="65"/>
      <c r="E24" s="65"/>
      <c r="F24" s="65"/>
    </row>
    <row r="25" spans="1:6">
      <c r="A25" s="65">
        <v>2</v>
      </c>
      <c r="B25" s="65">
        <v>20</v>
      </c>
      <c r="C25" s="65">
        <v>12</v>
      </c>
      <c r="D25" s="65"/>
      <c r="E25" s="65">
        <f>+B25-B24</f>
        <v>1</v>
      </c>
      <c r="F25" s="65">
        <f>+C25-C24</f>
        <v>1</v>
      </c>
    </row>
    <row r="26" spans="1:6">
      <c r="A26" s="65">
        <v>3</v>
      </c>
      <c r="B26" s="65">
        <v>20</v>
      </c>
      <c r="C26" s="65">
        <v>15</v>
      </c>
      <c r="D26" s="65"/>
      <c r="E26" s="65">
        <f t="shared" ref="E26:F33" si="0">+B26-B25</f>
        <v>0</v>
      </c>
      <c r="F26" s="65">
        <f t="shared" si="0"/>
        <v>3</v>
      </c>
    </row>
    <row r="27" spans="1:6">
      <c r="A27" s="65">
        <v>4</v>
      </c>
      <c r="B27" s="65">
        <v>22</v>
      </c>
      <c r="C27" s="65">
        <v>17</v>
      </c>
      <c r="D27" s="65"/>
      <c r="E27" s="65">
        <f t="shared" si="0"/>
        <v>2</v>
      </c>
      <c r="F27" s="65">
        <f t="shared" si="0"/>
        <v>2</v>
      </c>
    </row>
    <row r="28" spans="1:6">
      <c r="A28" s="66">
        <v>5</v>
      </c>
      <c r="B28" s="65">
        <v>17</v>
      </c>
      <c r="C28" s="65">
        <v>18</v>
      </c>
      <c r="D28" s="65"/>
      <c r="E28" s="65">
        <f t="shared" si="0"/>
        <v>-5</v>
      </c>
      <c r="F28" s="65">
        <f t="shared" si="0"/>
        <v>1</v>
      </c>
    </row>
    <row r="29" spans="1:6">
      <c r="A29" s="65">
        <v>6</v>
      </c>
      <c r="B29" s="65">
        <v>22</v>
      </c>
      <c r="C29" s="65">
        <v>21</v>
      </c>
      <c r="D29" s="65"/>
      <c r="E29" s="65">
        <f t="shared" si="0"/>
        <v>5</v>
      </c>
      <c r="F29" s="65">
        <f t="shared" si="0"/>
        <v>3</v>
      </c>
    </row>
    <row r="30" spans="1:6">
      <c r="A30" s="65">
        <v>7</v>
      </c>
      <c r="B30" s="65">
        <v>20</v>
      </c>
      <c r="C30" s="65">
        <v>23</v>
      </c>
      <c r="D30" s="65"/>
      <c r="E30" s="65">
        <f t="shared" si="0"/>
        <v>-2</v>
      </c>
      <c r="F30" s="65">
        <f t="shared" si="0"/>
        <v>2</v>
      </c>
    </row>
    <row r="31" spans="1:6">
      <c r="A31" s="65">
        <v>8</v>
      </c>
      <c r="B31" s="65">
        <v>21</v>
      </c>
      <c r="C31" s="65">
        <v>24</v>
      </c>
      <c r="D31" s="65"/>
      <c r="E31" s="65">
        <f t="shared" si="0"/>
        <v>1</v>
      </c>
      <c r="F31" s="65">
        <f t="shared" si="0"/>
        <v>1</v>
      </c>
    </row>
    <row r="32" spans="1:6">
      <c r="A32" s="65">
        <v>9</v>
      </c>
      <c r="B32" s="65">
        <v>21</v>
      </c>
      <c r="C32" s="65">
        <v>28</v>
      </c>
      <c r="D32" s="65"/>
      <c r="E32" s="65">
        <f t="shared" si="0"/>
        <v>0</v>
      </c>
      <c r="F32" s="65">
        <f t="shared" si="0"/>
        <v>4</v>
      </c>
    </row>
    <row r="33" spans="1:6">
      <c r="A33" s="65">
        <v>10</v>
      </c>
      <c r="B33" s="65">
        <v>18</v>
      </c>
      <c r="C33" s="65">
        <v>31</v>
      </c>
      <c r="D33" s="65"/>
      <c r="E33" s="65">
        <f t="shared" si="0"/>
        <v>-3</v>
      </c>
      <c r="F33" s="65">
        <f t="shared" si="0"/>
        <v>3</v>
      </c>
    </row>
    <row r="35" spans="1:6">
      <c r="A35" s="67" t="s">
        <v>2</v>
      </c>
      <c r="B35" s="67">
        <f>+AVERAGE(B24:B33)</f>
        <v>20</v>
      </c>
      <c r="C35" s="67">
        <f>+AVERAGE(C24:C33)</f>
        <v>20</v>
      </c>
      <c r="E35" s="65">
        <f>+AVERAGE(E25:E33)</f>
        <v>-0.1111111111111111</v>
      </c>
      <c r="F35" s="65">
        <f>+AVERAGE(F25:F33)</f>
        <v>2.2222222222222223</v>
      </c>
    </row>
    <row r="36" spans="1:6">
      <c r="A36" s="67" t="s">
        <v>3</v>
      </c>
      <c r="B36" s="67">
        <f>+STDEV(B24:B33)</f>
        <v>1.6329931618554521</v>
      </c>
      <c r="C36" s="67">
        <f>+STDEV(C24:C33)</f>
        <v>6.6164777470930689</v>
      </c>
    </row>
    <row r="37" spans="1:6">
      <c r="A37" s="65" t="s">
        <v>11</v>
      </c>
      <c r="B37" s="65">
        <f>+B35+1.96*B36</f>
        <v>23.200666597236687</v>
      </c>
      <c r="C37" s="65">
        <f>+C35+1.96*C36</f>
        <v>32.968296384302413</v>
      </c>
    </row>
    <row r="38" spans="1:6">
      <c r="A38" s="65" t="s">
        <v>12</v>
      </c>
      <c r="B38" s="65">
        <f>+B35-1.96*B36</f>
        <v>16.799333402763313</v>
      </c>
      <c r="C38" s="65">
        <f>+C35-1.96*C36</f>
        <v>7.0317036156975856</v>
      </c>
    </row>
    <row r="41" spans="1:6">
      <c r="A41" s="65" t="s">
        <v>6</v>
      </c>
      <c r="B41" s="65" t="s">
        <v>13</v>
      </c>
      <c r="C41" s="65" t="s">
        <v>14</v>
      </c>
    </row>
    <row r="42" spans="1:6">
      <c r="A42" s="65">
        <v>1</v>
      </c>
      <c r="B42" s="65">
        <v>10</v>
      </c>
      <c r="C42" s="65">
        <v>11</v>
      </c>
    </row>
    <row r="43" spans="1:6">
      <c r="A43" s="65">
        <v>2</v>
      </c>
      <c r="B43" s="65">
        <v>13</v>
      </c>
      <c r="C43" s="65">
        <v>12</v>
      </c>
    </row>
    <row r="44" spans="1:6">
      <c r="A44" s="65">
        <v>3</v>
      </c>
      <c r="B44" s="65">
        <v>18</v>
      </c>
      <c r="C44" s="65">
        <v>15</v>
      </c>
    </row>
    <row r="45" spans="1:6">
      <c r="A45" s="65">
        <v>4</v>
      </c>
      <c r="B45" s="65">
        <v>15</v>
      </c>
      <c r="C45" s="65">
        <v>17</v>
      </c>
    </row>
    <row r="46" spans="1:6">
      <c r="A46" s="66">
        <v>5</v>
      </c>
      <c r="B46" s="65">
        <v>17</v>
      </c>
      <c r="C46" s="65">
        <v>18</v>
      </c>
    </row>
    <row r="47" spans="1:6">
      <c r="A47" s="65">
        <v>6</v>
      </c>
      <c r="B47" s="65">
        <v>22</v>
      </c>
      <c r="C47" s="65">
        <v>21</v>
      </c>
    </row>
    <row r="48" spans="1:6">
      <c r="A48" s="65">
        <v>7</v>
      </c>
      <c r="B48" s="65">
        <v>20</v>
      </c>
      <c r="C48" s="65">
        <v>23</v>
      </c>
    </row>
    <row r="49" spans="1:3">
      <c r="A49" s="65">
        <v>8</v>
      </c>
      <c r="B49" s="65">
        <v>21</v>
      </c>
      <c r="C49" s="65">
        <v>20</v>
      </c>
    </row>
    <row r="50" spans="1:3">
      <c r="A50" s="65">
        <v>9</v>
      </c>
      <c r="B50" s="65">
        <v>17</v>
      </c>
      <c r="C50" s="65">
        <v>16</v>
      </c>
    </row>
    <row r="51" spans="1:3">
      <c r="A51" s="65">
        <v>10</v>
      </c>
      <c r="B51" s="65">
        <v>18</v>
      </c>
      <c r="C51" s="65">
        <v>19</v>
      </c>
    </row>
    <row r="54" spans="1:3">
      <c r="A54" s="65" t="s">
        <v>15</v>
      </c>
      <c r="B54" s="65" t="s">
        <v>16</v>
      </c>
      <c r="C54" s="65" t="s">
        <v>17</v>
      </c>
    </row>
    <row r="55" spans="1:3">
      <c r="A55" s="65">
        <v>1</v>
      </c>
      <c r="B55" s="65">
        <v>15</v>
      </c>
      <c r="C55" s="65">
        <v>153</v>
      </c>
    </row>
    <row r="56" spans="1:3">
      <c r="A56" s="65">
        <v>2</v>
      </c>
      <c r="B56" s="65">
        <v>17.5</v>
      </c>
      <c r="C56" s="65">
        <v>198</v>
      </c>
    </row>
    <row r="57" spans="1:3">
      <c r="A57" s="65">
        <v>3</v>
      </c>
      <c r="B57" s="65">
        <v>12</v>
      </c>
      <c r="C57" s="65">
        <v>147</v>
      </c>
    </row>
    <row r="58" spans="1:3">
      <c r="A58" s="65">
        <v>4</v>
      </c>
      <c r="B58" s="65">
        <v>8.5</v>
      </c>
      <c r="C58" s="65">
        <v>104</v>
      </c>
    </row>
    <row r="59" spans="1:3">
      <c r="A59" s="65">
        <v>5</v>
      </c>
      <c r="B59" s="65">
        <v>9.5</v>
      </c>
      <c r="C59" s="65">
        <v>131</v>
      </c>
    </row>
    <row r="60" spans="1:3">
      <c r="A60" s="65">
        <v>6</v>
      </c>
      <c r="B60" s="65">
        <v>12.5</v>
      </c>
      <c r="C60" s="65">
        <v>159</v>
      </c>
    </row>
    <row r="61" spans="1:3">
      <c r="A61" s="65">
        <v>7</v>
      </c>
      <c r="B61" s="65">
        <v>14.5</v>
      </c>
      <c r="C61" s="65">
        <v>160</v>
      </c>
    </row>
    <row r="62" spans="1:3">
      <c r="A62" s="65">
        <v>8</v>
      </c>
      <c r="B62" s="65">
        <v>11</v>
      </c>
      <c r="C62" s="65">
        <v>124</v>
      </c>
    </row>
    <row r="63" spans="1:3">
      <c r="A63" s="65">
        <v>9</v>
      </c>
      <c r="B63" s="65">
        <v>12</v>
      </c>
      <c r="C63" s="65"/>
    </row>
    <row r="64" spans="1:3">
      <c r="A64" s="65">
        <v>10</v>
      </c>
      <c r="B64" s="65">
        <v>17</v>
      </c>
      <c r="C64" s="65"/>
    </row>
    <row r="65" spans="1:8">
      <c r="A65" s="65">
        <v>11</v>
      </c>
      <c r="B65" s="65">
        <v>20</v>
      </c>
      <c r="C65" s="65"/>
    </row>
    <row r="66" spans="1:8">
      <c r="A66" s="65">
        <v>12</v>
      </c>
      <c r="B66" s="65">
        <v>14</v>
      </c>
      <c r="C66" s="65"/>
    </row>
    <row r="68" spans="1:8" ht="15.75"/>
    <row r="69" spans="1:8" ht="15.75">
      <c r="A69" s="92"/>
      <c r="B69" s="93" t="s">
        <v>18</v>
      </c>
      <c r="C69" s="93" t="s">
        <v>1</v>
      </c>
      <c r="D69" s="93" t="s">
        <v>19</v>
      </c>
      <c r="E69" s="93" t="s">
        <v>20</v>
      </c>
      <c r="F69" s="93" t="s">
        <v>21</v>
      </c>
      <c r="G69" s="93" t="s">
        <v>22</v>
      </c>
      <c r="H69" s="95">
        <v>0.8</v>
      </c>
    </row>
    <row r="70" spans="1:8" ht="15.75">
      <c r="A70" s="96">
        <v>1</v>
      </c>
      <c r="B70" t="s">
        <v>23</v>
      </c>
      <c r="C70">
        <v>1020</v>
      </c>
      <c r="D70">
        <v>1020</v>
      </c>
      <c r="E70">
        <v>0</v>
      </c>
      <c r="F70">
        <f>+D70+E70</f>
        <v>1020</v>
      </c>
      <c r="G70" t="s">
        <v>24</v>
      </c>
      <c r="H70" s="97">
        <v>0.5</v>
      </c>
    </row>
    <row r="71" spans="1:8" ht="15.75">
      <c r="A71" s="96">
        <v>2</v>
      </c>
      <c r="B71" s="153" t="s">
        <v>25</v>
      </c>
      <c r="C71">
        <v>940</v>
      </c>
      <c r="D71">
        <f>+$H$69*C70+(1-$H$69)*D70+E70</f>
        <v>1020</v>
      </c>
      <c r="E71">
        <f>+$H$70*(D71-D70)+(1-$H$70)*E70</f>
        <v>0</v>
      </c>
      <c r="F71">
        <f>+D71+E71</f>
        <v>1020</v>
      </c>
      <c r="H71" s="97"/>
    </row>
    <row r="72" spans="1:8" ht="15.75">
      <c r="A72" s="96">
        <v>3</v>
      </c>
      <c r="B72" s="153" t="s">
        <v>26</v>
      </c>
      <c r="C72">
        <v>920</v>
      </c>
      <c r="D72">
        <f>+$H$69*C71+(1-$H$69)*D71+E71</f>
        <v>956</v>
      </c>
      <c r="E72">
        <f>+$H$70*(D72-D71)+(1-$H$70)*E71</f>
        <v>-32</v>
      </c>
      <c r="F72">
        <f t="shared" ref="F72" si="1">+D72+E72</f>
        <v>924</v>
      </c>
      <c r="H72" s="97"/>
    </row>
    <row r="73" spans="1:8" ht="15.75">
      <c r="A73" s="96">
        <v>4</v>
      </c>
      <c r="B73" s="153" t="s">
        <v>27</v>
      </c>
      <c r="C73">
        <v>950</v>
      </c>
      <c r="D73">
        <f>+$H$69*C72+(1-$H$69)*F72</f>
        <v>920.8</v>
      </c>
      <c r="E73">
        <f t="shared" ref="E73" si="2">+$H$70*(D73-D72)+(1-$H$70)*E72</f>
        <v>-33.600000000000023</v>
      </c>
      <c r="F73">
        <f>+D73+E73</f>
        <v>887.19999999999993</v>
      </c>
      <c r="H73" s="97"/>
    </row>
    <row r="74" spans="1:8" ht="15.75">
      <c r="A74" s="96">
        <v>5</v>
      </c>
      <c r="B74" s="153" t="s">
        <v>28</v>
      </c>
      <c r="D74">
        <f>+$H$69*C73+(1-$H$69)*F73</f>
        <v>937.43999999999994</v>
      </c>
      <c r="E74">
        <f>+$H$70*(D74-D73)+(1-$H$70)*E73</f>
        <v>-8.4800000000000182</v>
      </c>
      <c r="F74">
        <f>+D74+E74</f>
        <v>928.95999999999992</v>
      </c>
      <c r="H74" s="97"/>
    </row>
    <row r="75" spans="1:8" ht="15.75">
      <c r="A75" s="96">
        <v>6</v>
      </c>
      <c r="B75" s="153" t="s">
        <v>29</v>
      </c>
      <c r="H75" s="97"/>
    </row>
    <row r="76" spans="1:8" ht="15.75">
      <c r="A76" s="96">
        <v>7</v>
      </c>
      <c r="B76" s="153" t="s">
        <v>30</v>
      </c>
      <c r="H76" s="97"/>
    </row>
    <row r="77" spans="1:8" ht="15.75">
      <c r="A77" s="98">
        <v>8</v>
      </c>
      <c r="B77" s="154" t="s">
        <v>31</v>
      </c>
      <c r="C77" s="99"/>
      <c r="D77" s="99"/>
      <c r="E77" s="99"/>
      <c r="F77" s="99"/>
      <c r="G77" s="99"/>
      <c r="H77" s="101"/>
    </row>
    <row r="78" spans="1:8" ht="15.75"/>
    <row r="81" spans="1:8" ht="15.75"/>
    <row r="82" spans="1:8" ht="15.75">
      <c r="A82" s="92" t="s">
        <v>18</v>
      </c>
      <c r="B82" s="93" t="s">
        <v>1</v>
      </c>
      <c r="C82" s="93" t="s">
        <v>19</v>
      </c>
      <c r="D82" s="93" t="s">
        <v>20</v>
      </c>
      <c r="E82" s="93" t="s">
        <v>32</v>
      </c>
      <c r="F82" s="95" t="s">
        <v>21</v>
      </c>
      <c r="G82" s="93"/>
      <c r="H82" s="95"/>
    </row>
    <row r="83" spans="1:8" ht="15.75">
      <c r="A83" s="96">
        <v>1</v>
      </c>
      <c r="B83">
        <v>990</v>
      </c>
      <c r="E83" s="5">
        <f>+B83/AVERAGE($B$83:$B$85)</f>
        <v>1</v>
      </c>
      <c r="F83" s="97"/>
      <c r="G83" t="s">
        <v>33</v>
      </c>
      <c r="H83" s="97">
        <v>0.8</v>
      </c>
    </row>
    <row r="84" spans="1:8" ht="15.75">
      <c r="A84" s="96">
        <v>2</v>
      </c>
      <c r="B84">
        <v>970</v>
      </c>
      <c r="E84" s="5">
        <f>+B84/AVERAGE($B$83:$B$85)</f>
        <v>0.97979797979797978</v>
      </c>
      <c r="F84" s="97"/>
      <c r="G84" t="s">
        <v>34</v>
      </c>
      <c r="H84" s="97">
        <v>0.5</v>
      </c>
    </row>
    <row r="85" spans="1:8" ht="15.75">
      <c r="A85" s="96">
        <v>3</v>
      </c>
      <c r="B85">
        <v>1010</v>
      </c>
      <c r="C85">
        <v>990</v>
      </c>
      <c r="D85">
        <v>0</v>
      </c>
      <c r="E85" s="5">
        <f t="shared" ref="E84:E85" si="3">+B85/AVERAGE($B$83:$B$85)</f>
        <v>1.0202020202020201</v>
      </c>
      <c r="F85" s="97"/>
      <c r="G85" t="s">
        <v>35</v>
      </c>
      <c r="H85" s="97">
        <v>0.2</v>
      </c>
    </row>
    <row r="86" spans="1:8" ht="15.75">
      <c r="A86" s="96">
        <v>4</v>
      </c>
      <c r="B86">
        <v>1020</v>
      </c>
      <c r="F86" s="97"/>
      <c r="H86" s="97"/>
    </row>
    <row r="87" spans="1:8" ht="15.75">
      <c r="A87" s="96">
        <v>5</v>
      </c>
      <c r="B87">
        <v>980</v>
      </c>
      <c r="F87" s="97"/>
      <c r="G87" t="s">
        <v>32</v>
      </c>
      <c r="H87" s="97">
        <v>3</v>
      </c>
    </row>
    <row r="88" spans="1:8" ht="15.75">
      <c r="A88" s="96">
        <v>6</v>
      </c>
      <c r="B88">
        <v>960</v>
      </c>
      <c r="F88" s="97"/>
      <c r="H88" s="97"/>
    </row>
    <row r="89" spans="1:8" ht="15.75">
      <c r="A89" s="98">
        <v>7</v>
      </c>
      <c r="B89" s="99">
        <v>1000</v>
      </c>
      <c r="C89" s="99"/>
      <c r="D89" s="99"/>
      <c r="E89" s="99"/>
      <c r="F89" s="101"/>
      <c r="G89" s="99"/>
      <c r="H89" s="101"/>
    </row>
    <row r="90" spans="1:8" ht="15.7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A352-F6E7-564D-AD42-C9F639BEE5DB}">
  <dimension ref="A1:P28"/>
  <sheetViews>
    <sheetView zoomScale="131" workbookViewId="0">
      <selection activeCell="O22" sqref="K18:O22"/>
    </sheetView>
  </sheetViews>
  <sheetFormatPr defaultColWidth="11" defaultRowHeight="15.95"/>
  <sheetData>
    <row r="1" spans="1:15">
      <c r="A1" s="3" t="s">
        <v>18</v>
      </c>
      <c r="B1" s="3" t="s">
        <v>1</v>
      </c>
      <c r="C1" s="10" t="s">
        <v>36</v>
      </c>
      <c r="D1" s="3" t="s">
        <v>37</v>
      </c>
    </row>
    <row r="2" spans="1:15">
      <c r="A2" s="3">
        <v>1</v>
      </c>
      <c r="B2" s="3">
        <v>492</v>
      </c>
      <c r="C2" s="10">
        <v>488</v>
      </c>
      <c r="D2" s="3">
        <v>495</v>
      </c>
    </row>
    <row r="3" spans="1:15">
      <c r="A3" s="3">
        <v>2</v>
      </c>
      <c r="B3" s="3">
        <v>470</v>
      </c>
      <c r="C3" s="10">
        <v>484</v>
      </c>
      <c r="D3" s="3">
        <v>482</v>
      </c>
    </row>
    <row r="4" spans="1:15">
      <c r="A4" s="3">
        <v>3</v>
      </c>
      <c r="B4" s="3">
        <v>485</v>
      </c>
      <c r="C4" s="10">
        <v>480</v>
      </c>
      <c r="D4" s="3">
        <v>478</v>
      </c>
    </row>
    <row r="5" spans="1:15">
      <c r="A5" s="3">
        <v>4</v>
      </c>
      <c r="B5" s="3">
        <v>493</v>
      </c>
      <c r="C5" s="10">
        <v>490</v>
      </c>
      <c r="D5" s="3">
        <v>488</v>
      </c>
    </row>
    <row r="6" spans="1:15">
      <c r="A6" s="3">
        <v>5</v>
      </c>
      <c r="B6" s="3">
        <v>498</v>
      </c>
      <c r="C6" s="10">
        <v>497</v>
      </c>
      <c r="D6" s="3">
        <v>492</v>
      </c>
    </row>
    <row r="7" spans="1:15">
      <c r="A7" s="3">
        <v>6</v>
      </c>
      <c r="B7" s="3">
        <v>492</v>
      </c>
      <c r="C7" s="10">
        <v>493</v>
      </c>
      <c r="D7" s="3">
        <v>493</v>
      </c>
    </row>
    <row r="8" spans="1:15" ht="17.100000000000001" customHeight="1"/>
    <row r="10" spans="1:15">
      <c r="A10" s="3" t="s">
        <v>18</v>
      </c>
      <c r="B10" s="3" t="s">
        <v>1</v>
      </c>
      <c r="C10" s="3" t="s">
        <v>36</v>
      </c>
      <c r="D10" s="3" t="s">
        <v>38</v>
      </c>
      <c r="E10" s="3" t="s">
        <v>39</v>
      </c>
      <c r="F10" s="3" t="s">
        <v>40</v>
      </c>
      <c r="G10" s="3" t="s">
        <v>41</v>
      </c>
      <c r="I10" s="3" t="s">
        <v>18</v>
      </c>
      <c r="J10" s="3" t="s">
        <v>1</v>
      </c>
      <c r="K10" s="3" t="s">
        <v>37</v>
      </c>
      <c r="L10" s="3" t="s">
        <v>38</v>
      </c>
      <c r="M10" s="3" t="s">
        <v>39</v>
      </c>
      <c r="N10" s="3" t="s">
        <v>40</v>
      </c>
      <c r="O10" s="3" t="s">
        <v>41</v>
      </c>
    </row>
    <row r="11" spans="1:15">
      <c r="A11" s="3">
        <v>1</v>
      </c>
      <c r="B11" s="3">
        <v>492</v>
      </c>
      <c r="C11" s="3">
        <v>488</v>
      </c>
      <c r="D11" s="3">
        <f>+B11-C11</f>
        <v>4</v>
      </c>
      <c r="E11" s="3">
        <f>+ABS(D11)</f>
        <v>4</v>
      </c>
      <c r="F11" s="4">
        <f>+E11/B11</f>
        <v>8.130081300813009E-3</v>
      </c>
      <c r="G11" s="3">
        <f>+E11*E11</f>
        <v>16</v>
      </c>
      <c r="I11" s="3">
        <v>1</v>
      </c>
      <c r="J11" s="3">
        <v>492</v>
      </c>
      <c r="K11" s="3">
        <v>495</v>
      </c>
      <c r="L11" s="3">
        <f>+J11-K11</f>
        <v>-3</v>
      </c>
      <c r="M11" s="3">
        <f>+ABS(L11)</f>
        <v>3</v>
      </c>
      <c r="N11" s="4">
        <f>+M11/J11</f>
        <v>6.0975609756097563E-3</v>
      </c>
      <c r="O11" s="3">
        <f>+M11*M11</f>
        <v>9</v>
      </c>
    </row>
    <row r="12" spans="1:15">
      <c r="A12" s="3">
        <v>2</v>
      </c>
      <c r="B12" s="3">
        <v>470</v>
      </c>
      <c r="C12" s="3">
        <v>484</v>
      </c>
      <c r="D12" s="3">
        <f t="shared" ref="D12:D15" si="0">+B12-C12</f>
        <v>-14</v>
      </c>
      <c r="E12" s="3">
        <f t="shared" ref="E12:E16" si="1">+ABS(D12)</f>
        <v>14</v>
      </c>
      <c r="F12" s="4">
        <f t="shared" ref="F12:F15" si="2">+E12/B12</f>
        <v>2.9787234042553193E-2</v>
      </c>
      <c r="G12" s="3">
        <f t="shared" ref="G12:G15" si="3">+E12*E12</f>
        <v>196</v>
      </c>
      <c r="I12" s="3">
        <v>2</v>
      </c>
      <c r="J12" s="3">
        <v>470</v>
      </c>
      <c r="K12" s="3">
        <v>482</v>
      </c>
      <c r="L12" s="3">
        <f t="shared" ref="L12:L15" si="4">+J12-K12</f>
        <v>-12</v>
      </c>
      <c r="M12" s="3">
        <f t="shared" ref="M12:M16" si="5">+ABS(L12)</f>
        <v>12</v>
      </c>
      <c r="N12" s="4">
        <f t="shared" ref="N12:N15" si="6">+M12/J12</f>
        <v>2.553191489361702E-2</v>
      </c>
      <c r="O12" s="3">
        <f t="shared" ref="O12:O15" si="7">+M12*M12</f>
        <v>144</v>
      </c>
    </row>
    <row r="13" spans="1:15">
      <c r="A13" s="3">
        <v>3</v>
      </c>
      <c r="B13" s="3">
        <v>485</v>
      </c>
      <c r="C13" s="3">
        <v>480</v>
      </c>
      <c r="D13" s="3">
        <f t="shared" si="0"/>
        <v>5</v>
      </c>
      <c r="E13" s="3">
        <f t="shared" si="1"/>
        <v>5</v>
      </c>
      <c r="F13" s="4">
        <f t="shared" si="2"/>
        <v>1.0309278350515464E-2</v>
      </c>
      <c r="G13" s="3">
        <f t="shared" si="3"/>
        <v>25</v>
      </c>
      <c r="I13" s="3">
        <v>3</v>
      </c>
      <c r="J13" s="3">
        <v>485</v>
      </c>
      <c r="K13" s="3">
        <v>478</v>
      </c>
      <c r="L13" s="3">
        <f t="shared" si="4"/>
        <v>7</v>
      </c>
      <c r="M13" s="3">
        <f t="shared" si="5"/>
        <v>7</v>
      </c>
      <c r="N13" s="4">
        <f t="shared" si="6"/>
        <v>1.443298969072165E-2</v>
      </c>
      <c r="O13" s="3">
        <f t="shared" si="7"/>
        <v>49</v>
      </c>
    </row>
    <row r="14" spans="1:15">
      <c r="A14" s="3">
        <v>4</v>
      </c>
      <c r="B14" s="3">
        <v>493</v>
      </c>
      <c r="C14" s="3">
        <v>490</v>
      </c>
      <c r="D14" s="3">
        <f t="shared" si="0"/>
        <v>3</v>
      </c>
      <c r="E14" s="3">
        <f t="shared" si="1"/>
        <v>3</v>
      </c>
      <c r="F14" s="4">
        <f t="shared" si="2"/>
        <v>6.0851926977687626E-3</v>
      </c>
      <c r="G14" s="3">
        <f t="shared" si="3"/>
        <v>9</v>
      </c>
      <c r="I14" s="3">
        <v>4</v>
      </c>
      <c r="J14" s="3">
        <v>493</v>
      </c>
      <c r="K14" s="3">
        <v>488</v>
      </c>
      <c r="L14" s="3">
        <f t="shared" si="4"/>
        <v>5</v>
      </c>
      <c r="M14" s="3">
        <f t="shared" si="5"/>
        <v>5</v>
      </c>
      <c r="N14" s="4">
        <f t="shared" si="6"/>
        <v>1.0141987829614604E-2</v>
      </c>
      <c r="O14" s="3">
        <f t="shared" si="7"/>
        <v>25</v>
      </c>
    </row>
    <row r="15" spans="1:15">
      <c r="A15" s="3">
        <v>5</v>
      </c>
      <c r="B15" s="3">
        <v>498</v>
      </c>
      <c r="C15" s="3">
        <v>497</v>
      </c>
      <c r="D15" s="3">
        <f t="shared" si="0"/>
        <v>1</v>
      </c>
      <c r="E15" s="3">
        <f t="shared" si="1"/>
        <v>1</v>
      </c>
      <c r="F15" s="4">
        <f t="shared" si="2"/>
        <v>2.008032128514056E-3</v>
      </c>
      <c r="G15" s="3">
        <f t="shared" si="3"/>
        <v>1</v>
      </c>
      <c r="I15" s="3">
        <v>5</v>
      </c>
      <c r="J15" s="3">
        <v>498</v>
      </c>
      <c r="K15" s="3">
        <v>492</v>
      </c>
      <c r="L15" s="3">
        <f t="shared" si="4"/>
        <v>6</v>
      </c>
      <c r="M15" s="3">
        <f t="shared" si="5"/>
        <v>6</v>
      </c>
      <c r="N15" s="4">
        <f t="shared" si="6"/>
        <v>1.2048192771084338E-2</v>
      </c>
      <c r="O15" s="3">
        <f t="shared" si="7"/>
        <v>36</v>
      </c>
    </row>
    <row r="16" spans="1:15">
      <c r="A16" s="3">
        <v>6</v>
      </c>
      <c r="B16" s="3">
        <v>492</v>
      </c>
      <c r="C16" s="3">
        <v>493</v>
      </c>
      <c r="D16" s="3">
        <f t="shared" ref="D16" si="8">+B16-C16</f>
        <v>-1</v>
      </c>
      <c r="E16" s="3">
        <f t="shared" si="1"/>
        <v>1</v>
      </c>
      <c r="F16" s="4">
        <f t="shared" ref="F16" si="9">+E16/B16</f>
        <v>2.0325203252032522E-3</v>
      </c>
      <c r="G16" s="3">
        <f t="shared" ref="G16" si="10">+E16*E16</f>
        <v>1</v>
      </c>
      <c r="I16" s="3">
        <v>6</v>
      </c>
      <c r="J16" s="3">
        <v>492</v>
      </c>
      <c r="K16" s="3">
        <v>493</v>
      </c>
      <c r="L16" s="3">
        <f t="shared" ref="L16" si="11">+J16-K16</f>
        <v>-1</v>
      </c>
      <c r="M16" s="3">
        <f t="shared" si="5"/>
        <v>1</v>
      </c>
      <c r="N16" s="4">
        <f t="shared" ref="N16" si="12">+M16/J16</f>
        <v>2.0325203252032522E-3</v>
      </c>
      <c r="O16" s="3">
        <f t="shared" ref="O16" si="13">+M16*M16</f>
        <v>1</v>
      </c>
    </row>
    <row r="18" spans="3:16">
      <c r="C18" s="70" t="s">
        <v>42</v>
      </c>
      <c r="D18" s="65">
        <f>+AVERAGE(D11:D16)</f>
        <v>-0.33333333333333331</v>
      </c>
      <c r="E18" s="65"/>
      <c r="F18" s="65"/>
      <c r="G18" s="65"/>
      <c r="K18" s="70" t="s">
        <v>42</v>
      </c>
      <c r="L18" s="65">
        <f>+AVERAGE(L11:L16)</f>
        <v>0.33333333333333331</v>
      </c>
      <c r="M18" s="65"/>
      <c r="N18" s="65"/>
      <c r="O18" s="65"/>
    </row>
    <row r="19" spans="3:16">
      <c r="C19" s="70" t="s">
        <v>43</v>
      </c>
      <c r="D19" s="65"/>
      <c r="E19" s="65">
        <f>+AVERAGE(E11:E16)</f>
        <v>4.666666666666667</v>
      </c>
      <c r="F19" s="65"/>
      <c r="G19" s="65"/>
      <c r="K19" s="70" t="s">
        <v>43</v>
      </c>
      <c r="L19" s="65"/>
      <c r="M19" s="65">
        <f>+AVERAGE(M11:M16)</f>
        <v>5.666666666666667</v>
      </c>
      <c r="N19" s="65"/>
      <c r="O19" s="65"/>
    </row>
    <row r="20" spans="3:16">
      <c r="C20" s="70" t="s">
        <v>44</v>
      </c>
      <c r="D20" s="65"/>
      <c r="E20" s="65"/>
      <c r="F20" s="71">
        <f>+AVERAGE(F11:F16)</f>
        <v>9.7253898075612879E-3</v>
      </c>
      <c r="G20" s="65"/>
      <c r="K20" s="70" t="s">
        <v>44</v>
      </c>
      <c r="L20" s="65"/>
      <c r="M20" s="65"/>
      <c r="N20" s="71">
        <f>+AVERAGE(N11:N16)</f>
        <v>1.1714194414308437E-2</v>
      </c>
      <c r="O20" s="65"/>
    </row>
    <row r="21" spans="3:16">
      <c r="C21" s="70" t="s">
        <v>45</v>
      </c>
      <c r="D21" s="65"/>
      <c r="E21" s="65"/>
      <c r="F21" s="65"/>
      <c r="G21" s="65">
        <f>+AVERAGE(G11:G16)</f>
        <v>41.333333333333336</v>
      </c>
      <c r="K21" s="70" t="s">
        <v>45</v>
      </c>
      <c r="L21" s="65"/>
      <c r="M21" s="65"/>
      <c r="N21" s="65"/>
      <c r="O21" s="65">
        <f>+AVERAGE(O11:O16)</f>
        <v>44</v>
      </c>
    </row>
    <row r="22" spans="3:16">
      <c r="C22" s="70" t="s">
        <v>46</v>
      </c>
      <c r="D22" s="65"/>
      <c r="E22" s="65"/>
      <c r="F22" s="65"/>
      <c r="G22" s="65">
        <f>+SQRT(G21)</f>
        <v>6.4291005073286369</v>
      </c>
      <c r="K22" s="70" t="s">
        <v>46</v>
      </c>
      <c r="L22" s="65"/>
      <c r="M22" s="65"/>
      <c r="N22" s="65"/>
      <c r="O22" s="65">
        <f>+SQRT(O21)</f>
        <v>6.6332495807107996</v>
      </c>
    </row>
    <row r="24" spans="3:16">
      <c r="M24" s="1"/>
    </row>
    <row r="25" spans="3:16">
      <c r="M25" s="1"/>
    </row>
    <row r="26" spans="3:16">
      <c r="M26" s="1"/>
      <c r="P26" s="2"/>
    </row>
    <row r="27" spans="3:16">
      <c r="M27" s="1"/>
    </row>
    <row r="28" spans="3:16">
      <c r="M2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A4B8-C6A7-BD4B-8EEE-8206B4F363D7}">
  <dimension ref="A1:L28"/>
  <sheetViews>
    <sheetView topLeftCell="E10" workbookViewId="0">
      <selection activeCell="K32" sqref="K32"/>
    </sheetView>
  </sheetViews>
  <sheetFormatPr defaultColWidth="11" defaultRowHeight="15.95"/>
  <sheetData>
    <row r="1" spans="1:12">
      <c r="A1" s="65"/>
      <c r="B1" s="65"/>
      <c r="C1" s="65"/>
      <c r="D1" s="80"/>
      <c r="E1" s="155" t="s">
        <v>13</v>
      </c>
      <c r="F1" s="156"/>
      <c r="G1" s="156"/>
      <c r="H1" s="157"/>
      <c r="I1" s="158" t="s">
        <v>47</v>
      </c>
      <c r="J1" s="159"/>
      <c r="K1" s="159"/>
      <c r="L1" s="160"/>
    </row>
    <row r="2" spans="1:12">
      <c r="A2" s="65" t="s">
        <v>15</v>
      </c>
      <c r="B2" s="65" t="s">
        <v>48</v>
      </c>
      <c r="C2" s="65" t="s">
        <v>21</v>
      </c>
      <c r="D2" s="81" t="s">
        <v>37</v>
      </c>
      <c r="E2" s="74" t="s">
        <v>38</v>
      </c>
      <c r="F2" s="3" t="s">
        <v>39</v>
      </c>
      <c r="G2" s="3" t="s">
        <v>40</v>
      </c>
      <c r="H2" s="75" t="s">
        <v>41</v>
      </c>
      <c r="I2" s="72" t="s">
        <v>38</v>
      </c>
      <c r="J2" s="3" t="s">
        <v>39</v>
      </c>
      <c r="K2" s="3" t="s">
        <v>40</v>
      </c>
      <c r="L2" s="6" t="s">
        <v>41</v>
      </c>
    </row>
    <row r="3" spans="1:12">
      <c r="A3" s="65">
        <v>1</v>
      </c>
      <c r="B3" s="65">
        <v>1500</v>
      </c>
      <c r="C3" s="65">
        <f>-300+700*A3</f>
        <v>400</v>
      </c>
      <c r="D3" s="81">
        <f>794.19*A3-1213.5</f>
        <v>-419.30999999999995</v>
      </c>
      <c r="E3" s="74">
        <f>+B3-C3</f>
        <v>1100</v>
      </c>
      <c r="F3" s="3">
        <f>+ABS(E3)</f>
        <v>1100</v>
      </c>
      <c r="G3" s="4">
        <f>+F3/B3</f>
        <v>0.73333333333333328</v>
      </c>
      <c r="H3" s="75">
        <f>+F3*F3</f>
        <v>1210000</v>
      </c>
      <c r="I3" s="72">
        <f>+B3-D3</f>
        <v>1919.31</v>
      </c>
      <c r="J3" s="3">
        <f>+ABS(I3)</f>
        <v>1919.31</v>
      </c>
      <c r="K3" s="4">
        <f>+J3/B3</f>
        <v>1.2795399999999999</v>
      </c>
      <c r="L3" s="6">
        <f>+J3^2</f>
        <v>3683750.8761</v>
      </c>
    </row>
    <row r="4" spans="1:12">
      <c r="A4" s="65">
        <v>2</v>
      </c>
      <c r="B4" s="65">
        <v>1530</v>
      </c>
      <c r="C4" s="65">
        <f>-300+700*A4</f>
        <v>1100</v>
      </c>
      <c r="D4" s="81">
        <f>794.19*A4-1213.5</f>
        <v>374.88000000000011</v>
      </c>
      <c r="E4" s="74">
        <f t="shared" ref="E4:E22" si="0">+B4-C4</f>
        <v>430</v>
      </c>
      <c r="F4" s="3">
        <f t="shared" ref="F4:F22" si="1">+ABS(E4)</f>
        <v>430</v>
      </c>
      <c r="G4" s="4">
        <f t="shared" ref="G4:G22" si="2">+F4/B4</f>
        <v>0.28104575163398693</v>
      </c>
      <c r="H4" s="75">
        <f t="shared" ref="H4:H22" si="3">+F4*F4</f>
        <v>184900</v>
      </c>
      <c r="I4" s="72">
        <f t="shared" ref="I4:I22" si="4">+B4-D4</f>
        <v>1155.1199999999999</v>
      </c>
      <c r="J4" s="3">
        <f t="shared" ref="J4:J22" si="5">+ABS(I4)</f>
        <v>1155.1199999999999</v>
      </c>
      <c r="K4" s="4">
        <f t="shared" ref="K4:K22" si="6">+J4/B4</f>
        <v>0.75498039215686263</v>
      </c>
      <c r="L4" s="6">
        <f t="shared" ref="L4:L22" si="7">+J4^2</f>
        <v>1334302.2143999997</v>
      </c>
    </row>
    <row r="5" spans="1:12">
      <c r="A5" s="65">
        <v>3</v>
      </c>
      <c r="B5" s="65">
        <v>2070</v>
      </c>
      <c r="C5" s="65">
        <f t="shared" ref="C5:C22" si="8">-300+700*A5</f>
        <v>1800</v>
      </c>
      <c r="D5" s="81">
        <f>794.19*A5-1213.5</f>
        <v>1169.0700000000002</v>
      </c>
      <c r="E5" s="74">
        <f t="shared" si="0"/>
        <v>270</v>
      </c>
      <c r="F5" s="3">
        <f t="shared" si="1"/>
        <v>270</v>
      </c>
      <c r="G5" s="4">
        <f t="shared" si="2"/>
        <v>0.13043478260869565</v>
      </c>
      <c r="H5" s="75">
        <f t="shared" si="3"/>
        <v>72900</v>
      </c>
      <c r="I5" s="72">
        <f t="shared" si="4"/>
        <v>900.92999999999984</v>
      </c>
      <c r="J5" s="3">
        <f t="shared" si="5"/>
        <v>900.92999999999984</v>
      </c>
      <c r="K5" s="4">
        <f t="shared" si="6"/>
        <v>0.43523188405797092</v>
      </c>
      <c r="L5" s="6">
        <f t="shared" si="7"/>
        <v>811674.86489999969</v>
      </c>
    </row>
    <row r="6" spans="1:12">
      <c r="A6" s="65">
        <v>4</v>
      </c>
      <c r="B6" s="65">
        <v>420</v>
      </c>
      <c r="C6" s="65">
        <f t="shared" si="8"/>
        <v>2500</v>
      </c>
      <c r="D6" s="81">
        <f t="shared" ref="D5:D21" si="9">794.19*A6-1213.5</f>
        <v>1963.2600000000002</v>
      </c>
      <c r="E6" s="74">
        <f t="shared" si="0"/>
        <v>-2080</v>
      </c>
      <c r="F6" s="3">
        <f t="shared" si="1"/>
        <v>2080</v>
      </c>
      <c r="G6" s="4">
        <f t="shared" si="2"/>
        <v>4.9523809523809526</v>
      </c>
      <c r="H6" s="75">
        <f t="shared" si="3"/>
        <v>4326400</v>
      </c>
      <c r="I6" s="72">
        <f t="shared" si="4"/>
        <v>-1543.2600000000002</v>
      </c>
      <c r="J6" s="3">
        <f t="shared" si="5"/>
        <v>1543.2600000000002</v>
      </c>
      <c r="K6" s="4">
        <f t="shared" si="6"/>
        <v>3.6744285714285718</v>
      </c>
      <c r="L6" s="6">
        <f t="shared" si="7"/>
        <v>2381651.4276000005</v>
      </c>
    </row>
    <row r="7" spans="1:12">
      <c r="A7" s="65">
        <v>5</v>
      </c>
      <c r="B7" s="65">
        <v>2950</v>
      </c>
      <c r="C7" s="65">
        <f t="shared" si="8"/>
        <v>3200</v>
      </c>
      <c r="D7" s="81">
        <f t="shared" si="9"/>
        <v>2757.4500000000003</v>
      </c>
      <c r="E7" s="74">
        <f t="shared" si="0"/>
        <v>-250</v>
      </c>
      <c r="F7" s="3">
        <f t="shared" si="1"/>
        <v>250</v>
      </c>
      <c r="G7" s="4">
        <f t="shared" si="2"/>
        <v>8.4745762711864403E-2</v>
      </c>
      <c r="H7" s="75">
        <f t="shared" si="3"/>
        <v>62500</v>
      </c>
      <c r="I7" s="72">
        <f t="shared" si="4"/>
        <v>192.54999999999973</v>
      </c>
      <c r="J7" s="3">
        <f t="shared" si="5"/>
        <v>192.54999999999973</v>
      </c>
      <c r="K7" s="4">
        <f t="shared" si="6"/>
        <v>6.5271186440677878E-2</v>
      </c>
      <c r="L7" s="6">
        <f t="shared" si="7"/>
        <v>37075.502499999893</v>
      </c>
    </row>
    <row r="8" spans="1:12">
      <c r="A8" s="65">
        <v>6</v>
      </c>
      <c r="B8" s="65">
        <v>3400</v>
      </c>
      <c r="C8" s="65">
        <f t="shared" si="8"/>
        <v>3900</v>
      </c>
      <c r="D8" s="81">
        <f t="shared" si="9"/>
        <v>3551.6400000000003</v>
      </c>
      <c r="E8" s="74">
        <f t="shared" si="0"/>
        <v>-500</v>
      </c>
      <c r="F8" s="3">
        <f t="shared" si="1"/>
        <v>500</v>
      </c>
      <c r="G8" s="4">
        <f t="shared" si="2"/>
        <v>0.14705882352941177</v>
      </c>
      <c r="H8" s="75">
        <f t="shared" si="3"/>
        <v>250000</v>
      </c>
      <c r="I8" s="72">
        <f t="shared" si="4"/>
        <v>-151.64000000000033</v>
      </c>
      <c r="J8" s="3">
        <f t="shared" si="5"/>
        <v>151.64000000000033</v>
      </c>
      <c r="K8" s="4">
        <f t="shared" si="6"/>
        <v>4.4600000000000098E-2</v>
      </c>
      <c r="L8" s="6">
        <f t="shared" si="7"/>
        <v>22994.6896000001</v>
      </c>
    </row>
    <row r="9" spans="1:12">
      <c r="A9" s="65">
        <v>7</v>
      </c>
      <c r="B9" s="65">
        <v>4130</v>
      </c>
      <c r="C9" s="65">
        <f t="shared" si="8"/>
        <v>4600</v>
      </c>
      <c r="D9" s="81">
        <f t="shared" si="9"/>
        <v>4345.83</v>
      </c>
      <c r="E9" s="74">
        <f t="shared" si="0"/>
        <v>-470</v>
      </c>
      <c r="F9" s="3">
        <f t="shared" si="1"/>
        <v>470</v>
      </c>
      <c r="G9" s="4">
        <f t="shared" si="2"/>
        <v>0.11380145278450363</v>
      </c>
      <c r="H9" s="75">
        <f t="shared" si="3"/>
        <v>220900</v>
      </c>
      <c r="I9" s="72">
        <f t="shared" si="4"/>
        <v>-215.82999999999993</v>
      </c>
      <c r="J9" s="3">
        <f t="shared" si="5"/>
        <v>215.82999999999993</v>
      </c>
      <c r="K9" s="4">
        <f t="shared" si="6"/>
        <v>5.2259079903147682E-2</v>
      </c>
      <c r="L9" s="6">
        <f t="shared" si="7"/>
        <v>46582.588899999966</v>
      </c>
    </row>
    <row r="10" spans="1:12">
      <c r="A10" s="65">
        <v>8</v>
      </c>
      <c r="B10" s="65">
        <v>4500</v>
      </c>
      <c r="C10" s="65">
        <f t="shared" si="8"/>
        <v>5300</v>
      </c>
      <c r="D10" s="81">
        <f t="shared" si="9"/>
        <v>5140.0200000000004</v>
      </c>
      <c r="E10" s="74">
        <f t="shared" si="0"/>
        <v>-800</v>
      </c>
      <c r="F10" s="3">
        <f t="shared" si="1"/>
        <v>800</v>
      </c>
      <c r="G10" s="4">
        <f t="shared" si="2"/>
        <v>0.17777777777777778</v>
      </c>
      <c r="H10" s="75">
        <f t="shared" si="3"/>
        <v>640000</v>
      </c>
      <c r="I10" s="72">
        <f t="shared" si="4"/>
        <v>-640.02000000000044</v>
      </c>
      <c r="J10" s="3">
        <f t="shared" si="5"/>
        <v>640.02000000000044</v>
      </c>
      <c r="K10" s="4">
        <f t="shared" si="6"/>
        <v>0.14222666666666675</v>
      </c>
      <c r="L10" s="6">
        <f t="shared" si="7"/>
        <v>409625.60040000058</v>
      </c>
    </row>
    <row r="11" spans="1:12">
      <c r="A11" s="65">
        <v>9</v>
      </c>
      <c r="B11" s="65">
        <v>4900</v>
      </c>
      <c r="C11" s="65">
        <f t="shared" si="8"/>
        <v>6000</v>
      </c>
      <c r="D11" s="81">
        <f t="shared" si="9"/>
        <v>5934.2100000000009</v>
      </c>
      <c r="E11" s="74">
        <f t="shared" si="0"/>
        <v>-1100</v>
      </c>
      <c r="F11" s="3">
        <f t="shared" si="1"/>
        <v>1100</v>
      </c>
      <c r="G11" s="4">
        <f t="shared" si="2"/>
        <v>0.22448979591836735</v>
      </c>
      <c r="H11" s="75">
        <f t="shared" si="3"/>
        <v>1210000</v>
      </c>
      <c r="I11" s="72">
        <f t="shared" si="4"/>
        <v>-1034.2100000000009</v>
      </c>
      <c r="J11" s="3">
        <f t="shared" si="5"/>
        <v>1034.2100000000009</v>
      </c>
      <c r="K11" s="4">
        <f t="shared" si="6"/>
        <v>0.21106326530612265</v>
      </c>
      <c r="L11" s="6">
        <f t="shared" si="7"/>
        <v>1069590.3241000019</v>
      </c>
    </row>
    <row r="12" spans="1:12">
      <c r="A12" s="65">
        <v>10</v>
      </c>
      <c r="B12" s="65">
        <v>5620</v>
      </c>
      <c r="C12" s="65">
        <f t="shared" si="8"/>
        <v>6700</v>
      </c>
      <c r="D12" s="81">
        <f t="shared" si="9"/>
        <v>6728.4000000000005</v>
      </c>
      <c r="E12" s="74">
        <f t="shared" si="0"/>
        <v>-1080</v>
      </c>
      <c r="F12" s="3">
        <f t="shared" si="1"/>
        <v>1080</v>
      </c>
      <c r="G12" s="4">
        <f t="shared" si="2"/>
        <v>0.19217081850533807</v>
      </c>
      <c r="H12" s="75">
        <f t="shared" si="3"/>
        <v>1166400</v>
      </c>
      <c r="I12" s="72">
        <f t="shared" si="4"/>
        <v>-1108.4000000000005</v>
      </c>
      <c r="J12" s="3">
        <f t="shared" si="5"/>
        <v>1108.4000000000005</v>
      </c>
      <c r="K12" s="4">
        <f t="shared" si="6"/>
        <v>0.19722419928825632</v>
      </c>
      <c r="L12" s="6">
        <f t="shared" si="7"/>
        <v>1228550.5600000012</v>
      </c>
    </row>
    <row r="13" spans="1:12">
      <c r="A13" s="65">
        <v>11</v>
      </c>
      <c r="B13" s="65">
        <v>6390</v>
      </c>
      <c r="C13" s="65">
        <f t="shared" si="8"/>
        <v>7400</v>
      </c>
      <c r="D13" s="81">
        <f t="shared" si="9"/>
        <v>7522.59</v>
      </c>
      <c r="E13" s="74">
        <f t="shared" si="0"/>
        <v>-1010</v>
      </c>
      <c r="F13" s="3">
        <f t="shared" si="1"/>
        <v>1010</v>
      </c>
      <c r="G13" s="4">
        <f t="shared" si="2"/>
        <v>0.15805946791862285</v>
      </c>
      <c r="H13" s="75">
        <f t="shared" si="3"/>
        <v>1020100</v>
      </c>
      <c r="I13" s="72">
        <f t="shared" si="4"/>
        <v>-1132.5900000000001</v>
      </c>
      <c r="J13" s="3">
        <f t="shared" si="5"/>
        <v>1132.5900000000001</v>
      </c>
      <c r="K13" s="4">
        <f t="shared" si="6"/>
        <v>0.17724413145539908</v>
      </c>
      <c r="L13" s="6">
        <f t="shared" si="7"/>
        <v>1282760.1081000003</v>
      </c>
    </row>
    <row r="14" spans="1:12">
      <c r="A14" s="65">
        <v>12</v>
      </c>
      <c r="B14" s="65">
        <v>7710</v>
      </c>
      <c r="C14" s="65">
        <f t="shared" si="8"/>
        <v>8100</v>
      </c>
      <c r="D14" s="81">
        <f t="shared" si="9"/>
        <v>8316.7800000000007</v>
      </c>
      <c r="E14" s="74">
        <f t="shared" si="0"/>
        <v>-390</v>
      </c>
      <c r="F14" s="3">
        <f t="shared" si="1"/>
        <v>390</v>
      </c>
      <c r="G14" s="4">
        <f t="shared" si="2"/>
        <v>5.0583657587548639E-2</v>
      </c>
      <c r="H14" s="75">
        <f t="shared" si="3"/>
        <v>152100</v>
      </c>
      <c r="I14" s="72">
        <f t="shared" si="4"/>
        <v>-606.78000000000065</v>
      </c>
      <c r="J14" s="3">
        <f t="shared" si="5"/>
        <v>606.78000000000065</v>
      </c>
      <c r="K14" s="4">
        <f t="shared" si="6"/>
        <v>7.8700389105058458E-2</v>
      </c>
      <c r="L14" s="6">
        <f t="shared" si="7"/>
        <v>368181.96840000077</v>
      </c>
    </row>
    <row r="15" spans="1:12">
      <c r="A15" s="65">
        <v>13</v>
      </c>
      <c r="B15" s="65">
        <v>8390</v>
      </c>
      <c r="C15" s="65">
        <f t="shared" si="8"/>
        <v>8800</v>
      </c>
      <c r="D15" s="81">
        <f t="shared" si="9"/>
        <v>9110.9700000000012</v>
      </c>
      <c r="E15" s="74">
        <f t="shared" si="0"/>
        <v>-410</v>
      </c>
      <c r="F15" s="3">
        <f t="shared" si="1"/>
        <v>410</v>
      </c>
      <c r="G15" s="4">
        <f t="shared" si="2"/>
        <v>4.8867699642431463E-2</v>
      </c>
      <c r="H15" s="75">
        <f t="shared" si="3"/>
        <v>168100</v>
      </c>
      <c r="I15" s="72">
        <f t="shared" si="4"/>
        <v>-720.97000000000116</v>
      </c>
      <c r="J15" s="3">
        <f t="shared" si="5"/>
        <v>720.97000000000116</v>
      </c>
      <c r="K15" s="4">
        <f t="shared" si="6"/>
        <v>8.5932061978546026E-2</v>
      </c>
      <c r="L15" s="6">
        <f t="shared" si="7"/>
        <v>519797.74090000166</v>
      </c>
    </row>
    <row r="16" spans="1:12">
      <c r="A16" s="65">
        <v>14</v>
      </c>
      <c r="B16" s="65">
        <v>9200</v>
      </c>
      <c r="C16" s="65">
        <f t="shared" si="8"/>
        <v>9500</v>
      </c>
      <c r="D16" s="81">
        <f t="shared" si="9"/>
        <v>9905.16</v>
      </c>
      <c r="E16" s="74">
        <f t="shared" si="0"/>
        <v>-300</v>
      </c>
      <c r="F16" s="3">
        <f t="shared" si="1"/>
        <v>300</v>
      </c>
      <c r="G16" s="4">
        <f t="shared" si="2"/>
        <v>3.2608695652173912E-2</v>
      </c>
      <c r="H16" s="75">
        <f t="shared" si="3"/>
        <v>90000</v>
      </c>
      <c r="I16" s="72">
        <f t="shared" si="4"/>
        <v>-705.15999999999985</v>
      </c>
      <c r="J16" s="3">
        <f t="shared" si="5"/>
        <v>705.15999999999985</v>
      </c>
      <c r="K16" s="4">
        <f t="shared" si="6"/>
        <v>7.66478260869565E-2</v>
      </c>
      <c r="L16" s="6">
        <f t="shared" si="7"/>
        <v>497250.6255999998</v>
      </c>
    </row>
    <row r="17" spans="1:12">
      <c r="A17" s="65">
        <v>15</v>
      </c>
      <c r="B17" s="65">
        <v>11700</v>
      </c>
      <c r="C17" s="65">
        <f t="shared" si="8"/>
        <v>10200</v>
      </c>
      <c r="D17" s="81">
        <f t="shared" si="9"/>
        <v>10699.35</v>
      </c>
      <c r="E17" s="74">
        <f t="shared" si="0"/>
        <v>1500</v>
      </c>
      <c r="F17" s="3">
        <f t="shared" si="1"/>
        <v>1500</v>
      </c>
      <c r="G17" s="4">
        <f t="shared" si="2"/>
        <v>0.12820512820512819</v>
      </c>
      <c r="H17" s="75">
        <f t="shared" si="3"/>
        <v>2250000</v>
      </c>
      <c r="I17" s="72">
        <f t="shared" si="4"/>
        <v>1000.6499999999996</v>
      </c>
      <c r="J17" s="3">
        <f t="shared" si="5"/>
        <v>1000.6499999999996</v>
      </c>
      <c r="K17" s="4">
        <f t="shared" si="6"/>
        <v>8.5525641025640989E-2</v>
      </c>
      <c r="L17" s="6">
        <f t="shared" si="7"/>
        <v>1001300.4224999993</v>
      </c>
    </row>
    <row r="18" spans="1:12">
      <c r="A18" s="65">
        <v>16</v>
      </c>
      <c r="B18" s="65">
        <v>11800</v>
      </c>
      <c r="C18" s="65">
        <f t="shared" si="8"/>
        <v>10900</v>
      </c>
      <c r="D18" s="81">
        <f t="shared" si="9"/>
        <v>11493.54</v>
      </c>
      <c r="E18" s="74">
        <f t="shared" si="0"/>
        <v>900</v>
      </c>
      <c r="F18" s="3">
        <f t="shared" si="1"/>
        <v>900</v>
      </c>
      <c r="G18" s="4">
        <f t="shared" si="2"/>
        <v>7.6271186440677971E-2</v>
      </c>
      <c r="H18" s="75">
        <f t="shared" si="3"/>
        <v>810000</v>
      </c>
      <c r="I18" s="72">
        <f t="shared" si="4"/>
        <v>306.45999999999913</v>
      </c>
      <c r="J18" s="3">
        <f t="shared" si="5"/>
        <v>306.45999999999913</v>
      </c>
      <c r="K18" s="4">
        <f t="shared" si="6"/>
        <v>2.5971186440677894E-2</v>
      </c>
      <c r="L18" s="6">
        <f t="shared" si="7"/>
        <v>93917.731599999461</v>
      </c>
    </row>
    <row r="19" spans="1:12">
      <c r="A19" s="65">
        <v>17</v>
      </c>
      <c r="B19" s="65">
        <v>12600</v>
      </c>
      <c r="C19" s="65">
        <f t="shared" si="8"/>
        <v>11600</v>
      </c>
      <c r="D19" s="81">
        <f t="shared" si="9"/>
        <v>12287.730000000001</v>
      </c>
      <c r="E19" s="74">
        <f t="shared" si="0"/>
        <v>1000</v>
      </c>
      <c r="F19" s="3">
        <f t="shared" si="1"/>
        <v>1000</v>
      </c>
      <c r="G19" s="4">
        <f t="shared" si="2"/>
        <v>7.9365079365079361E-2</v>
      </c>
      <c r="H19" s="75">
        <f t="shared" si="3"/>
        <v>1000000</v>
      </c>
      <c r="I19" s="72">
        <f t="shared" si="4"/>
        <v>312.26999999999862</v>
      </c>
      <c r="J19" s="3">
        <f t="shared" si="5"/>
        <v>312.26999999999862</v>
      </c>
      <c r="K19" s="4">
        <f t="shared" si="6"/>
        <v>2.4783333333333223E-2</v>
      </c>
      <c r="L19" s="6">
        <f t="shared" si="7"/>
        <v>97512.552899999137</v>
      </c>
    </row>
    <row r="20" spans="1:12">
      <c r="A20" s="65">
        <v>18</v>
      </c>
      <c r="B20" s="65">
        <v>13400</v>
      </c>
      <c r="C20" s="65">
        <f t="shared" si="8"/>
        <v>12300</v>
      </c>
      <c r="D20" s="81">
        <f t="shared" si="9"/>
        <v>13081.920000000002</v>
      </c>
      <c r="E20" s="74">
        <f t="shared" si="0"/>
        <v>1100</v>
      </c>
      <c r="F20" s="3">
        <f t="shared" si="1"/>
        <v>1100</v>
      </c>
      <c r="G20" s="4">
        <f t="shared" si="2"/>
        <v>8.2089552238805971E-2</v>
      </c>
      <c r="H20" s="75">
        <f t="shared" si="3"/>
        <v>1210000</v>
      </c>
      <c r="I20" s="72">
        <f t="shared" si="4"/>
        <v>318.07999999999811</v>
      </c>
      <c r="J20" s="3">
        <f t="shared" si="5"/>
        <v>318.07999999999811</v>
      </c>
      <c r="K20" s="4">
        <f t="shared" si="6"/>
        <v>2.373731343283568E-2</v>
      </c>
      <c r="L20" s="6">
        <f t="shared" si="7"/>
        <v>101174.8863999988</v>
      </c>
    </row>
    <row r="21" spans="1:12">
      <c r="A21" s="65">
        <v>19</v>
      </c>
      <c r="B21" s="65">
        <v>14700</v>
      </c>
      <c r="C21" s="65">
        <f t="shared" si="8"/>
        <v>13000</v>
      </c>
      <c r="D21" s="81">
        <f t="shared" si="9"/>
        <v>13876.11</v>
      </c>
      <c r="E21" s="74">
        <f t="shared" si="0"/>
        <v>1700</v>
      </c>
      <c r="F21" s="3">
        <f t="shared" si="1"/>
        <v>1700</v>
      </c>
      <c r="G21" s="4">
        <f t="shared" si="2"/>
        <v>0.11564625850340136</v>
      </c>
      <c r="H21" s="75">
        <f t="shared" si="3"/>
        <v>2890000</v>
      </c>
      <c r="I21" s="72">
        <f t="shared" si="4"/>
        <v>823.88999999999942</v>
      </c>
      <c r="J21" s="3">
        <f t="shared" si="5"/>
        <v>823.88999999999942</v>
      </c>
      <c r="K21" s="4">
        <f t="shared" si="6"/>
        <v>5.6046938775510168E-2</v>
      </c>
      <c r="L21" s="6">
        <f t="shared" si="7"/>
        <v>678794.73209999909</v>
      </c>
    </row>
    <row r="22" spans="1:12" ht="17.100000000000001" thickBot="1">
      <c r="A22" s="65">
        <v>20</v>
      </c>
      <c r="B22" s="65">
        <v>15600</v>
      </c>
      <c r="C22" s="65">
        <f t="shared" si="8"/>
        <v>13700</v>
      </c>
      <c r="D22" s="81">
        <f>794.19*A22-1213.5</f>
        <v>14670.300000000001</v>
      </c>
      <c r="E22" s="76">
        <f t="shared" si="0"/>
        <v>1900</v>
      </c>
      <c r="F22" s="77">
        <f t="shared" si="1"/>
        <v>1900</v>
      </c>
      <c r="G22" s="78">
        <f t="shared" si="2"/>
        <v>0.12179487179487179</v>
      </c>
      <c r="H22" s="79">
        <f t="shared" si="3"/>
        <v>3610000</v>
      </c>
      <c r="I22" s="73">
        <f t="shared" si="4"/>
        <v>929.69999999999891</v>
      </c>
      <c r="J22" s="7">
        <f t="shared" si="5"/>
        <v>929.69999999999891</v>
      </c>
      <c r="K22" s="8">
        <f t="shared" si="6"/>
        <v>5.9596153846153778E-2</v>
      </c>
      <c r="L22" s="9">
        <f t="shared" si="7"/>
        <v>864342.08999999799</v>
      </c>
    </row>
    <row r="24" spans="1:12">
      <c r="D24" s="70" t="s">
        <v>42</v>
      </c>
      <c r="E24" s="65">
        <f>+AVERAGE(E3:E22)</f>
        <v>75.5</v>
      </c>
      <c r="F24" s="65"/>
      <c r="G24" s="65"/>
      <c r="H24" s="80"/>
      <c r="I24" s="65">
        <f>+AVERAGE(I3:I22)</f>
        <v>4.9999999994497554E-3</v>
      </c>
      <c r="J24" s="65"/>
      <c r="K24" s="65"/>
      <c r="L24" s="65"/>
    </row>
    <row r="25" spans="1:12">
      <c r="D25" s="70" t="s">
        <v>43</v>
      </c>
      <c r="E25" s="65"/>
      <c r="F25" s="65">
        <f>+AVERAGE(F3:F22)</f>
        <v>914.5</v>
      </c>
      <c r="G25" s="65"/>
      <c r="H25" s="80"/>
      <c r="I25" s="65"/>
      <c r="J25" s="65">
        <f>+AVERAGE(J3:J22)</f>
        <v>785.89099999999985</v>
      </c>
      <c r="K25" s="65"/>
      <c r="L25" s="65"/>
    </row>
    <row r="26" spans="1:12">
      <c r="D26" s="70" t="s">
        <v>44</v>
      </c>
      <c r="E26" s="65"/>
      <c r="F26" s="65"/>
      <c r="G26" s="71">
        <f>+AVERAGE(G3:G22)</f>
        <v>0.3965365424266486</v>
      </c>
      <c r="H26" s="80"/>
      <c r="I26" s="65"/>
      <c r="J26" s="65"/>
      <c r="K26" s="71">
        <f>+AVERAGE(K3:K22)</f>
        <v>0.37755051103641951</v>
      </c>
      <c r="L26" s="65"/>
    </row>
    <row r="27" spans="1:12">
      <c r="D27" s="70" t="s">
        <v>45</v>
      </c>
      <c r="E27" s="65"/>
      <c r="F27" s="65"/>
      <c r="G27" s="65"/>
      <c r="H27" s="80">
        <f>+AVERAGE(H3:H22)</f>
        <v>1127215</v>
      </c>
      <c r="I27" s="65"/>
      <c r="J27" s="65"/>
      <c r="K27" s="65"/>
      <c r="L27" s="65">
        <f>+AVERAGE(L3:L22)</f>
        <v>826541.57535000006</v>
      </c>
    </row>
    <row r="28" spans="1:12">
      <c r="D28" s="70" t="s">
        <v>46</v>
      </c>
      <c r="E28" s="65"/>
      <c r="F28" s="65"/>
      <c r="G28" s="65"/>
      <c r="H28" s="80">
        <f>+SQRT(H27)</f>
        <v>1061.7038193394615</v>
      </c>
      <c r="I28" s="65"/>
      <c r="J28" s="65"/>
      <c r="K28" s="65"/>
      <c r="L28" s="65">
        <f>+SQRT(L27)</f>
        <v>909.1433194771879</v>
      </c>
    </row>
  </sheetData>
  <mergeCells count="2">
    <mergeCell ref="E1:H1"/>
    <mergeCell ref="I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8248-8D0D-0347-BC10-2B51C37E581B}">
  <dimension ref="A1:AF47"/>
  <sheetViews>
    <sheetView zoomScale="65" workbookViewId="0">
      <selection activeCell="L5" sqref="L5"/>
    </sheetView>
  </sheetViews>
  <sheetFormatPr defaultColWidth="11" defaultRowHeight="15.95"/>
  <cols>
    <col min="1" max="2" width="11.375" bestFit="1" customWidth="1"/>
    <col min="3" max="3" width="17.5" bestFit="1" customWidth="1"/>
    <col min="4" max="4" width="11.375" bestFit="1" customWidth="1"/>
    <col min="5" max="6" width="14.5" bestFit="1" customWidth="1"/>
    <col min="7" max="8" width="14.625" bestFit="1" customWidth="1"/>
    <col min="9" max="9" width="13" bestFit="1" customWidth="1"/>
    <col min="10" max="10" width="13.5" customWidth="1"/>
    <col min="11" max="12" width="11.375" bestFit="1" customWidth="1"/>
    <col min="13" max="13" width="15.125" bestFit="1" customWidth="1"/>
    <col min="14" max="17" width="11.375" bestFit="1" customWidth="1"/>
    <col min="18" max="18" width="16.375" bestFit="1" customWidth="1"/>
    <col min="19" max="19" width="13.625" bestFit="1" customWidth="1"/>
    <col min="20" max="23" width="11.375" bestFit="1" customWidth="1"/>
    <col min="24" max="24" width="13" bestFit="1" customWidth="1"/>
    <col min="25" max="28" width="11.125" bestFit="1" customWidth="1"/>
    <col min="29" max="29" width="12" bestFit="1" customWidth="1"/>
    <col min="30" max="32" width="11.125" bestFit="1" customWidth="1"/>
  </cols>
  <sheetData>
    <row r="1" spans="1:17">
      <c r="A1" s="92" t="s">
        <v>49</v>
      </c>
      <c r="B1" s="93" t="s">
        <v>50</v>
      </c>
      <c r="C1" s="93" t="s">
        <v>51</v>
      </c>
      <c r="D1" s="95" t="s">
        <v>52</v>
      </c>
      <c r="E1" s="93" t="s">
        <v>53</v>
      </c>
      <c r="F1" s="93" t="s">
        <v>54</v>
      </c>
      <c r="G1" s="93" t="s">
        <v>55</v>
      </c>
      <c r="H1" s="125" t="s">
        <v>56</v>
      </c>
      <c r="I1" s="125" t="s">
        <v>57</v>
      </c>
      <c r="J1" s="135" t="s">
        <v>58</v>
      </c>
    </row>
    <row r="2" spans="1:17">
      <c r="A2" s="96"/>
      <c r="D2" s="97"/>
      <c r="F2">
        <f>+AVERAGE(D3:D17)</f>
        <v>282.90666666666669</v>
      </c>
      <c r="H2" s="82"/>
      <c r="I2" s="82"/>
      <c r="J2" s="136"/>
    </row>
    <row r="3" spans="1:17">
      <c r="A3" s="96">
        <v>2006</v>
      </c>
      <c r="B3">
        <v>666.6</v>
      </c>
      <c r="C3">
        <v>145</v>
      </c>
      <c r="D3" s="97">
        <v>165</v>
      </c>
      <c r="E3" s="11">
        <f>15.198*A3-30311</f>
        <v>176.18800000000192</v>
      </c>
      <c r="F3" s="17">
        <f>+$L$5*D4+(1-$L$5)*F2</f>
        <v>261.62369934640333</v>
      </c>
      <c r="G3" s="12">
        <f>0.6068*C3+0.1553*B3-4.938</f>
        <v>186.57098000000002</v>
      </c>
      <c r="H3" s="84">
        <f>+B3*$L$7+C3*$K$7+$M$7</f>
        <v>208.81553070314953</v>
      </c>
      <c r="I3" s="137">
        <f>+$L$11*B3+$K$11</f>
        <v>302.9729006104327</v>
      </c>
      <c r="J3" s="138">
        <f>+$L$13*C3+$K$13</f>
        <v>188.41209855792061</v>
      </c>
    </row>
    <row r="4" spans="1:17">
      <c r="A4" s="96">
        <v>2007</v>
      </c>
      <c r="B4">
        <v>533.79999999999995</v>
      </c>
      <c r="C4">
        <v>157.5</v>
      </c>
      <c r="D4" s="97">
        <v>202</v>
      </c>
      <c r="E4" s="11">
        <f t="shared" ref="E4:E22" si="0">15.198*A4-30311</f>
        <v>191.38600000000224</v>
      </c>
      <c r="F4" s="17">
        <f t="shared" ref="F3:F22" si="1">+$L$5*D5+(1-$L$5)*F3</f>
        <v>245.80781196551786</v>
      </c>
      <c r="G4" s="12">
        <f t="shared" ref="G4:G21" si="2">0.6068*C4+0.1553*B4-4.938</f>
        <v>173.53214</v>
      </c>
      <c r="H4" s="84">
        <f t="shared" ref="H3:H22" si="3">+B4*$L$7+C4*$K$7+$M$7</f>
        <v>191.29886186844431</v>
      </c>
      <c r="I4" s="137">
        <f t="shared" ref="I3:I22" si="4">+$L$11*B4+$K$11</f>
        <v>251.38955048011672</v>
      </c>
      <c r="J4" s="138">
        <f t="shared" ref="J3:J22" si="5">+$L$13*C4+$K$13</f>
        <v>195.99674390055327</v>
      </c>
    </row>
    <row r="5" spans="1:17">
      <c r="A5" s="96">
        <v>2008</v>
      </c>
      <c r="B5">
        <v>432</v>
      </c>
      <c r="C5">
        <v>167.5</v>
      </c>
      <c r="D5" s="97">
        <v>201.5</v>
      </c>
      <c r="E5" s="11">
        <f t="shared" si="0"/>
        <v>206.58400000000256</v>
      </c>
      <c r="F5" s="17">
        <f t="shared" si="1"/>
        <v>240.59725229081403</v>
      </c>
      <c r="G5" s="12">
        <f t="shared" si="2"/>
        <v>163.79059999999998</v>
      </c>
      <c r="H5" s="84">
        <f t="shared" si="3"/>
        <v>178.09528713331474</v>
      </c>
      <c r="I5" s="137">
        <f t="shared" si="4"/>
        <v>211.84749443142579</v>
      </c>
      <c r="J5" s="138">
        <f t="shared" si="5"/>
        <v>202.06446017465942</v>
      </c>
      <c r="K5" s="5" t="s">
        <v>33</v>
      </c>
      <c r="L5" s="5">
        <v>0.26305579252138306</v>
      </c>
    </row>
    <row r="6" spans="1:17">
      <c r="A6" s="96">
        <v>2009</v>
      </c>
      <c r="B6">
        <v>612</v>
      </c>
      <c r="C6">
        <v>172.3</v>
      </c>
      <c r="D6" s="97">
        <v>226</v>
      </c>
      <c r="E6" s="11">
        <f t="shared" si="0"/>
        <v>221.78199999999924</v>
      </c>
      <c r="F6" s="17">
        <f t="shared" si="1"/>
        <v>234.12680259560554</v>
      </c>
      <c r="G6" s="12">
        <f t="shared" si="2"/>
        <v>194.65724</v>
      </c>
      <c r="H6" s="84">
        <f t="shared" si="3"/>
        <v>213.49743359560458</v>
      </c>
      <c r="I6" s="137">
        <f t="shared" si="4"/>
        <v>281.76468587311899</v>
      </c>
      <c r="J6" s="138">
        <f t="shared" si="5"/>
        <v>204.97696398623034</v>
      </c>
      <c r="K6" s="19" t="s">
        <v>59</v>
      </c>
      <c r="L6" s="19" t="s">
        <v>60</v>
      </c>
      <c r="M6" s="19" t="s">
        <v>61</v>
      </c>
    </row>
    <row r="7" spans="1:17">
      <c r="A7" s="96">
        <v>2010</v>
      </c>
      <c r="B7">
        <v>556</v>
      </c>
      <c r="C7">
        <v>197.8</v>
      </c>
      <c r="D7" s="97">
        <v>216</v>
      </c>
      <c r="E7" s="11">
        <f t="shared" si="0"/>
        <v>236.97999999999956</v>
      </c>
      <c r="F7" s="17">
        <f t="shared" si="1"/>
        <v>249.21915450830431</v>
      </c>
      <c r="G7" s="12">
        <f t="shared" si="2"/>
        <v>201.43384000000003</v>
      </c>
      <c r="H7" s="84">
        <f t="shared" si="3"/>
        <v>216.95874732757125</v>
      </c>
      <c r="I7" s="137">
        <f t="shared" si="4"/>
        <v>260.01267075792555</v>
      </c>
      <c r="J7" s="138">
        <f t="shared" si="5"/>
        <v>220.44964048520097</v>
      </c>
      <c r="K7" s="19" cm="1">
        <f t="array" ref="K7:M7">+LINEST(D3:D17,B3:C17)</f>
        <v>0.53625518104104575</v>
      </c>
      <c r="L7" s="19">
        <v>0.1823784532960713</v>
      </c>
      <c r="M7" s="19">
        <v>9.4850524850367606</v>
      </c>
      <c r="O7" s="19" cm="1">
        <f t="array" ref="O7:Q11">+LINEST(D3:D17,B3:C17,1,1)</f>
        <v>0.53625518104104575</v>
      </c>
      <c r="P7" s="19">
        <v>0.1823784532960713</v>
      </c>
      <c r="Q7" s="19">
        <v>9.4850524850367606</v>
      </c>
    </row>
    <row r="8" spans="1:17">
      <c r="A8" s="96">
        <v>2011</v>
      </c>
      <c r="B8">
        <v>792</v>
      </c>
      <c r="C8">
        <v>237.4</v>
      </c>
      <c r="D8" s="97">
        <v>291.5</v>
      </c>
      <c r="E8" s="11">
        <f t="shared" si="0"/>
        <v>252.17799999999988</v>
      </c>
      <c r="F8" s="17">
        <f t="shared" si="1"/>
        <v>262.13015521674185</v>
      </c>
      <c r="G8" s="12">
        <f t="shared" si="2"/>
        <v>262.11392000000001</v>
      </c>
      <c r="H8" s="84">
        <f t="shared" si="3"/>
        <v>281.2357674746695</v>
      </c>
      <c r="I8" s="137">
        <f t="shared" si="4"/>
        <v>351.68187731481225</v>
      </c>
      <c r="J8" s="138">
        <f t="shared" si="5"/>
        <v>244.47779693066121</v>
      </c>
      <c r="O8">
        <v>5.7053445735956457E-2</v>
      </c>
      <c r="P8">
        <v>5.6875391815215733E-2</v>
      </c>
      <c r="Q8">
        <v>32.980351088307529</v>
      </c>
    </row>
    <row r="9" spans="1:17">
      <c r="A9" s="96">
        <v>2012</v>
      </c>
      <c r="B9">
        <v>581.5</v>
      </c>
      <c r="C9">
        <v>316.5</v>
      </c>
      <c r="D9" s="97">
        <v>298.3</v>
      </c>
      <c r="E9" s="11">
        <f t="shared" si="0"/>
        <v>267.3760000000002</v>
      </c>
      <c r="F9" s="17">
        <f t="shared" si="1"/>
        <v>274.82781749108597</v>
      </c>
      <c r="G9" s="12">
        <f t="shared" si="2"/>
        <v>277.42115000000001</v>
      </c>
      <c r="H9" s="84">
        <f t="shared" si="3"/>
        <v>285.26288787619319</v>
      </c>
      <c r="I9" s="137">
        <f t="shared" si="4"/>
        <v>269.91760621216542</v>
      </c>
      <c r="J9" s="138">
        <f t="shared" si="5"/>
        <v>292.47343265884069</v>
      </c>
      <c r="N9" t="s">
        <v>62</v>
      </c>
      <c r="O9" s="19">
        <v>0.92264281660871039</v>
      </c>
      <c r="P9">
        <v>22.13647783323232</v>
      </c>
      <c r="Q9" t="e">
        <v>#N/A</v>
      </c>
    </row>
    <row r="10" spans="1:17">
      <c r="A10" s="96">
        <v>2013</v>
      </c>
      <c r="B10">
        <v>611.29999999999995</v>
      </c>
      <c r="C10">
        <v>321.7</v>
      </c>
      <c r="D10" s="97">
        <v>310.39999999999998</v>
      </c>
      <c r="E10" s="11">
        <f t="shared" si="0"/>
        <v>282.57400000000052</v>
      </c>
      <c r="F10" s="17">
        <f t="shared" si="1"/>
        <v>270.08549567353754</v>
      </c>
      <c r="G10" s="12">
        <f t="shared" si="2"/>
        <v>285.20445000000001</v>
      </c>
      <c r="H10" s="84">
        <f t="shared" si="3"/>
        <v>293.48629272582951</v>
      </c>
      <c r="I10" s="137">
        <f t="shared" si="4"/>
        <v>281.49278568417913</v>
      </c>
      <c r="J10" s="138">
        <f t="shared" si="5"/>
        <v>295.62864512137583</v>
      </c>
      <c r="K10" s="19" t="s">
        <v>63</v>
      </c>
      <c r="L10" s="19" t="s">
        <v>64</v>
      </c>
      <c r="O10">
        <v>71.562286228166968</v>
      </c>
      <c r="P10">
        <v>12</v>
      </c>
      <c r="Q10" t="e">
        <v>#N/A</v>
      </c>
    </row>
    <row r="11" spans="1:17">
      <c r="A11" s="96">
        <v>2014</v>
      </c>
      <c r="B11">
        <v>426</v>
      </c>
      <c r="C11">
        <v>350.9</v>
      </c>
      <c r="D11" s="97">
        <v>256.8</v>
      </c>
      <c r="E11" s="11">
        <f t="shared" si="0"/>
        <v>297.77200000000084</v>
      </c>
      <c r="F11" s="17">
        <f t="shared" si="1"/>
        <v>278.87537459084433</v>
      </c>
      <c r="G11" s="12">
        <f t="shared" si="2"/>
        <v>274.14591999999999</v>
      </c>
      <c r="H11" s="84">
        <f t="shared" si="3"/>
        <v>275.35021661646607</v>
      </c>
      <c r="I11" s="137">
        <f t="shared" si="4"/>
        <v>209.51692138336935</v>
      </c>
      <c r="J11" s="138">
        <f t="shared" si="5"/>
        <v>313.34637664176569</v>
      </c>
      <c r="K11" s="19">
        <f>+INTERCEPT(D3:D17,B3:B17)</f>
        <v>44.046234971361997</v>
      </c>
      <c r="L11" s="19">
        <f>+SLOPE(D3:D17,B3:B17)</f>
        <v>0.38842884134274025</v>
      </c>
      <c r="O11">
        <v>70134.425522999081</v>
      </c>
      <c r="P11">
        <v>5880.2838103342301</v>
      </c>
      <c r="Q11" t="e">
        <v>#N/A</v>
      </c>
    </row>
    <row r="12" spans="1:17">
      <c r="A12" s="96">
        <v>2015</v>
      </c>
      <c r="B12">
        <v>559</v>
      </c>
      <c r="C12">
        <v>364</v>
      </c>
      <c r="D12" s="97">
        <v>303.5</v>
      </c>
      <c r="E12" s="11">
        <f t="shared" si="0"/>
        <v>312.97000000000116</v>
      </c>
      <c r="F12" s="17">
        <f t="shared" si="1"/>
        <v>288.24663866112718</v>
      </c>
      <c r="G12" s="12">
        <f t="shared" si="2"/>
        <v>302.74990000000003</v>
      </c>
      <c r="H12" s="84">
        <f t="shared" si="3"/>
        <v>306.63149377648125</v>
      </c>
      <c r="I12" s="137">
        <f t="shared" si="4"/>
        <v>261.17795728195381</v>
      </c>
      <c r="J12" s="138">
        <f t="shared" si="5"/>
        <v>321.29508496084475</v>
      </c>
      <c r="K12" s="19" t="s">
        <v>65</v>
      </c>
      <c r="L12" s="19" t="s">
        <v>66</v>
      </c>
    </row>
    <row r="13" spans="1:17">
      <c r="A13" s="96">
        <v>2016</v>
      </c>
      <c r="B13">
        <v>667.5</v>
      </c>
      <c r="C13">
        <v>366</v>
      </c>
      <c r="D13" s="97">
        <v>314.5</v>
      </c>
      <c r="E13" s="11">
        <f t="shared" si="0"/>
        <v>328.16800000000148</v>
      </c>
      <c r="F13" s="17">
        <f t="shared" si="1"/>
        <v>291.70670655244453</v>
      </c>
      <c r="G13" s="12">
        <f t="shared" si="2"/>
        <v>320.81355000000002</v>
      </c>
      <c r="H13" s="84">
        <f t="shared" si="3"/>
        <v>327.49206632118711</v>
      </c>
      <c r="I13" s="137">
        <f t="shared" si="4"/>
        <v>303.32248656764114</v>
      </c>
      <c r="J13" s="138">
        <f t="shared" si="5"/>
        <v>322.50862821566602</v>
      </c>
      <c r="K13" s="19">
        <f>+INTERCEPT(D3:D17,C3:C17)</f>
        <v>100.4302125833818</v>
      </c>
      <c r="L13" s="19">
        <f>+SLOPE(D3:D17,C3:C17)</f>
        <v>0.60677162741061252</v>
      </c>
    </row>
    <row r="14" spans="1:17">
      <c r="A14" s="96">
        <v>2017</v>
      </c>
      <c r="B14">
        <v>554.29999999999995</v>
      </c>
      <c r="C14">
        <v>371.4</v>
      </c>
      <c r="D14" s="97">
        <v>301.39999999999998</v>
      </c>
      <c r="E14" s="11">
        <f t="shared" si="0"/>
        <v>343.3660000000018</v>
      </c>
      <c r="F14" s="17">
        <f t="shared" si="1"/>
        <v>301.38539551976305</v>
      </c>
      <c r="G14" s="12">
        <f t="shared" si="2"/>
        <v>306.51031</v>
      </c>
      <c r="H14" s="84">
        <f t="shared" si="3"/>
        <v>309.74260338569343</v>
      </c>
      <c r="I14" s="137">
        <f t="shared" si="4"/>
        <v>259.35234172764291</v>
      </c>
      <c r="J14" s="138">
        <f t="shared" si="5"/>
        <v>325.78519500368327</v>
      </c>
    </row>
    <row r="15" spans="1:17">
      <c r="A15" s="96">
        <v>2018</v>
      </c>
      <c r="B15">
        <v>693</v>
      </c>
      <c r="C15">
        <v>413</v>
      </c>
      <c r="D15" s="97">
        <v>328.5</v>
      </c>
      <c r="E15" s="11">
        <f t="shared" si="0"/>
        <v>358.56400000000212</v>
      </c>
      <c r="F15" s="17">
        <f t="shared" si="1"/>
        <v>324.56445263401997</v>
      </c>
      <c r="G15" s="12">
        <f t="shared" si="2"/>
        <v>353.29329999999999</v>
      </c>
      <c r="H15" s="84">
        <f t="shared" si="3"/>
        <v>357.34671038916605</v>
      </c>
      <c r="I15" s="137">
        <f t="shared" si="4"/>
        <v>313.22742202188101</v>
      </c>
      <c r="J15" s="138">
        <f t="shared" si="5"/>
        <v>351.02689470396479</v>
      </c>
    </row>
    <row r="16" spans="1:17">
      <c r="A16" s="96">
        <v>2019</v>
      </c>
      <c r="B16">
        <v>763.9</v>
      </c>
      <c r="C16">
        <v>456.2</v>
      </c>
      <c r="D16" s="97">
        <v>389.5</v>
      </c>
      <c r="E16" s="11">
        <f t="shared" si="0"/>
        <v>373.76200000000244</v>
      </c>
      <c r="F16" s="17">
        <f t="shared" si="1"/>
        <v>354.58846950123973</v>
      </c>
      <c r="G16" s="12">
        <f t="shared" si="2"/>
        <v>390.51783</v>
      </c>
      <c r="H16" s="84">
        <f t="shared" si="3"/>
        <v>393.44356654883069</v>
      </c>
      <c r="I16" s="137">
        <f t="shared" si="4"/>
        <v>340.76702687308125</v>
      </c>
      <c r="J16" s="138">
        <f t="shared" si="5"/>
        <v>377.23942900810323</v>
      </c>
    </row>
    <row r="17" spans="1:32" ht="15.95" customHeight="1">
      <c r="A17" s="96">
        <v>2020</v>
      </c>
      <c r="B17">
        <v>775.2</v>
      </c>
      <c r="C17">
        <v>473.8</v>
      </c>
      <c r="D17" s="97">
        <v>438.7</v>
      </c>
      <c r="E17" s="11">
        <f t="shared" si="0"/>
        <v>388.95999999999913</v>
      </c>
      <c r="F17" s="17">
        <f t="shared" si="1"/>
        <v>261.31191863764684</v>
      </c>
      <c r="G17" s="12">
        <f t="shared" si="2"/>
        <v>402.95240000000001</v>
      </c>
      <c r="H17" s="84">
        <f t="shared" si="3"/>
        <v>404.94253425739868</v>
      </c>
      <c r="I17" s="137">
        <f t="shared" si="4"/>
        <v>345.15627278025431</v>
      </c>
      <c r="J17" s="138">
        <f t="shared" si="5"/>
        <v>387.91860965053002</v>
      </c>
    </row>
    <row r="18" spans="1:32">
      <c r="A18" s="96">
        <v>2021</v>
      </c>
      <c r="B18" s="130">
        <v>640</v>
      </c>
      <c r="C18" s="130">
        <v>485</v>
      </c>
      <c r="D18" s="97"/>
      <c r="E18" s="11">
        <f t="shared" si="0"/>
        <v>404.15799999999945</v>
      </c>
      <c r="F18" s="17">
        <f t="shared" si="1"/>
        <v>192.5723047851375</v>
      </c>
      <c r="G18" s="12">
        <f t="shared" si="2"/>
        <v>388.75200000000001</v>
      </c>
      <c r="H18" s="84">
        <f t="shared" si="3"/>
        <v>386.29102539942954</v>
      </c>
      <c r="I18" s="137">
        <f t="shared" si="4"/>
        <v>292.64069343071571</v>
      </c>
      <c r="J18" s="138">
        <f t="shared" si="5"/>
        <v>394.71445187752886</v>
      </c>
    </row>
    <row r="19" spans="1:32">
      <c r="A19" s="96">
        <v>2022</v>
      </c>
      <c r="B19" s="130">
        <v>790</v>
      </c>
      <c r="C19" s="130">
        <v>510</v>
      </c>
      <c r="D19" s="97"/>
      <c r="E19" s="11">
        <f t="shared" si="0"/>
        <v>419.35599999999977</v>
      </c>
      <c r="F19" s="17">
        <f t="shared" si="1"/>
        <v>141.91504453221384</v>
      </c>
      <c r="G19" s="12">
        <f t="shared" si="2"/>
        <v>427.21700000000004</v>
      </c>
      <c r="H19" s="84">
        <f t="shared" si="3"/>
        <v>427.0541729198664</v>
      </c>
      <c r="I19" s="137">
        <f t="shared" si="4"/>
        <v>350.90501963212682</v>
      </c>
      <c r="J19" s="138">
        <f t="shared" si="5"/>
        <v>409.88374256279417</v>
      </c>
    </row>
    <row r="20" spans="1:32">
      <c r="A20" s="96">
        <v>2023</v>
      </c>
      <c r="B20" s="130">
        <v>840</v>
      </c>
      <c r="C20" s="130">
        <v>574.70000000000005</v>
      </c>
      <c r="D20" s="97"/>
      <c r="E20" s="11">
        <f t="shared" si="0"/>
        <v>434.55400000000009</v>
      </c>
      <c r="F20" s="17">
        <f t="shared" si="1"/>
        <v>104.58347002208497</v>
      </c>
      <c r="G20" s="12">
        <f t="shared" si="2"/>
        <v>474.24196000000006</v>
      </c>
      <c r="H20" s="84">
        <f t="shared" si="3"/>
        <v>470.86880579802568</v>
      </c>
      <c r="I20" s="137">
        <f t="shared" si="4"/>
        <v>370.32646169926386</v>
      </c>
      <c r="J20" s="138">
        <f t="shared" si="5"/>
        <v>449.14186685626089</v>
      </c>
    </row>
    <row r="21" spans="1:32">
      <c r="A21" s="96">
        <v>2024</v>
      </c>
      <c r="B21" s="130">
        <v>860</v>
      </c>
      <c r="C21" s="130">
        <v>610</v>
      </c>
      <c r="D21" s="97"/>
      <c r="E21" s="11">
        <f t="shared" si="0"/>
        <v>449.75200000000041</v>
      </c>
      <c r="F21" s="17">
        <f t="shared" si="1"/>
        <v>77.072182430789098</v>
      </c>
      <c r="G21" s="12">
        <f t="shared" si="2"/>
        <v>498.76800000000003</v>
      </c>
      <c r="H21" s="84">
        <f t="shared" si="3"/>
        <v>493.446182754696</v>
      </c>
      <c r="I21" s="137">
        <f t="shared" si="4"/>
        <v>378.09503852611863</v>
      </c>
      <c r="J21" s="138">
        <f t="shared" si="5"/>
        <v>470.56090530385541</v>
      </c>
    </row>
    <row r="22" spans="1:32" ht="17.100000000000001" thickBot="1">
      <c r="A22" s="98">
        <v>2025</v>
      </c>
      <c r="B22" s="131">
        <v>890</v>
      </c>
      <c r="C22" s="131">
        <v>662.5</v>
      </c>
      <c r="D22" s="101"/>
      <c r="E22" s="129">
        <f t="shared" si="0"/>
        <v>464.95000000000073</v>
      </c>
      <c r="F22" s="126">
        <f t="shared" si="1"/>
        <v>56.797898400105261</v>
      </c>
      <c r="G22" s="127">
        <f>0.6068*C22+0.1553*B22-4.938</f>
        <v>535.28399999999999</v>
      </c>
      <c r="H22" s="128">
        <f t="shared" si="3"/>
        <v>527.07093335823311</v>
      </c>
      <c r="I22" s="139">
        <f t="shared" si="4"/>
        <v>389.74790376640078</v>
      </c>
      <c r="J22" s="140">
        <f t="shared" si="5"/>
        <v>502.41641574291259</v>
      </c>
    </row>
    <row r="25" spans="1:32">
      <c r="A25" t="s">
        <v>49</v>
      </c>
      <c r="B25" t="s">
        <v>52</v>
      </c>
      <c r="C25" t="s">
        <v>53</v>
      </c>
      <c r="D25" s="3" t="s">
        <v>38</v>
      </c>
      <c r="E25" s="3" t="s">
        <v>39</v>
      </c>
      <c r="F25" s="3" t="s">
        <v>40</v>
      </c>
      <c r="G25" s="3" t="s">
        <v>41</v>
      </c>
      <c r="H25" t="s">
        <v>67</v>
      </c>
      <c r="I25" s="3" t="s">
        <v>38</v>
      </c>
      <c r="J25" s="3" t="s">
        <v>39</v>
      </c>
      <c r="K25" s="3" t="s">
        <v>40</v>
      </c>
      <c r="L25" s="3" t="s">
        <v>41</v>
      </c>
      <c r="M25" t="s">
        <v>55</v>
      </c>
      <c r="N25" s="3" t="s">
        <v>38</v>
      </c>
      <c r="O25" s="3" t="s">
        <v>39</v>
      </c>
      <c r="P25" s="3" t="s">
        <v>40</v>
      </c>
      <c r="Q25" s="3" t="s">
        <v>41</v>
      </c>
      <c r="R25" s="82" t="s">
        <v>56</v>
      </c>
      <c r="S25" s="83" t="s">
        <v>38</v>
      </c>
      <c r="T25" s="83" t="s">
        <v>39</v>
      </c>
      <c r="U25" s="83" t="s">
        <v>40</v>
      </c>
      <c r="V25" s="83" t="s">
        <v>41</v>
      </c>
      <c r="W25" s="82" t="s">
        <v>57</v>
      </c>
      <c r="X25" s="83" t="s">
        <v>38</v>
      </c>
      <c r="Y25" s="83" t="s">
        <v>39</v>
      </c>
      <c r="Z25" s="83" t="s">
        <v>40</v>
      </c>
      <c r="AA25" s="83" t="s">
        <v>41</v>
      </c>
      <c r="AB25" s="82" t="s">
        <v>58</v>
      </c>
      <c r="AC25" s="83" t="s">
        <v>38</v>
      </c>
      <c r="AD25" s="83" t="s">
        <v>39</v>
      </c>
      <c r="AE25" s="83" t="s">
        <v>40</v>
      </c>
      <c r="AF25" s="83" t="s">
        <v>41</v>
      </c>
    </row>
    <row r="26" spans="1:32">
      <c r="A26">
        <v>2006</v>
      </c>
      <c r="B26">
        <v>165</v>
      </c>
      <c r="C26" s="11">
        <f>+E3</f>
        <v>176.18800000000192</v>
      </c>
      <c r="D26" s="13">
        <f>+$B26-C26</f>
        <v>-11.188000000001921</v>
      </c>
      <c r="E26" s="13">
        <f>+ABS(D26)</f>
        <v>11.188000000001921</v>
      </c>
      <c r="F26" s="24">
        <f>+E26/$B26</f>
        <v>6.7806060606072249E-2</v>
      </c>
      <c r="G26" s="13">
        <f>+E26^2</f>
        <v>125.17134400004298</v>
      </c>
      <c r="H26" s="17">
        <f>+F3</f>
        <v>261.62369934640333</v>
      </c>
      <c r="I26" s="17">
        <f>+$B26-H26</f>
        <v>-96.623699346403328</v>
      </c>
      <c r="J26" s="17">
        <f>+ABS(I26)</f>
        <v>96.623699346403328</v>
      </c>
      <c r="K26" s="25">
        <f>+J26/$B26</f>
        <v>0.58559817785698987</v>
      </c>
      <c r="L26" s="17">
        <f>+J26^2</f>
        <v>9336.1392753841428</v>
      </c>
      <c r="M26" s="12">
        <f>+G3</f>
        <v>186.57098000000002</v>
      </c>
      <c r="N26" s="12">
        <f t="shared" ref="N26:N40" si="6">+$B26-M26</f>
        <v>-21.57098000000002</v>
      </c>
      <c r="O26" s="12">
        <f>+ABS(N26)</f>
        <v>21.57098000000002</v>
      </c>
      <c r="P26" s="26">
        <f t="shared" ref="P26:P40" si="7">+O26/$B26</f>
        <v>0.13073321212121225</v>
      </c>
      <c r="Q26" s="12">
        <f>+O26^2</f>
        <v>465.30717816040084</v>
      </c>
      <c r="R26" s="84">
        <f>+H3</f>
        <v>208.81553070314953</v>
      </c>
      <c r="S26" s="84">
        <f t="shared" ref="S26:S40" si="8">+$B26-R26</f>
        <v>-43.815530703149534</v>
      </c>
      <c r="T26" s="84">
        <f>+ABS(S26)</f>
        <v>43.815530703149534</v>
      </c>
      <c r="U26" s="85">
        <f t="shared" ref="U26:U40" si="9">+T26/$B26</f>
        <v>0.26554867092817902</v>
      </c>
      <c r="V26" s="84">
        <f>+T26^2</f>
        <v>1919.8007307986395</v>
      </c>
      <c r="W26" s="137">
        <f t="shared" ref="W26:W40" si="10">+I3</f>
        <v>302.9729006104327</v>
      </c>
      <c r="X26" s="137">
        <f t="shared" ref="X26:X40" si="11">+$B26-W26</f>
        <v>-137.9729006104327</v>
      </c>
      <c r="Y26" s="137">
        <f t="shared" ref="Y26:Y40" si="12">+ABS(X26)</f>
        <v>137.9729006104327</v>
      </c>
      <c r="Z26" s="141">
        <f t="shared" ref="Z26:Z40" si="13">+Y26/$B26</f>
        <v>0.8361993976389861</v>
      </c>
      <c r="AA26" s="137">
        <f t="shared" ref="AA26:AA40" si="14">+Y26^2</f>
        <v>19036.521302856341</v>
      </c>
      <c r="AB26" s="142">
        <f t="shared" ref="AB26:AB40" si="15">+J3</f>
        <v>188.41209855792061</v>
      </c>
      <c r="AC26" s="142">
        <f t="shared" ref="AC26:AC40" si="16">+$B26-AB26</f>
        <v>-23.412098557920615</v>
      </c>
      <c r="AD26" s="142">
        <f t="shared" ref="AD26:AD40" si="17">+ABS(AC26)</f>
        <v>23.412098557920615</v>
      </c>
      <c r="AE26" s="143">
        <f t="shared" ref="AE26:AE40" si="18">+AD26/$B26</f>
        <v>0.14189150641164008</v>
      </c>
      <c r="AF26" s="142">
        <f t="shared" ref="AF26:AF40" si="19">+AD26^2</f>
        <v>548.12635888578859</v>
      </c>
    </row>
    <row r="27" spans="1:32">
      <c r="A27">
        <v>2007</v>
      </c>
      <c r="B27">
        <v>202</v>
      </c>
      <c r="C27" s="11">
        <f t="shared" ref="C27:C39" si="20">+E4</f>
        <v>191.38600000000224</v>
      </c>
      <c r="D27" s="13">
        <f t="shared" ref="D27:D40" si="21">+$B27-C27</f>
        <v>10.613999999997759</v>
      </c>
      <c r="E27" s="13">
        <f t="shared" ref="E27:E40" si="22">+ABS(D27)</f>
        <v>10.613999999997759</v>
      </c>
      <c r="F27" s="24">
        <f t="shared" ref="F27:F40" si="23">+E27/B27</f>
        <v>5.2544554455434447E-2</v>
      </c>
      <c r="G27" s="13">
        <f t="shared" ref="G27:G40" si="24">+E27^2</f>
        <v>112.65699599995243</v>
      </c>
      <c r="H27" s="17">
        <f t="shared" ref="H27:H40" si="25">+F4</f>
        <v>245.80781196551786</v>
      </c>
      <c r="I27" s="17">
        <f t="shared" ref="I27:I40" si="26">+$B27-H27</f>
        <v>-43.807811965517857</v>
      </c>
      <c r="J27" s="17">
        <f t="shared" ref="J27:J40" si="27">+ABS(I27)</f>
        <v>43.807811965517857</v>
      </c>
      <c r="K27" s="25">
        <f t="shared" ref="K27:K40" si="28">+J27/G27</f>
        <v>0.38886011096493606</v>
      </c>
      <c r="L27" s="17">
        <f t="shared" ref="L27:L40" si="29">+J27^2</f>
        <v>1919.1243892061696</v>
      </c>
      <c r="M27" s="12">
        <f t="shared" ref="M27:M40" si="30">+G4</f>
        <v>173.53214</v>
      </c>
      <c r="N27" s="12">
        <f t="shared" si="6"/>
        <v>28.467860000000002</v>
      </c>
      <c r="O27" s="12">
        <f t="shared" ref="O27:O40" si="31">+ABS(N27)</f>
        <v>28.467860000000002</v>
      </c>
      <c r="P27" s="26">
        <f t="shared" si="7"/>
        <v>0.14093</v>
      </c>
      <c r="Q27" s="12">
        <f t="shared" ref="Q27:Q40" si="32">+O27^2</f>
        <v>810.41905297960011</v>
      </c>
      <c r="R27" s="84">
        <f t="shared" ref="R27:R40" si="33">+H4</f>
        <v>191.29886186844431</v>
      </c>
      <c r="S27" s="84">
        <f t="shared" si="8"/>
        <v>10.701138131555695</v>
      </c>
      <c r="T27" s="84">
        <f t="shared" ref="T27:T40" si="34">+ABS(S27)</f>
        <v>10.701138131555695</v>
      </c>
      <c r="U27" s="85">
        <f t="shared" si="9"/>
        <v>5.297593134433512E-2</v>
      </c>
      <c r="V27" s="84">
        <f t="shared" ref="V27:V40" si="35">+T27^2</f>
        <v>114.5143573106353</v>
      </c>
      <c r="W27" s="137">
        <f t="shared" si="10"/>
        <v>251.38955048011672</v>
      </c>
      <c r="X27" s="137">
        <f t="shared" si="11"/>
        <v>-49.389550480116725</v>
      </c>
      <c r="Y27" s="137">
        <f t="shared" si="12"/>
        <v>49.389550480116725</v>
      </c>
      <c r="Z27" s="141">
        <f t="shared" si="13"/>
        <v>0.24450272514909269</v>
      </c>
      <c r="AA27" s="137">
        <f t="shared" si="14"/>
        <v>2439.3276966279982</v>
      </c>
      <c r="AB27" s="142">
        <f t="shared" si="15"/>
        <v>195.99674390055327</v>
      </c>
      <c r="AC27" s="142">
        <f t="shared" si="16"/>
        <v>6.0032560994467303</v>
      </c>
      <c r="AD27" s="142">
        <f t="shared" si="17"/>
        <v>6.0032560994467303</v>
      </c>
      <c r="AE27" s="143">
        <f t="shared" si="18"/>
        <v>2.9719089601221438E-2</v>
      </c>
      <c r="AF27" s="142">
        <f t="shared" si="19"/>
        <v>36.039083795544371</v>
      </c>
    </row>
    <row r="28" spans="1:32">
      <c r="A28">
        <v>2008</v>
      </c>
      <c r="B28">
        <v>201.5</v>
      </c>
      <c r="C28" s="11">
        <f t="shared" si="20"/>
        <v>206.58400000000256</v>
      </c>
      <c r="D28" s="13">
        <f t="shared" si="21"/>
        <v>-5.0840000000025611</v>
      </c>
      <c r="E28" s="13">
        <f t="shared" si="22"/>
        <v>5.0840000000025611</v>
      </c>
      <c r="F28" s="24">
        <f t="shared" si="23"/>
        <v>2.5230769230781942E-2</v>
      </c>
      <c r="G28" s="13">
        <f t="shared" si="24"/>
        <v>25.84705600002604</v>
      </c>
      <c r="H28" s="17">
        <f t="shared" si="25"/>
        <v>240.59725229081403</v>
      </c>
      <c r="I28" s="17">
        <f t="shared" si="26"/>
        <v>-39.097252290814026</v>
      </c>
      <c r="J28" s="17">
        <f t="shared" si="27"/>
        <v>39.097252290814026</v>
      </c>
      <c r="K28" s="25">
        <f t="shared" si="28"/>
        <v>1.5126385105821969</v>
      </c>
      <c r="L28" s="17">
        <f t="shared" si="29"/>
        <v>1528.5951366915626</v>
      </c>
      <c r="M28" s="12">
        <f t="shared" si="30"/>
        <v>163.79059999999998</v>
      </c>
      <c r="N28" s="12">
        <f t="shared" si="6"/>
        <v>37.709400000000016</v>
      </c>
      <c r="O28" s="12">
        <f t="shared" si="31"/>
        <v>37.709400000000016</v>
      </c>
      <c r="P28" s="26">
        <f t="shared" si="7"/>
        <v>0.18714342431761793</v>
      </c>
      <c r="Q28" s="12">
        <f t="shared" si="32"/>
        <v>1421.9988483600011</v>
      </c>
      <c r="R28" s="84">
        <f t="shared" si="33"/>
        <v>178.09528713331474</v>
      </c>
      <c r="S28" s="84">
        <f t="shared" si="8"/>
        <v>23.404712866685259</v>
      </c>
      <c r="T28" s="84">
        <f t="shared" si="34"/>
        <v>23.404712866685259</v>
      </c>
      <c r="U28" s="85">
        <f t="shared" si="9"/>
        <v>0.11615242117461667</v>
      </c>
      <c r="V28" s="84">
        <f t="shared" si="35"/>
        <v>547.78058437198251</v>
      </c>
      <c r="W28" s="137">
        <f t="shared" si="10"/>
        <v>211.84749443142579</v>
      </c>
      <c r="X28" s="137">
        <f t="shared" si="11"/>
        <v>-10.347494431425787</v>
      </c>
      <c r="Y28" s="137">
        <f t="shared" si="12"/>
        <v>10.347494431425787</v>
      </c>
      <c r="Z28" s="141">
        <f t="shared" si="13"/>
        <v>5.135232968449522E-2</v>
      </c>
      <c r="AA28" s="137">
        <f t="shared" si="14"/>
        <v>107.07064100838767</v>
      </c>
      <c r="AB28" s="142">
        <f t="shared" si="15"/>
        <v>202.06446017465942</v>
      </c>
      <c r="AC28" s="142">
        <f t="shared" si="16"/>
        <v>-0.56446017465941623</v>
      </c>
      <c r="AD28" s="142">
        <f t="shared" si="17"/>
        <v>0.56446017465941623</v>
      </c>
      <c r="AE28" s="143">
        <f t="shared" si="18"/>
        <v>2.8012911893767556E-3</v>
      </c>
      <c r="AF28" s="142">
        <f t="shared" si="19"/>
        <v>0.31861528877653866</v>
      </c>
    </row>
    <row r="29" spans="1:32">
      <c r="A29">
        <v>2009</v>
      </c>
      <c r="B29">
        <v>226</v>
      </c>
      <c r="C29" s="11">
        <f t="shared" si="20"/>
        <v>221.78199999999924</v>
      </c>
      <c r="D29" s="13">
        <f t="shared" si="21"/>
        <v>4.2180000000007567</v>
      </c>
      <c r="E29" s="13">
        <f t="shared" si="22"/>
        <v>4.2180000000007567</v>
      </c>
      <c r="F29" s="24">
        <f t="shared" si="23"/>
        <v>1.866371681416264E-2</v>
      </c>
      <c r="G29" s="13">
        <f t="shared" si="24"/>
        <v>17.791524000006383</v>
      </c>
      <c r="H29" s="17">
        <f t="shared" si="25"/>
        <v>234.12680259560554</v>
      </c>
      <c r="I29" s="17">
        <f t="shared" si="26"/>
        <v>-8.1268025956055396</v>
      </c>
      <c r="J29" s="17">
        <f t="shared" si="27"/>
        <v>8.1268025956055396</v>
      </c>
      <c r="K29" s="25">
        <f t="shared" si="28"/>
        <v>0.45677945271032566</v>
      </c>
      <c r="L29" s="17">
        <f t="shared" si="29"/>
        <v>66.044920427940937</v>
      </c>
      <c r="M29" s="12">
        <f t="shared" si="30"/>
        <v>194.65724</v>
      </c>
      <c r="N29" s="12">
        <f t="shared" si="6"/>
        <v>31.342759999999998</v>
      </c>
      <c r="O29" s="12">
        <f t="shared" si="31"/>
        <v>31.342759999999998</v>
      </c>
      <c r="P29" s="26">
        <f t="shared" si="7"/>
        <v>0.13868477876106194</v>
      </c>
      <c r="Q29" s="12">
        <f t="shared" si="32"/>
        <v>982.36860441759995</v>
      </c>
      <c r="R29" s="84">
        <f t="shared" si="33"/>
        <v>213.49743359560458</v>
      </c>
      <c r="S29" s="84">
        <f t="shared" si="8"/>
        <v>12.502566404395424</v>
      </c>
      <c r="T29" s="84">
        <f t="shared" si="34"/>
        <v>12.502566404395424</v>
      </c>
      <c r="U29" s="85">
        <f t="shared" si="9"/>
        <v>5.5321090284935502E-2</v>
      </c>
      <c r="V29" s="84">
        <f t="shared" si="35"/>
        <v>156.3141666963171</v>
      </c>
      <c r="W29" s="137">
        <f t="shared" si="10"/>
        <v>281.76468587311899</v>
      </c>
      <c r="X29" s="137">
        <f t="shared" si="11"/>
        <v>-55.764685873118992</v>
      </c>
      <c r="Y29" s="137">
        <f t="shared" si="12"/>
        <v>55.764685873118992</v>
      </c>
      <c r="Z29" s="141">
        <f t="shared" si="13"/>
        <v>0.2467463976686681</v>
      </c>
      <c r="AA29" s="137">
        <f t="shared" si="14"/>
        <v>3109.700190527637</v>
      </c>
      <c r="AB29" s="142">
        <f t="shared" si="15"/>
        <v>204.97696398623034</v>
      </c>
      <c r="AC29" s="142">
        <f t="shared" si="16"/>
        <v>21.023036013769655</v>
      </c>
      <c r="AD29" s="142">
        <f t="shared" si="17"/>
        <v>21.023036013769655</v>
      </c>
      <c r="AE29" s="143">
        <f t="shared" si="18"/>
        <v>9.3022283246768381E-2</v>
      </c>
      <c r="AF29" s="142">
        <f t="shared" si="19"/>
        <v>441.96804323625588</v>
      </c>
    </row>
    <row r="30" spans="1:32">
      <c r="A30">
        <v>2010</v>
      </c>
      <c r="B30">
        <v>216</v>
      </c>
      <c r="C30" s="11">
        <f t="shared" si="20"/>
        <v>236.97999999999956</v>
      </c>
      <c r="D30" s="13">
        <f t="shared" si="21"/>
        <v>-20.979999999999563</v>
      </c>
      <c r="E30" s="13">
        <f t="shared" si="22"/>
        <v>20.979999999999563</v>
      </c>
      <c r="F30" s="24">
        <f t="shared" si="23"/>
        <v>9.7129629629627609E-2</v>
      </c>
      <c r="G30" s="13">
        <f t="shared" si="24"/>
        <v>440.16039999998168</v>
      </c>
      <c r="H30" s="17">
        <f t="shared" si="25"/>
        <v>249.21915450830431</v>
      </c>
      <c r="I30" s="17">
        <f t="shared" si="26"/>
        <v>-33.219154508304314</v>
      </c>
      <c r="J30" s="17">
        <f t="shared" si="27"/>
        <v>33.219154508304314</v>
      </c>
      <c r="K30" s="25">
        <f t="shared" si="28"/>
        <v>7.5470565976188897E-2</v>
      </c>
      <c r="L30" s="17">
        <f t="shared" si="29"/>
        <v>1103.5122262465948</v>
      </c>
      <c r="M30" s="12">
        <f t="shared" si="30"/>
        <v>201.43384000000003</v>
      </c>
      <c r="N30" s="12">
        <f t="shared" si="6"/>
        <v>14.566159999999968</v>
      </c>
      <c r="O30" s="12">
        <f t="shared" si="31"/>
        <v>14.566159999999968</v>
      </c>
      <c r="P30" s="26">
        <f t="shared" si="7"/>
        <v>6.7435925925925774E-2</v>
      </c>
      <c r="Q30" s="12">
        <f t="shared" si="32"/>
        <v>212.17301714559906</v>
      </c>
      <c r="R30" s="84">
        <f t="shared" si="33"/>
        <v>216.95874732757125</v>
      </c>
      <c r="S30" s="84">
        <f t="shared" si="8"/>
        <v>-0.95874732757124548</v>
      </c>
      <c r="T30" s="84">
        <f t="shared" si="34"/>
        <v>0.95874732757124548</v>
      </c>
      <c r="U30" s="85">
        <f t="shared" si="9"/>
        <v>4.4386450350520626E-3</v>
      </c>
      <c r="V30" s="84">
        <f t="shared" si="35"/>
        <v>0.91919643812500507</v>
      </c>
      <c r="W30" s="137">
        <f t="shared" si="10"/>
        <v>260.01267075792555</v>
      </c>
      <c r="X30" s="137">
        <f t="shared" si="11"/>
        <v>-44.012670757925548</v>
      </c>
      <c r="Y30" s="137">
        <f t="shared" si="12"/>
        <v>44.012670757925548</v>
      </c>
      <c r="Z30" s="141">
        <f t="shared" si="13"/>
        <v>0.2037623646200257</v>
      </c>
      <c r="AA30" s="137">
        <f t="shared" si="14"/>
        <v>1937.1151872455546</v>
      </c>
      <c r="AB30" s="142">
        <f t="shared" si="15"/>
        <v>220.44964048520097</v>
      </c>
      <c r="AC30" s="142">
        <f t="shared" si="16"/>
        <v>-4.4496404852009732</v>
      </c>
      <c r="AD30" s="142">
        <f t="shared" si="17"/>
        <v>4.4496404852009732</v>
      </c>
      <c r="AE30" s="143">
        <f t="shared" si="18"/>
        <v>2.0600187431485988E-2</v>
      </c>
      <c r="AF30" s="142">
        <f t="shared" si="19"/>
        <v>19.799300447539551</v>
      </c>
    </row>
    <row r="31" spans="1:32">
      <c r="A31">
        <v>2011</v>
      </c>
      <c r="B31">
        <v>291.5</v>
      </c>
      <c r="C31" s="11">
        <f t="shared" si="20"/>
        <v>252.17799999999988</v>
      </c>
      <c r="D31" s="13">
        <f t="shared" si="21"/>
        <v>39.322000000000116</v>
      </c>
      <c r="E31" s="13">
        <f t="shared" si="22"/>
        <v>39.322000000000116</v>
      </c>
      <c r="F31" s="24">
        <f t="shared" si="23"/>
        <v>0.13489536878216163</v>
      </c>
      <c r="G31" s="13">
        <f t="shared" si="24"/>
        <v>1546.2196840000092</v>
      </c>
      <c r="H31" s="17">
        <f t="shared" si="25"/>
        <v>262.13015521674185</v>
      </c>
      <c r="I31" s="17">
        <f t="shared" si="26"/>
        <v>29.369844783258145</v>
      </c>
      <c r="J31" s="17">
        <f t="shared" si="27"/>
        <v>29.369844783258145</v>
      </c>
      <c r="K31" s="25">
        <f t="shared" si="28"/>
        <v>1.8994613176362828E-2</v>
      </c>
      <c r="L31" s="17">
        <f t="shared" si="29"/>
        <v>862.58778259267569</v>
      </c>
      <c r="M31" s="12">
        <f t="shared" si="30"/>
        <v>262.11392000000001</v>
      </c>
      <c r="N31" s="12">
        <f t="shared" si="6"/>
        <v>29.386079999999993</v>
      </c>
      <c r="O31" s="12">
        <f t="shared" si="31"/>
        <v>29.386079999999993</v>
      </c>
      <c r="P31" s="26">
        <f t="shared" si="7"/>
        <v>0.10080987993138935</v>
      </c>
      <c r="Q31" s="12">
        <f t="shared" si="32"/>
        <v>863.54169776639958</v>
      </c>
      <c r="R31" s="84">
        <f t="shared" si="33"/>
        <v>281.2357674746695</v>
      </c>
      <c r="S31" s="84">
        <f t="shared" si="8"/>
        <v>10.264232525330499</v>
      </c>
      <c r="T31" s="84">
        <f t="shared" si="34"/>
        <v>10.264232525330499</v>
      </c>
      <c r="U31" s="85">
        <f t="shared" si="9"/>
        <v>3.5211775387068607E-2</v>
      </c>
      <c r="V31" s="84">
        <f t="shared" si="35"/>
        <v>105.35446933405251</v>
      </c>
      <c r="W31" s="137">
        <f t="shared" si="10"/>
        <v>351.68187731481225</v>
      </c>
      <c r="X31" s="137">
        <f t="shared" si="11"/>
        <v>-60.181877314812255</v>
      </c>
      <c r="Y31" s="137">
        <f t="shared" si="12"/>
        <v>60.181877314812255</v>
      </c>
      <c r="Z31" s="141">
        <f t="shared" si="13"/>
        <v>0.206455839844982</v>
      </c>
      <c r="AA31" s="137">
        <f t="shared" si="14"/>
        <v>3621.8583571351137</v>
      </c>
      <c r="AB31" s="142">
        <f t="shared" si="15"/>
        <v>244.47779693066121</v>
      </c>
      <c r="AC31" s="142">
        <f t="shared" si="16"/>
        <v>47.022203069338786</v>
      </c>
      <c r="AD31" s="142">
        <f t="shared" si="17"/>
        <v>47.022203069338786</v>
      </c>
      <c r="AE31" s="143">
        <f t="shared" si="18"/>
        <v>0.16131115975759447</v>
      </c>
      <c r="AF31" s="142">
        <f t="shared" si="19"/>
        <v>2211.0875814941342</v>
      </c>
    </row>
    <row r="32" spans="1:32">
      <c r="A32">
        <v>2012</v>
      </c>
      <c r="B32">
        <v>298.3</v>
      </c>
      <c r="C32" s="11">
        <f t="shared" si="20"/>
        <v>267.3760000000002</v>
      </c>
      <c r="D32" s="13">
        <f t="shared" si="21"/>
        <v>30.923999999999808</v>
      </c>
      <c r="E32" s="13">
        <f t="shared" si="22"/>
        <v>30.923999999999808</v>
      </c>
      <c r="F32" s="24">
        <f t="shared" si="23"/>
        <v>0.10366744887696884</v>
      </c>
      <c r="G32" s="13">
        <f t="shared" si="24"/>
        <v>956.29377599998816</v>
      </c>
      <c r="H32" s="17">
        <f t="shared" si="25"/>
        <v>274.82781749108597</v>
      </c>
      <c r="I32" s="17">
        <f t="shared" si="26"/>
        <v>23.472182508914045</v>
      </c>
      <c r="J32" s="17">
        <f t="shared" si="27"/>
        <v>23.472182508914045</v>
      </c>
      <c r="K32" s="25">
        <f t="shared" si="28"/>
        <v>2.4544949573021519E-2</v>
      </c>
      <c r="L32" s="17">
        <f t="shared" si="29"/>
        <v>550.94335173177046</v>
      </c>
      <c r="M32" s="12">
        <f t="shared" si="30"/>
        <v>277.42115000000001</v>
      </c>
      <c r="N32" s="12">
        <f t="shared" si="6"/>
        <v>20.87885</v>
      </c>
      <c r="O32" s="12">
        <f t="shared" si="31"/>
        <v>20.87885</v>
      </c>
      <c r="P32" s="26">
        <f t="shared" si="7"/>
        <v>6.9992792490781094E-2</v>
      </c>
      <c r="Q32" s="12">
        <f t="shared" si="32"/>
        <v>435.9263773225</v>
      </c>
      <c r="R32" s="84">
        <f t="shared" si="33"/>
        <v>285.26288787619319</v>
      </c>
      <c r="S32" s="84">
        <f t="shared" si="8"/>
        <v>13.037112123806821</v>
      </c>
      <c r="T32" s="84">
        <f t="shared" si="34"/>
        <v>13.037112123806821</v>
      </c>
      <c r="U32" s="85">
        <f t="shared" si="9"/>
        <v>4.3704700381518004E-2</v>
      </c>
      <c r="V32" s="84">
        <f t="shared" si="35"/>
        <v>169.9662925287108</v>
      </c>
      <c r="W32" s="137">
        <f t="shared" si="10"/>
        <v>269.91760621216542</v>
      </c>
      <c r="X32" s="137">
        <f t="shared" si="11"/>
        <v>28.382393787834587</v>
      </c>
      <c r="Y32" s="137">
        <f t="shared" si="12"/>
        <v>28.382393787834587</v>
      </c>
      <c r="Z32" s="141">
        <f t="shared" si="13"/>
        <v>9.5147146456032811E-2</v>
      </c>
      <c r="AA32" s="137">
        <f t="shared" si="14"/>
        <v>805.5602771277114</v>
      </c>
      <c r="AB32" s="142">
        <f t="shared" si="15"/>
        <v>292.47343265884069</v>
      </c>
      <c r="AC32" s="142">
        <f t="shared" si="16"/>
        <v>5.8265673411593184</v>
      </c>
      <c r="AD32" s="142">
        <f t="shared" si="17"/>
        <v>5.8265673411593184</v>
      </c>
      <c r="AE32" s="143">
        <f t="shared" si="18"/>
        <v>1.9532575733018163E-2</v>
      </c>
      <c r="AF32" s="142">
        <f t="shared" si="19"/>
        <v>33.948886981064369</v>
      </c>
    </row>
    <row r="33" spans="1:32">
      <c r="A33">
        <v>2013</v>
      </c>
      <c r="B33">
        <v>310.39999999999998</v>
      </c>
      <c r="C33" s="11">
        <f t="shared" si="20"/>
        <v>282.57400000000052</v>
      </c>
      <c r="D33" s="13">
        <f t="shared" si="21"/>
        <v>27.825999999999453</v>
      </c>
      <c r="E33" s="13">
        <f t="shared" si="22"/>
        <v>27.825999999999453</v>
      </c>
      <c r="F33" s="24">
        <f t="shared" si="23"/>
        <v>8.964561855669928E-2</v>
      </c>
      <c r="G33" s="13">
        <f t="shared" si="24"/>
        <v>774.28627599996958</v>
      </c>
      <c r="H33" s="17">
        <f t="shared" si="25"/>
        <v>270.08549567353754</v>
      </c>
      <c r="I33" s="17">
        <f t="shared" si="26"/>
        <v>40.314504326462441</v>
      </c>
      <c r="J33" s="17">
        <f t="shared" si="27"/>
        <v>40.314504326462441</v>
      </c>
      <c r="K33" s="25">
        <f t="shared" si="28"/>
        <v>5.2066665232310051E-2</v>
      </c>
      <c r="L33" s="17">
        <f t="shared" si="29"/>
        <v>1625.2592590883589</v>
      </c>
      <c r="M33" s="12">
        <f t="shared" si="30"/>
        <v>285.20445000000001</v>
      </c>
      <c r="N33" s="12">
        <f t="shared" si="6"/>
        <v>25.195549999999969</v>
      </c>
      <c r="O33" s="12">
        <f t="shared" si="31"/>
        <v>25.195549999999969</v>
      </c>
      <c r="P33" s="26">
        <f t="shared" si="7"/>
        <v>8.1171230670102998E-2</v>
      </c>
      <c r="Q33" s="12">
        <f t="shared" si="32"/>
        <v>634.81573980249846</v>
      </c>
      <c r="R33" s="84">
        <f t="shared" si="33"/>
        <v>293.48629272582951</v>
      </c>
      <c r="S33" s="84">
        <f t="shared" si="8"/>
        <v>16.913707274170463</v>
      </c>
      <c r="T33" s="84">
        <f t="shared" si="34"/>
        <v>16.913707274170463</v>
      </c>
      <c r="U33" s="85">
        <f t="shared" si="9"/>
        <v>5.4490036321425461E-2</v>
      </c>
      <c r="V33" s="84">
        <f t="shared" si="35"/>
        <v>286.07349375632685</v>
      </c>
      <c r="W33" s="137">
        <f t="shared" si="10"/>
        <v>281.49278568417913</v>
      </c>
      <c r="X33" s="137">
        <f t="shared" si="11"/>
        <v>28.907214315820852</v>
      </c>
      <c r="Y33" s="137">
        <f t="shared" si="12"/>
        <v>28.907214315820852</v>
      </c>
      <c r="Z33" s="141">
        <f t="shared" si="13"/>
        <v>9.3128912099938316E-2</v>
      </c>
      <c r="AA33" s="137">
        <f t="shared" si="14"/>
        <v>835.62703950079799</v>
      </c>
      <c r="AB33" s="142">
        <f t="shared" si="15"/>
        <v>295.62864512137583</v>
      </c>
      <c r="AC33" s="142">
        <f t="shared" si="16"/>
        <v>14.771354878624152</v>
      </c>
      <c r="AD33" s="142">
        <f t="shared" si="17"/>
        <v>14.771354878624152</v>
      </c>
      <c r="AE33" s="143">
        <f t="shared" si="18"/>
        <v>4.7588127830619047E-2</v>
      </c>
      <c r="AF33" s="142">
        <f t="shared" si="19"/>
        <v>218.19292495025354</v>
      </c>
    </row>
    <row r="34" spans="1:32">
      <c r="A34">
        <v>2014</v>
      </c>
      <c r="B34">
        <v>256.8</v>
      </c>
      <c r="C34" s="11">
        <f t="shared" si="20"/>
        <v>297.77200000000084</v>
      </c>
      <c r="D34" s="13">
        <f t="shared" si="21"/>
        <v>-40.972000000000833</v>
      </c>
      <c r="E34" s="13">
        <f t="shared" si="22"/>
        <v>40.972000000000833</v>
      </c>
      <c r="F34" s="24">
        <f t="shared" si="23"/>
        <v>0.1595482866043646</v>
      </c>
      <c r="G34" s="13">
        <f t="shared" si="24"/>
        <v>1678.7047840000682</v>
      </c>
      <c r="H34" s="17">
        <f t="shared" si="25"/>
        <v>278.87537459084433</v>
      </c>
      <c r="I34" s="17">
        <f t="shared" si="26"/>
        <v>-22.075374590844319</v>
      </c>
      <c r="J34" s="17">
        <f t="shared" si="27"/>
        <v>22.075374590844319</v>
      </c>
      <c r="K34" s="25">
        <f t="shared" si="28"/>
        <v>1.3150242258941118E-2</v>
      </c>
      <c r="L34" s="17">
        <f t="shared" si="29"/>
        <v>487.32216332609499</v>
      </c>
      <c r="M34" s="12">
        <f t="shared" si="30"/>
        <v>274.14591999999999</v>
      </c>
      <c r="N34" s="12">
        <f t="shared" si="6"/>
        <v>-17.345919999999978</v>
      </c>
      <c r="O34" s="12">
        <f t="shared" si="31"/>
        <v>17.345919999999978</v>
      </c>
      <c r="P34" s="26">
        <f t="shared" si="7"/>
        <v>6.7546417445482773E-2</v>
      </c>
      <c r="Q34" s="12">
        <f t="shared" si="32"/>
        <v>300.88094064639927</v>
      </c>
      <c r="R34" s="84">
        <f t="shared" si="33"/>
        <v>275.35021661646607</v>
      </c>
      <c r="S34" s="84">
        <f t="shared" si="8"/>
        <v>-18.550216616466059</v>
      </c>
      <c r="T34" s="84">
        <f t="shared" si="34"/>
        <v>18.550216616466059</v>
      </c>
      <c r="U34" s="85">
        <f t="shared" si="9"/>
        <v>7.2236046014275926E-2</v>
      </c>
      <c r="V34" s="84">
        <f t="shared" si="35"/>
        <v>344.1105365178135</v>
      </c>
      <c r="W34" s="137">
        <f t="shared" si="10"/>
        <v>209.51692138336935</v>
      </c>
      <c r="X34" s="137">
        <f t="shared" si="11"/>
        <v>47.283078616630661</v>
      </c>
      <c r="Y34" s="137">
        <f t="shared" si="12"/>
        <v>47.283078616630661</v>
      </c>
      <c r="Z34" s="141">
        <f t="shared" si="13"/>
        <v>0.18412413791522841</v>
      </c>
      <c r="AA34" s="137">
        <f t="shared" si="14"/>
        <v>2235.6895234664757</v>
      </c>
      <c r="AB34" s="142">
        <f t="shared" si="15"/>
        <v>313.34637664176569</v>
      </c>
      <c r="AC34" s="142">
        <f t="shared" si="16"/>
        <v>-56.546376641765676</v>
      </c>
      <c r="AD34" s="142">
        <f t="shared" si="17"/>
        <v>56.546376641765676</v>
      </c>
      <c r="AE34" s="143">
        <f t="shared" si="18"/>
        <v>0.22019617072338657</v>
      </c>
      <c r="AF34" s="142">
        <f t="shared" si="19"/>
        <v>3197.4927113124227</v>
      </c>
    </row>
    <row r="35" spans="1:32">
      <c r="A35">
        <v>2015</v>
      </c>
      <c r="B35">
        <v>303.5</v>
      </c>
      <c r="C35" s="11">
        <f t="shared" si="20"/>
        <v>312.97000000000116</v>
      </c>
      <c r="D35" s="13">
        <f t="shared" si="21"/>
        <v>-9.4700000000011642</v>
      </c>
      <c r="E35" s="13">
        <f t="shared" si="22"/>
        <v>9.4700000000011642</v>
      </c>
      <c r="F35" s="24">
        <f t="shared" si="23"/>
        <v>3.120263591433662E-2</v>
      </c>
      <c r="G35" s="13">
        <f t="shared" si="24"/>
        <v>89.680900000022049</v>
      </c>
      <c r="H35" s="17">
        <f t="shared" si="25"/>
        <v>288.24663866112718</v>
      </c>
      <c r="I35" s="17">
        <f t="shared" si="26"/>
        <v>15.253361338872821</v>
      </c>
      <c r="J35" s="17">
        <f t="shared" si="27"/>
        <v>15.253361338872821</v>
      </c>
      <c r="K35" s="25">
        <f t="shared" si="28"/>
        <v>0.17008483789601878</v>
      </c>
      <c r="L35" s="17">
        <f t="shared" si="29"/>
        <v>232.66503213422007</v>
      </c>
      <c r="M35" s="12">
        <f t="shared" si="30"/>
        <v>302.74990000000003</v>
      </c>
      <c r="N35" s="12">
        <f t="shared" si="6"/>
        <v>0.7500999999999749</v>
      </c>
      <c r="O35" s="12">
        <f t="shared" si="31"/>
        <v>0.7500999999999749</v>
      </c>
      <c r="P35" s="26">
        <f t="shared" si="7"/>
        <v>2.4714991762766884E-3</v>
      </c>
      <c r="Q35" s="12">
        <f t="shared" si="32"/>
        <v>0.5626500099999624</v>
      </c>
      <c r="R35" s="84">
        <f t="shared" si="33"/>
        <v>306.63149377648125</v>
      </c>
      <c r="S35" s="84">
        <f t="shared" si="8"/>
        <v>-3.1314937764812498</v>
      </c>
      <c r="T35" s="84">
        <f t="shared" si="34"/>
        <v>3.1314937764812498</v>
      </c>
      <c r="U35" s="85">
        <f t="shared" si="9"/>
        <v>1.0317936660564251E-2</v>
      </c>
      <c r="V35" s="84">
        <f t="shared" si="35"/>
        <v>9.8062532721408004</v>
      </c>
      <c r="W35" s="137">
        <f t="shared" si="10"/>
        <v>261.17795728195381</v>
      </c>
      <c r="X35" s="137">
        <f t="shared" si="11"/>
        <v>42.322042718046191</v>
      </c>
      <c r="Y35" s="137">
        <f t="shared" si="12"/>
        <v>42.322042718046191</v>
      </c>
      <c r="Z35" s="141">
        <f t="shared" si="13"/>
        <v>0.13944659874150311</v>
      </c>
      <c r="AA35" s="137">
        <f t="shared" si="14"/>
        <v>1791.1552998281265</v>
      </c>
      <c r="AB35" s="142">
        <f t="shared" si="15"/>
        <v>321.29508496084475</v>
      </c>
      <c r="AC35" s="142">
        <f t="shared" si="16"/>
        <v>-17.795084960844747</v>
      </c>
      <c r="AD35" s="142">
        <f t="shared" si="17"/>
        <v>17.795084960844747</v>
      </c>
      <c r="AE35" s="143">
        <f t="shared" si="18"/>
        <v>5.86328993767537E-2</v>
      </c>
      <c r="AF35" s="142">
        <f t="shared" si="19"/>
        <v>316.66504876368288</v>
      </c>
    </row>
    <row r="36" spans="1:32">
      <c r="A36">
        <v>2016</v>
      </c>
      <c r="B36">
        <v>314.5</v>
      </c>
      <c r="C36" s="11">
        <f t="shared" si="20"/>
        <v>328.16800000000148</v>
      </c>
      <c r="D36" s="13">
        <f t="shared" si="21"/>
        <v>-13.668000000001484</v>
      </c>
      <c r="E36" s="13">
        <f t="shared" si="22"/>
        <v>13.668000000001484</v>
      </c>
      <c r="F36" s="24">
        <f t="shared" si="23"/>
        <v>4.3459459459464181E-2</v>
      </c>
      <c r="G36" s="13">
        <f t="shared" si="24"/>
        <v>186.81422400004058</v>
      </c>
      <c r="H36" s="17">
        <f t="shared" si="25"/>
        <v>291.70670655244453</v>
      </c>
      <c r="I36" s="17">
        <f t="shared" si="26"/>
        <v>22.79329344755547</v>
      </c>
      <c r="J36" s="17">
        <f t="shared" si="27"/>
        <v>22.79329344755547</v>
      </c>
      <c r="K36" s="25">
        <f t="shared" si="28"/>
        <v>0.12201048164057636</v>
      </c>
      <c r="L36" s="17">
        <f t="shared" si="29"/>
        <v>519.53422618637512</v>
      </c>
      <c r="M36" s="12">
        <f t="shared" si="30"/>
        <v>320.81355000000002</v>
      </c>
      <c r="N36" s="12">
        <f t="shared" si="6"/>
        <v>-6.3135500000000206</v>
      </c>
      <c r="O36" s="12">
        <f t="shared" si="31"/>
        <v>6.3135500000000206</v>
      </c>
      <c r="P36" s="26">
        <f t="shared" si="7"/>
        <v>2.0074880763116122E-2</v>
      </c>
      <c r="Q36" s="12">
        <f t="shared" si="32"/>
        <v>39.860913602500261</v>
      </c>
      <c r="R36" s="84">
        <f t="shared" si="33"/>
        <v>327.49206632118711</v>
      </c>
      <c r="S36" s="84">
        <f t="shared" si="8"/>
        <v>-12.99206632118711</v>
      </c>
      <c r="T36" s="84">
        <f t="shared" si="34"/>
        <v>12.99206632118711</v>
      </c>
      <c r="U36" s="85">
        <f t="shared" si="9"/>
        <v>4.13102267764296E-2</v>
      </c>
      <c r="V36" s="84">
        <f t="shared" si="35"/>
        <v>168.79378729412437</v>
      </c>
      <c r="W36" s="137">
        <f t="shared" si="10"/>
        <v>303.32248656764114</v>
      </c>
      <c r="X36" s="137">
        <f t="shared" si="11"/>
        <v>11.177513432358865</v>
      </c>
      <c r="Y36" s="137">
        <f t="shared" si="12"/>
        <v>11.177513432358865</v>
      </c>
      <c r="Z36" s="141">
        <f t="shared" si="13"/>
        <v>3.5540583250743607E-2</v>
      </c>
      <c r="AA36" s="137">
        <f t="shared" si="14"/>
        <v>124.93680653056285</v>
      </c>
      <c r="AB36" s="142">
        <f t="shared" si="15"/>
        <v>322.50862821566602</v>
      </c>
      <c r="AC36" s="142">
        <f t="shared" si="16"/>
        <v>-8.0086282156660218</v>
      </c>
      <c r="AD36" s="142">
        <f t="shared" si="17"/>
        <v>8.0086282156660218</v>
      </c>
      <c r="AE36" s="143">
        <f t="shared" si="18"/>
        <v>2.5464636615790213E-2</v>
      </c>
      <c r="AF36" s="142">
        <f t="shared" si="19"/>
        <v>64.138125896761935</v>
      </c>
    </row>
    <row r="37" spans="1:32">
      <c r="A37">
        <v>2017</v>
      </c>
      <c r="B37">
        <v>301.39999999999998</v>
      </c>
      <c r="C37" s="11">
        <f t="shared" si="20"/>
        <v>343.3660000000018</v>
      </c>
      <c r="D37" s="13">
        <f t="shared" si="21"/>
        <v>-41.966000000001827</v>
      </c>
      <c r="E37" s="13">
        <f t="shared" si="22"/>
        <v>41.966000000001827</v>
      </c>
      <c r="F37" s="24">
        <f t="shared" si="23"/>
        <v>0.13923689449237503</v>
      </c>
      <c r="G37" s="13">
        <f t="shared" si="24"/>
        <v>1761.1451560001533</v>
      </c>
      <c r="H37" s="17">
        <f t="shared" si="25"/>
        <v>301.38539551976305</v>
      </c>
      <c r="I37" s="17">
        <f t="shared" si="26"/>
        <v>1.4604480236926065E-2</v>
      </c>
      <c r="J37" s="17">
        <f t="shared" si="27"/>
        <v>1.4604480236926065E-2</v>
      </c>
      <c r="K37" s="25">
        <f t="shared" si="28"/>
        <v>8.2926044949612278E-6</v>
      </c>
      <c r="L37" s="17">
        <f t="shared" si="29"/>
        <v>2.1329084299076401E-4</v>
      </c>
      <c r="M37" s="12">
        <f t="shared" si="30"/>
        <v>306.51031</v>
      </c>
      <c r="N37" s="12">
        <f t="shared" si="6"/>
        <v>-5.1103100000000268</v>
      </c>
      <c r="O37" s="12">
        <f t="shared" si="31"/>
        <v>5.1103100000000268</v>
      </c>
      <c r="P37" s="26">
        <f t="shared" si="7"/>
        <v>1.6955242203052511E-2</v>
      </c>
      <c r="Q37" s="12">
        <f t="shared" si="32"/>
        <v>26.115268296100275</v>
      </c>
      <c r="R37" s="84">
        <f t="shared" si="33"/>
        <v>309.74260338569343</v>
      </c>
      <c r="S37" s="84">
        <f t="shared" si="8"/>
        <v>-8.3426033856934509</v>
      </c>
      <c r="T37" s="84">
        <f t="shared" si="34"/>
        <v>8.3426033856934509</v>
      </c>
      <c r="U37" s="85">
        <f t="shared" si="9"/>
        <v>2.7679506920018089E-2</v>
      </c>
      <c r="V37" s="84">
        <f t="shared" si="35"/>
        <v>69.599031250983828</v>
      </c>
      <c r="W37" s="137">
        <f t="shared" si="10"/>
        <v>259.35234172764291</v>
      </c>
      <c r="X37" s="137">
        <f t="shared" si="11"/>
        <v>42.047658272357069</v>
      </c>
      <c r="Y37" s="137">
        <f t="shared" si="12"/>
        <v>42.047658272357069</v>
      </c>
      <c r="Z37" s="141">
        <f t="shared" si="13"/>
        <v>0.13950782439401815</v>
      </c>
      <c r="AA37" s="137">
        <f t="shared" si="14"/>
        <v>1768.0055661889178</v>
      </c>
      <c r="AB37" s="142">
        <f t="shared" si="15"/>
        <v>325.78519500368327</v>
      </c>
      <c r="AC37" s="142">
        <f t="shared" si="16"/>
        <v>-24.385195003683293</v>
      </c>
      <c r="AD37" s="142">
        <f t="shared" si="17"/>
        <v>24.385195003683293</v>
      </c>
      <c r="AE37" s="143">
        <f t="shared" si="18"/>
        <v>8.0906420052034828E-2</v>
      </c>
      <c r="AF37" s="142">
        <f t="shared" si="19"/>
        <v>594.63773536766064</v>
      </c>
    </row>
    <row r="38" spans="1:32">
      <c r="A38">
        <v>2018</v>
      </c>
      <c r="B38">
        <v>328.5</v>
      </c>
      <c r="C38" s="11">
        <f t="shared" si="20"/>
        <v>358.56400000000212</v>
      </c>
      <c r="D38" s="13">
        <f t="shared" si="21"/>
        <v>-30.064000000002125</v>
      </c>
      <c r="E38" s="13">
        <f t="shared" si="22"/>
        <v>30.064000000002125</v>
      </c>
      <c r="F38" s="24">
        <f t="shared" si="23"/>
        <v>9.1519025875196724E-2</v>
      </c>
      <c r="G38" s="13">
        <f t="shared" si="24"/>
        <v>903.84409600012771</v>
      </c>
      <c r="H38" s="17">
        <f t="shared" si="25"/>
        <v>324.56445263401997</v>
      </c>
      <c r="I38" s="17">
        <f t="shared" si="26"/>
        <v>3.9355473659800282</v>
      </c>
      <c r="J38" s="17">
        <f t="shared" si="27"/>
        <v>3.9355473659800282</v>
      </c>
      <c r="K38" s="25">
        <f t="shared" si="28"/>
        <v>4.3542325312478135E-3</v>
      </c>
      <c r="L38" s="17">
        <f t="shared" si="29"/>
        <v>15.488533069872338</v>
      </c>
      <c r="M38" s="12">
        <f t="shared" si="30"/>
        <v>353.29329999999999</v>
      </c>
      <c r="N38" s="12">
        <f t="shared" si="6"/>
        <v>-24.793299999999988</v>
      </c>
      <c r="O38" s="12">
        <f t="shared" si="31"/>
        <v>24.793299999999988</v>
      </c>
      <c r="P38" s="26">
        <f t="shared" si="7"/>
        <v>7.5474277016742738E-2</v>
      </c>
      <c r="Q38" s="12">
        <f t="shared" si="32"/>
        <v>614.70772488999944</v>
      </c>
      <c r="R38" s="84">
        <f t="shared" si="33"/>
        <v>357.34671038916605</v>
      </c>
      <c r="S38" s="84">
        <f t="shared" si="8"/>
        <v>-28.846710389166049</v>
      </c>
      <c r="T38" s="84">
        <f t="shared" si="34"/>
        <v>28.846710389166049</v>
      </c>
      <c r="U38" s="85">
        <f t="shared" si="9"/>
        <v>8.7813425842210191E-2</v>
      </c>
      <c r="V38" s="84">
        <f t="shared" si="35"/>
        <v>832.13270027642045</v>
      </c>
      <c r="W38" s="137">
        <f t="shared" si="10"/>
        <v>313.22742202188101</v>
      </c>
      <c r="X38" s="137">
        <f t="shared" si="11"/>
        <v>15.272577978118989</v>
      </c>
      <c r="Y38" s="137">
        <f t="shared" si="12"/>
        <v>15.272577978118989</v>
      </c>
      <c r="Z38" s="141">
        <f t="shared" si="13"/>
        <v>4.64918659912298E-2</v>
      </c>
      <c r="AA38" s="137">
        <f t="shared" si="14"/>
        <v>233.25163809772511</v>
      </c>
      <c r="AB38" s="142">
        <f t="shared" si="15"/>
        <v>351.02689470396479</v>
      </c>
      <c r="AC38" s="142">
        <f t="shared" si="16"/>
        <v>-22.526894703964786</v>
      </c>
      <c r="AD38" s="142">
        <f t="shared" si="17"/>
        <v>22.526894703964786</v>
      </c>
      <c r="AE38" s="143">
        <f t="shared" si="18"/>
        <v>6.8575021929877578E-2</v>
      </c>
      <c r="AF38" s="142">
        <f t="shared" si="19"/>
        <v>507.46098500351673</v>
      </c>
    </row>
    <row r="39" spans="1:32">
      <c r="A39">
        <v>2019</v>
      </c>
      <c r="B39">
        <v>389.5</v>
      </c>
      <c r="C39" s="11">
        <f t="shared" si="20"/>
        <v>373.76200000000244</v>
      </c>
      <c r="D39" s="13">
        <f t="shared" si="21"/>
        <v>15.737999999997555</v>
      </c>
      <c r="E39" s="13">
        <f t="shared" si="22"/>
        <v>15.737999999997555</v>
      </c>
      <c r="F39" s="24">
        <f t="shared" si="23"/>
        <v>4.0405648267002707E-2</v>
      </c>
      <c r="G39" s="13">
        <f t="shared" si="24"/>
        <v>247.68464399992305</v>
      </c>
      <c r="H39" s="17">
        <f t="shared" si="25"/>
        <v>354.58846950123973</v>
      </c>
      <c r="I39" s="17">
        <f t="shared" si="26"/>
        <v>34.911530498760271</v>
      </c>
      <c r="J39" s="17">
        <f t="shared" si="27"/>
        <v>34.911530498760271</v>
      </c>
      <c r="K39" s="25">
        <f t="shared" si="28"/>
        <v>0.14095153391411344</v>
      </c>
      <c r="L39" s="17">
        <f t="shared" si="29"/>
        <v>1218.8149617658687</v>
      </c>
      <c r="M39" s="12">
        <f t="shared" si="30"/>
        <v>390.51783</v>
      </c>
      <c r="N39" s="12">
        <f t="shared" si="6"/>
        <v>-1.0178300000000036</v>
      </c>
      <c r="O39" s="12">
        <f t="shared" si="31"/>
        <v>1.0178300000000036</v>
      </c>
      <c r="P39" s="26">
        <f t="shared" si="7"/>
        <v>2.6131707317073264E-3</v>
      </c>
      <c r="Q39" s="12">
        <f t="shared" si="32"/>
        <v>1.0359779089000072</v>
      </c>
      <c r="R39" s="84">
        <f t="shared" si="33"/>
        <v>393.44356654883069</v>
      </c>
      <c r="S39" s="84">
        <f t="shared" si="8"/>
        <v>-3.9435665488306881</v>
      </c>
      <c r="T39" s="84">
        <f t="shared" si="34"/>
        <v>3.9435665488306881</v>
      </c>
      <c r="U39" s="85">
        <f t="shared" si="9"/>
        <v>1.0124689470682126E-2</v>
      </c>
      <c r="V39" s="84">
        <f t="shared" si="35"/>
        <v>15.551717125056385</v>
      </c>
      <c r="W39" s="137">
        <f t="shared" si="10"/>
        <v>340.76702687308125</v>
      </c>
      <c r="X39" s="137">
        <f t="shared" si="11"/>
        <v>48.73297312691875</v>
      </c>
      <c r="Y39" s="137">
        <f t="shared" si="12"/>
        <v>48.73297312691875</v>
      </c>
      <c r="Z39" s="141">
        <f t="shared" si="13"/>
        <v>0.12511674743753209</v>
      </c>
      <c r="AA39" s="137">
        <f t="shared" si="14"/>
        <v>2374.9026697889849</v>
      </c>
      <c r="AB39" s="142">
        <f t="shared" si="15"/>
        <v>377.23942900810323</v>
      </c>
      <c r="AC39" s="142">
        <f t="shared" si="16"/>
        <v>12.26057099189677</v>
      </c>
      <c r="AD39" s="142">
        <f t="shared" si="17"/>
        <v>12.26057099189677</v>
      </c>
      <c r="AE39" s="143">
        <f t="shared" si="18"/>
        <v>3.1477717565845366E-2</v>
      </c>
      <c r="AF39" s="142">
        <f t="shared" si="19"/>
        <v>150.32160104734055</v>
      </c>
    </row>
    <row r="40" spans="1:32">
      <c r="A40">
        <v>2020</v>
      </c>
      <c r="B40">
        <v>438.7</v>
      </c>
      <c r="C40" s="11">
        <f>+E17</f>
        <v>388.95999999999913</v>
      </c>
      <c r="D40" s="13">
        <f t="shared" si="21"/>
        <v>49.740000000000862</v>
      </c>
      <c r="E40" s="13">
        <f t="shared" si="22"/>
        <v>49.740000000000862</v>
      </c>
      <c r="F40" s="24">
        <f t="shared" si="23"/>
        <v>0.11338044221563907</v>
      </c>
      <c r="G40" s="13">
        <f t="shared" si="24"/>
        <v>2474.0676000000858</v>
      </c>
      <c r="H40" s="17">
        <f t="shared" si="25"/>
        <v>261.31191863764684</v>
      </c>
      <c r="I40" s="17">
        <f t="shared" si="26"/>
        <v>177.38808136235315</v>
      </c>
      <c r="J40" s="17">
        <f t="shared" si="27"/>
        <v>177.38808136235315</v>
      </c>
      <c r="K40" s="25">
        <f t="shared" si="28"/>
        <v>7.1698963020390791E-2</v>
      </c>
      <c r="L40" s="17">
        <f t="shared" si="29"/>
        <v>31466.531409416821</v>
      </c>
      <c r="M40" s="12">
        <f t="shared" si="30"/>
        <v>402.95240000000001</v>
      </c>
      <c r="N40" s="12">
        <f t="shared" si="6"/>
        <v>35.747599999999977</v>
      </c>
      <c r="O40" s="12">
        <f t="shared" si="31"/>
        <v>35.747599999999977</v>
      </c>
      <c r="P40" s="26">
        <f t="shared" si="7"/>
        <v>8.1485297469797074E-2</v>
      </c>
      <c r="Q40" s="12">
        <f t="shared" si="32"/>
        <v>1277.8909057599983</v>
      </c>
      <c r="R40" s="84">
        <f t="shared" si="33"/>
        <v>404.94253425739868</v>
      </c>
      <c r="S40" s="84">
        <f t="shared" si="8"/>
        <v>33.757465742601312</v>
      </c>
      <c r="T40" s="84">
        <f t="shared" si="34"/>
        <v>33.757465742601312</v>
      </c>
      <c r="U40" s="85">
        <f t="shared" si="9"/>
        <v>7.6948861961708026E-2</v>
      </c>
      <c r="V40" s="84">
        <f t="shared" si="35"/>
        <v>1139.5664933629012</v>
      </c>
      <c r="W40" s="137">
        <f t="shared" si="10"/>
        <v>345.15627278025431</v>
      </c>
      <c r="X40" s="137">
        <f t="shared" si="11"/>
        <v>93.543727219745676</v>
      </c>
      <c r="Y40" s="137">
        <f t="shared" si="12"/>
        <v>93.543727219745676</v>
      </c>
      <c r="Z40" s="141">
        <f t="shared" si="13"/>
        <v>0.21322937592830107</v>
      </c>
      <c r="AA40" s="137">
        <f t="shared" si="14"/>
        <v>8750.428902162188</v>
      </c>
      <c r="AB40" s="142">
        <f t="shared" si="15"/>
        <v>387.91860965053002</v>
      </c>
      <c r="AC40" s="142">
        <f t="shared" si="16"/>
        <v>50.781390349469973</v>
      </c>
      <c r="AD40" s="142">
        <f t="shared" si="17"/>
        <v>50.781390349469973</v>
      </c>
      <c r="AE40" s="143">
        <f t="shared" si="18"/>
        <v>0.11575425199332112</v>
      </c>
      <c r="AF40" s="142">
        <f t="shared" si="19"/>
        <v>2578.7496058252423</v>
      </c>
    </row>
    <row r="43" spans="1:32">
      <c r="C43" s="14" t="s">
        <v>42</v>
      </c>
      <c r="D43" s="18">
        <f>+AVERAGE(D$26:D$40)</f>
        <v>0.33266666666565547</v>
      </c>
      <c r="E43" s="18"/>
      <c r="F43" s="18"/>
      <c r="G43" s="18"/>
      <c r="H43" s="14" t="s">
        <v>42</v>
      </c>
      <c r="I43" s="18">
        <f>+AVERAGE(I$26:I$40)</f>
        <v>6.9668569876602611</v>
      </c>
      <c r="J43" s="18"/>
      <c r="K43" s="18"/>
      <c r="L43" s="18"/>
      <c r="M43" s="14" t="s">
        <v>42</v>
      </c>
      <c r="N43" s="18">
        <f>+AVERAGE(N$26:N$40)</f>
        <v>9.8594979999999914</v>
      </c>
      <c r="O43" s="18"/>
      <c r="P43" s="18"/>
      <c r="Q43" s="21"/>
      <c r="R43" s="55" t="s">
        <v>42</v>
      </c>
      <c r="S43" s="56">
        <f>+AVERAGE(S$26:S$40)</f>
        <v>5.6843418860808018E-15</v>
      </c>
      <c r="T43" s="56"/>
      <c r="U43" s="56"/>
      <c r="V43" s="57"/>
      <c r="W43" s="14" t="s">
        <v>42</v>
      </c>
      <c r="X43" s="18">
        <f>+AVERAGE(X$26:X$40)</f>
        <v>-2.4632148173016807E-14</v>
      </c>
      <c r="Y43" s="18"/>
      <c r="Z43" s="18"/>
      <c r="AA43" s="21"/>
      <c r="AB43" s="14" t="s">
        <v>42</v>
      </c>
      <c r="AC43" s="18">
        <f>+AVERAGE(AC$26:AC$40)</f>
        <v>-9.473903143468002E-15</v>
      </c>
      <c r="AD43" s="18"/>
      <c r="AE43" s="18"/>
      <c r="AF43" s="21"/>
    </row>
    <row r="44" spans="1:32">
      <c r="C44" s="15" t="s">
        <v>43</v>
      </c>
      <c r="D44" s="19"/>
      <c r="E44" s="19">
        <f>+AVERAGE(E$26:E$40)</f>
        <v>23.451600000000518</v>
      </c>
      <c r="F44" s="19"/>
      <c r="G44" s="19"/>
      <c r="H44" s="15" t="s">
        <v>43</v>
      </c>
      <c r="I44" s="19"/>
      <c r="J44" s="19">
        <f>+AVERAGE(J$26:J$40)</f>
        <v>39.360203027325511</v>
      </c>
      <c r="K44" s="19"/>
      <c r="L44" s="19"/>
      <c r="M44" s="15" t="s">
        <v>43</v>
      </c>
      <c r="N44" s="19"/>
      <c r="O44" s="19">
        <f>+AVERAGE(O$26:O$40)</f>
        <v>20.013083333333327</v>
      </c>
      <c r="P44" s="19"/>
      <c r="Q44" s="22"/>
      <c r="R44" s="58" t="s">
        <v>43</v>
      </c>
      <c r="S44" s="59"/>
      <c r="T44" s="59">
        <f>+AVERAGE(T$26:T$40)</f>
        <v>16.077458009139391</v>
      </c>
      <c r="U44" s="59"/>
      <c r="V44" s="60"/>
      <c r="W44" s="15" t="s">
        <v>43</v>
      </c>
      <c r="X44" s="19"/>
      <c r="Y44" s="19">
        <f>+AVERAGE(Y$26:Y$40)</f>
        <v>47.689223929044253</v>
      </c>
      <c r="Z44" s="19"/>
      <c r="AA44" s="22"/>
      <c r="AB44" s="15" t="s">
        <v>43</v>
      </c>
      <c r="AC44" s="19"/>
      <c r="AD44" s="19">
        <f>+AVERAGE(AD$26:AD$40)</f>
        <v>21.025117165827393</v>
      </c>
      <c r="AE44" s="19"/>
      <c r="AF44" s="22"/>
    </row>
    <row r="45" spans="1:32">
      <c r="C45" s="15" t="s">
        <v>44</v>
      </c>
      <c r="D45" s="19"/>
      <c r="E45" s="19"/>
      <c r="F45" s="27">
        <f>+AVERAGE(F$26:F$40)</f>
        <v>8.0555703985352514E-2</v>
      </c>
      <c r="G45" s="19"/>
      <c r="H45" s="15" t="s">
        <v>44</v>
      </c>
      <c r="I45" s="19"/>
      <c r="J45" s="19"/>
      <c r="K45" s="27">
        <f>+AVERAGE(K$26:K$40)</f>
        <v>0.24248077532920764</v>
      </c>
      <c r="L45" s="19"/>
      <c r="M45" s="15" t="s">
        <v>44</v>
      </c>
      <c r="N45" s="19"/>
      <c r="O45" s="19"/>
      <c r="P45" s="27">
        <f>+AVERAGE(P$26:P$40)</f>
        <v>7.8901468601617772E-2</v>
      </c>
      <c r="Q45" s="22"/>
      <c r="R45" s="58" t="s">
        <v>44</v>
      </c>
      <c r="S45" s="59"/>
      <c r="T45" s="59"/>
      <c r="U45" s="61">
        <f>+AVERAGE(U$26:U$40)</f>
        <v>6.3618264300201233E-2</v>
      </c>
      <c r="V45" s="60"/>
      <c r="W45" s="15" t="s">
        <v>44</v>
      </c>
      <c r="X45" s="19"/>
      <c r="Y45" s="19"/>
      <c r="Z45" s="53">
        <f>+AVERAGE(Z$26:Z$40)</f>
        <v>0.19071681645471847</v>
      </c>
      <c r="AA45" s="22"/>
      <c r="AB45" s="15" t="s">
        <v>44</v>
      </c>
      <c r="AC45" s="19"/>
      <c r="AD45" s="19"/>
      <c r="AE45" s="54">
        <f>+AVERAGE(AE$26:AE$40)</f>
        <v>7.4498222630582228E-2</v>
      </c>
      <c r="AF45" s="22"/>
    </row>
    <row r="46" spans="1:32">
      <c r="C46" s="15" t="s">
        <v>45</v>
      </c>
      <c r="D46" s="19"/>
      <c r="E46" s="19"/>
      <c r="F46" s="19"/>
      <c r="G46" s="19">
        <f>+AVERAGE(G$26:G$40)</f>
        <v>756.02456400002654</v>
      </c>
      <c r="H46" s="15" t="s">
        <v>45</v>
      </c>
      <c r="I46" s="19"/>
      <c r="J46" s="19"/>
      <c r="K46" s="19"/>
      <c r="L46" s="19">
        <f>+AVERAGE(L$26:L$40)</f>
        <v>3395.5041920372869</v>
      </c>
      <c r="M46" s="15" t="s">
        <v>45</v>
      </c>
      <c r="N46" s="19"/>
      <c r="O46" s="19"/>
      <c r="P46" s="19"/>
      <c r="Q46" s="22">
        <f>+AVERAGE(Q$26:Q$40)</f>
        <v>539.17365980456657</v>
      </c>
      <c r="R46" s="58" t="s">
        <v>45</v>
      </c>
      <c r="S46" s="59"/>
      <c r="T46" s="59"/>
      <c r="U46" s="59"/>
      <c r="V46" s="60">
        <f>+AVERAGE(V$26:V$40)</f>
        <v>392.0189206889487</v>
      </c>
      <c r="W46" s="15" t="s">
        <v>45</v>
      </c>
      <c r="X46" s="19"/>
      <c r="Y46" s="19"/>
      <c r="Z46" s="19"/>
      <c r="AA46" s="22">
        <f>+AVERAGE(AA$26:AA$40)</f>
        <v>3278.0767398728349</v>
      </c>
      <c r="AB46" s="15" t="s">
        <v>45</v>
      </c>
      <c r="AC46" s="19"/>
      <c r="AD46" s="19"/>
      <c r="AE46" s="19"/>
      <c r="AF46" s="22">
        <f>+AVERAGE(AF$26:AF$40)</f>
        <v>727.92977388639895</v>
      </c>
    </row>
    <row r="47" spans="1:32">
      <c r="C47" s="16" t="s">
        <v>46</v>
      </c>
      <c r="D47" s="20"/>
      <c r="E47" s="20"/>
      <c r="F47" s="20"/>
      <c r="G47" s="20">
        <f>+SQRT(G46)</f>
        <v>27.495900858128408</v>
      </c>
      <c r="H47" s="16" t="s">
        <v>46</v>
      </c>
      <c r="I47" s="20"/>
      <c r="J47" s="20"/>
      <c r="K47" s="20"/>
      <c r="L47" s="20">
        <f>+SQRT(L46)</f>
        <v>58.270954960745982</v>
      </c>
      <c r="M47" s="16" t="s">
        <v>46</v>
      </c>
      <c r="N47" s="20"/>
      <c r="O47" s="20"/>
      <c r="P47" s="20"/>
      <c r="Q47" s="23">
        <f>+SQRT(Q46)</f>
        <v>23.220113259942696</v>
      </c>
      <c r="R47" s="62" t="s">
        <v>46</v>
      </c>
      <c r="S47" s="63"/>
      <c r="T47" s="63"/>
      <c r="U47" s="63"/>
      <c r="V47" s="64">
        <f>+SQRT(V46)</f>
        <v>19.799467687009887</v>
      </c>
      <c r="W47" s="16" t="s">
        <v>46</v>
      </c>
      <c r="X47" s="20"/>
      <c r="Y47" s="20"/>
      <c r="Z47" s="20"/>
      <c r="AA47" s="23">
        <f>+SQRT(AA46)</f>
        <v>57.254491001779371</v>
      </c>
      <c r="AB47" s="16" t="s">
        <v>46</v>
      </c>
      <c r="AC47" s="20"/>
      <c r="AD47" s="20"/>
      <c r="AE47" s="20"/>
      <c r="AF47" s="23">
        <f>+SQRT(AF46)</f>
        <v>26.980173718610466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5137-DCAC-C94E-BB5E-2C0210C511FB}">
  <dimension ref="A1:AA79"/>
  <sheetViews>
    <sheetView topLeftCell="A6" zoomScale="75" workbookViewId="0">
      <selection activeCell="J16" sqref="J16"/>
    </sheetView>
  </sheetViews>
  <sheetFormatPr defaultColWidth="11" defaultRowHeight="15.95"/>
  <sheetData>
    <row r="1" spans="1:20" ht="17.100000000000001" thickBot="1">
      <c r="D1" s="161" t="s">
        <v>68</v>
      </c>
      <c r="E1" s="162"/>
      <c r="F1" s="162"/>
      <c r="G1" s="162"/>
      <c r="H1" s="163"/>
    </row>
    <row r="2" spans="1:20" ht="17.100000000000001" thickBot="1">
      <c r="A2" t="s">
        <v>69</v>
      </c>
      <c r="B2" t="s">
        <v>70</v>
      </c>
      <c r="C2" t="s">
        <v>71</v>
      </c>
      <c r="D2" s="35" t="s">
        <v>72</v>
      </c>
      <c r="E2" s="36" t="s">
        <v>73</v>
      </c>
      <c r="F2" s="36" t="s">
        <v>74</v>
      </c>
      <c r="G2" s="36" t="s">
        <v>75</v>
      </c>
      <c r="H2" s="37" t="s">
        <v>76</v>
      </c>
    </row>
    <row r="3" spans="1:20">
      <c r="D3" s="116"/>
      <c r="E3" s="117"/>
      <c r="F3" s="117"/>
      <c r="G3" s="117">
        <f>+AVERAGE(B4:B8)</f>
        <v>54</v>
      </c>
      <c r="H3" s="118">
        <f>+AVERAGE(B4:B8)</f>
        <v>54</v>
      </c>
      <c r="K3" t="s">
        <v>75</v>
      </c>
      <c r="L3" t="s">
        <v>76</v>
      </c>
    </row>
    <row r="4" spans="1:20" ht="17.100000000000001" thickBot="1">
      <c r="A4">
        <v>1</v>
      </c>
      <c r="B4">
        <v>50</v>
      </c>
      <c r="C4">
        <v>50</v>
      </c>
      <c r="D4" s="119"/>
      <c r="E4" s="124"/>
      <c r="F4" s="124"/>
      <c r="G4" s="124">
        <f>+B4*K$4+(1-K$4)*G3</f>
        <v>53.6</v>
      </c>
      <c r="H4" s="120">
        <f>+B4*L$4+(1-L$4)*H3</f>
        <v>52</v>
      </c>
      <c r="K4">
        <v>0.1</v>
      </c>
      <c r="L4">
        <v>0.5</v>
      </c>
    </row>
    <row r="5" spans="1:20" ht="17.100000000000001" thickBot="1">
      <c r="A5">
        <v>2</v>
      </c>
      <c r="B5">
        <v>70</v>
      </c>
      <c r="C5">
        <v>70</v>
      </c>
      <c r="D5" s="119">
        <f t="shared" ref="D5:D18" si="0">+B4</f>
        <v>50</v>
      </c>
      <c r="E5" s="124"/>
      <c r="F5" s="124"/>
      <c r="G5" s="124">
        <f>+B5*K$4+(1-K$4)*G4</f>
        <v>55.24</v>
      </c>
      <c r="H5" s="120">
        <f t="shared" ref="H5:H8" si="1">+B5*L$4+(1-L$4)*H4</f>
        <v>61</v>
      </c>
      <c r="K5" t="s">
        <v>77</v>
      </c>
      <c r="N5" t="s">
        <v>69</v>
      </c>
      <c r="O5" t="s">
        <v>70</v>
      </c>
      <c r="P5" s="35" t="s">
        <v>72</v>
      </c>
      <c r="Q5" s="36" t="s">
        <v>73</v>
      </c>
      <c r="R5" s="36" t="s">
        <v>74</v>
      </c>
      <c r="S5" s="36" t="s">
        <v>75</v>
      </c>
      <c r="T5" s="37" t="s">
        <v>76</v>
      </c>
    </row>
    <row r="6" spans="1:20">
      <c r="A6">
        <v>3</v>
      </c>
      <c r="B6">
        <v>90</v>
      </c>
      <c r="C6">
        <v>90</v>
      </c>
      <c r="D6" s="119">
        <f t="shared" si="0"/>
        <v>70</v>
      </c>
      <c r="E6" s="124"/>
      <c r="F6" s="124"/>
      <c r="G6" s="124">
        <f>+B6*K$4+(1-K$4)*G5</f>
        <v>58.716000000000001</v>
      </c>
      <c r="H6" s="120">
        <f t="shared" si="1"/>
        <v>75.5</v>
      </c>
      <c r="K6">
        <f>+AVERAGE(B4:B18)</f>
        <v>50</v>
      </c>
      <c r="N6">
        <v>1</v>
      </c>
      <c r="O6">
        <v>40</v>
      </c>
      <c r="P6">
        <v>30</v>
      </c>
      <c r="Q6">
        <v>50</v>
      </c>
      <c r="R6">
        <v>54</v>
      </c>
      <c r="S6">
        <v>51.933964000000003</v>
      </c>
      <c r="T6">
        <v>40.6875</v>
      </c>
    </row>
    <row r="7" spans="1:20">
      <c r="A7">
        <v>4</v>
      </c>
      <c r="B7">
        <v>30</v>
      </c>
      <c r="C7">
        <v>80</v>
      </c>
      <c r="D7" s="119">
        <f t="shared" si="0"/>
        <v>90</v>
      </c>
      <c r="E7" s="124">
        <f>+AVERAGE(B4:B6)</f>
        <v>70</v>
      </c>
      <c r="F7" s="124"/>
      <c r="G7" s="124">
        <f t="shared" ref="G7:G8" si="2">+B7*K$4+(1-K$4)*G6</f>
        <v>55.8444</v>
      </c>
      <c r="H7" s="120">
        <f t="shared" si="1"/>
        <v>52.75</v>
      </c>
      <c r="K7" t="s">
        <v>78</v>
      </c>
      <c r="N7">
        <v>2</v>
      </c>
      <c r="O7">
        <v>30</v>
      </c>
      <c r="P7">
        <v>40</v>
      </c>
      <c r="Q7">
        <v>33.333333333333336</v>
      </c>
      <c r="R7">
        <v>52</v>
      </c>
      <c r="S7">
        <v>49.740567600000006</v>
      </c>
      <c r="T7">
        <v>35.34375</v>
      </c>
    </row>
    <row r="8" spans="1:20" ht="17.100000000000001" thickBot="1">
      <c r="A8">
        <v>5</v>
      </c>
      <c r="B8">
        <v>30</v>
      </c>
      <c r="C8">
        <v>90</v>
      </c>
      <c r="D8" s="121">
        <f t="shared" si="0"/>
        <v>30</v>
      </c>
      <c r="E8" s="122">
        <f>+AVERAGE(B5:B7)</f>
        <v>63.333333333333336</v>
      </c>
      <c r="F8" s="122"/>
      <c r="G8" s="122">
        <f t="shared" si="2"/>
        <v>53.25996</v>
      </c>
      <c r="H8" s="123">
        <f t="shared" si="1"/>
        <v>41.375</v>
      </c>
      <c r="K8">
        <f>+AVERAGE(B4:B8)</f>
        <v>54</v>
      </c>
      <c r="N8">
        <v>3</v>
      </c>
      <c r="O8">
        <v>50</v>
      </c>
      <c r="P8">
        <v>30</v>
      </c>
      <c r="Q8">
        <v>33.333333333333336</v>
      </c>
      <c r="R8">
        <v>44</v>
      </c>
      <c r="S8">
        <v>49.766510840000009</v>
      </c>
      <c r="T8">
        <v>42.671875</v>
      </c>
    </row>
    <row r="9" spans="1:20" ht="17.100000000000001" thickTop="1">
      <c r="A9">
        <v>6</v>
      </c>
      <c r="B9">
        <v>40</v>
      </c>
      <c r="C9">
        <v>110</v>
      </c>
      <c r="D9" s="28">
        <f t="shared" si="0"/>
        <v>30</v>
      </c>
      <c r="E9">
        <f t="shared" ref="E9:E18" si="3">+AVERAGE(B6:B8)</f>
        <v>50</v>
      </c>
      <c r="F9">
        <f t="shared" ref="F9:F18" si="4">+AVERAGE(B4:B8)</f>
        <v>54</v>
      </c>
      <c r="G9">
        <f>+G3</f>
        <v>54</v>
      </c>
      <c r="H9" s="29">
        <f>+B8</f>
        <v>30</v>
      </c>
      <c r="N9">
        <v>4</v>
      </c>
      <c r="O9">
        <v>60</v>
      </c>
      <c r="P9">
        <v>50</v>
      </c>
      <c r="Q9">
        <v>40</v>
      </c>
      <c r="R9">
        <v>36</v>
      </c>
      <c r="S9">
        <v>50.789859756000013</v>
      </c>
      <c r="T9">
        <v>51.3359375</v>
      </c>
    </row>
    <row r="10" spans="1:20">
      <c r="A10">
        <v>7</v>
      </c>
      <c r="B10">
        <v>30</v>
      </c>
      <c r="C10">
        <v>130</v>
      </c>
      <c r="D10" s="28">
        <f t="shared" si="0"/>
        <v>40</v>
      </c>
      <c r="E10">
        <f t="shared" si="3"/>
        <v>33.333333333333336</v>
      </c>
      <c r="F10">
        <f t="shared" si="4"/>
        <v>52</v>
      </c>
      <c r="G10">
        <f>+B9*K$4+(1-K$4)*G3</f>
        <v>52.6</v>
      </c>
      <c r="H10" s="29">
        <f>+B9*L$4+(1-L$4)*H9</f>
        <v>35</v>
      </c>
      <c r="N10">
        <v>5</v>
      </c>
      <c r="O10">
        <v>70</v>
      </c>
      <c r="P10">
        <v>60</v>
      </c>
      <c r="Q10">
        <v>46.666666666666664</v>
      </c>
      <c r="R10">
        <v>42</v>
      </c>
      <c r="S10">
        <v>52.710873780400014</v>
      </c>
      <c r="T10">
        <v>60.66796875</v>
      </c>
    </row>
    <row r="11" spans="1:20">
      <c r="A11">
        <v>8</v>
      </c>
      <c r="B11">
        <v>50</v>
      </c>
      <c r="C11">
        <v>120</v>
      </c>
      <c r="D11" s="28">
        <f t="shared" si="0"/>
        <v>30</v>
      </c>
      <c r="E11">
        <f t="shared" si="3"/>
        <v>33.333333333333336</v>
      </c>
      <c r="F11">
        <f t="shared" si="4"/>
        <v>44</v>
      </c>
      <c r="G11">
        <f t="shared" ref="G11:G18" si="5">+B10*K$4+(1-K$4)*G10</f>
        <v>50.34</v>
      </c>
      <c r="H11" s="29">
        <f t="shared" ref="H11:H18" si="6">+B10*L$4+(1-L$4)*H10</f>
        <v>32.5</v>
      </c>
      <c r="N11">
        <v>6</v>
      </c>
      <c r="O11">
        <v>60</v>
      </c>
      <c r="P11">
        <v>70</v>
      </c>
      <c r="Q11">
        <v>60</v>
      </c>
      <c r="R11">
        <v>50</v>
      </c>
      <c r="S11">
        <v>53.439786402360014</v>
      </c>
      <c r="T11">
        <v>60.333984375</v>
      </c>
    </row>
    <row r="12" spans="1:20">
      <c r="A12">
        <v>9</v>
      </c>
      <c r="B12">
        <v>60</v>
      </c>
      <c r="C12">
        <v>140</v>
      </c>
      <c r="D12" s="28">
        <f t="shared" si="0"/>
        <v>50</v>
      </c>
      <c r="E12">
        <f t="shared" si="3"/>
        <v>40</v>
      </c>
      <c r="F12">
        <f t="shared" si="4"/>
        <v>36</v>
      </c>
      <c r="G12">
        <f t="shared" si="5"/>
        <v>50.306000000000004</v>
      </c>
      <c r="H12" s="29">
        <f t="shared" si="6"/>
        <v>41.25</v>
      </c>
      <c r="N12">
        <v>7</v>
      </c>
      <c r="O12">
        <v>40</v>
      </c>
      <c r="P12">
        <v>60</v>
      </c>
      <c r="Q12">
        <v>63.333333333333336</v>
      </c>
      <c r="R12">
        <v>54</v>
      </c>
      <c r="S12">
        <v>52.095807762124011</v>
      </c>
      <c r="T12">
        <v>50.1669921875</v>
      </c>
    </row>
    <row r="13" spans="1:20">
      <c r="A13">
        <v>10</v>
      </c>
      <c r="B13">
        <v>70</v>
      </c>
      <c r="C13">
        <v>150</v>
      </c>
      <c r="D13" s="28">
        <f t="shared" si="0"/>
        <v>60</v>
      </c>
      <c r="E13">
        <f t="shared" si="3"/>
        <v>46.666666666666664</v>
      </c>
      <c r="F13">
        <f t="shared" si="4"/>
        <v>42</v>
      </c>
      <c r="G13">
        <f t="shared" si="5"/>
        <v>51.275400000000005</v>
      </c>
      <c r="H13" s="29">
        <f t="shared" si="6"/>
        <v>50.625</v>
      </c>
      <c r="N13">
        <v>8</v>
      </c>
      <c r="O13">
        <v>40</v>
      </c>
      <c r="P13">
        <v>40</v>
      </c>
      <c r="Q13">
        <v>56.666666666666664</v>
      </c>
      <c r="R13">
        <v>56</v>
      </c>
      <c r="S13">
        <v>50.886226985911613</v>
      </c>
      <c r="T13">
        <v>45.08349609375</v>
      </c>
    </row>
    <row r="14" spans="1:20">
      <c r="A14">
        <v>11</v>
      </c>
      <c r="B14">
        <v>60</v>
      </c>
      <c r="C14">
        <v>170</v>
      </c>
      <c r="D14" s="28">
        <f t="shared" si="0"/>
        <v>70</v>
      </c>
      <c r="E14">
        <f t="shared" si="3"/>
        <v>60</v>
      </c>
      <c r="F14">
        <f t="shared" si="4"/>
        <v>50</v>
      </c>
      <c r="G14">
        <f t="shared" si="5"/>
        <v>53.147860000000009</v>
      </c>
      <c r="H14" s="29">
        <f t="shared" si="6"/>
        <v>60.3125</v>
      </c>
      <c r="N14">
        <v>9</v>
      </c>
      <c r="O14">
        <v>40</v>
      </c>
      <c r="P14">
        <v>40</v>
      </c>
      <c r="Q14">
        <v>46.666666666666664</v>
      </c>
      <c r="R14">
        <v>54</v>
      </c>
      <c r="S14">
        <v>49.797604287320453</v>
      </c>
      <c r="T14">
        <v>42.541748046875</v>
      </c>
    </row>
    <row r="15" spans="1:20">
      <c r="A15">
        <v>12</v>
      </c>
      <c r="B15">
        <v>40</v>
      </c>
      <c r="C15">
        <v>160</v>
      </c>
      <c r="D15" s="28">
        <f t="shared" si="0"/>
        <v>60</v>
      </c>
      <c r="E15">
        <f t="shared" si="3"/>
        <v>63.333333333333336</v>
      </c>
      <c r="F15">
        <f t="shared" si="4"/>
        <v>54</v>
      </c>
      <c r="G15">
        <f t="shared" si="5"/>
        <v>53.833074000000011</v>
      </c>
      <c r="H15" s="29">
        <f t="shared" si="6"/>
        <v>60.15625</v>
      </c>
      <c r="N15">
        <v>10</v>
      </c>
      <c r="O15">
        <v>50</v>
      </c>
      <c r="P15">
        <v>40</v>
      </c>
      <c r="Q15">
        <v>40</v>
      </c>
      <c r="R15">
        <v>50</v>
      </c>
      <c r="S15">
        <v>49.817843858588411</v>
      </c>
      <c r="T15">
        <v>46.2708740234375</v>
      </c>
    </row>
    <row r="16" spans="1:20">
      <c r="A16">
        <v>13</v>
      </c>
      <c r="B16">
        <v>40</v>
      </c>
      <c r="C16">
        <v>150</v>
      </c>
      <c r="D16" s="28">
        <f t="shared" si="0"/>
        <v>40</v>
      </c>
      <c r="E16">
        <f t="shared" si="3"/>
        <v>56.666666666666664</v>
      </c>
      <c r="F16">
        <f t="shared" si="4"/>
        <v>56</v>
      </c>
      <c r="G16">
        <f t="shared" si="5"/>
        <v>52.449766600000011</v>
      </c>
      <c r="H16" s="29">
        <f t="shared" si="6"/>
        <v>50.078125</v>
      </c>
    </row>
    <row r="17" spans="1:27">
      <c r="A17">
        <v>14</v>
      </c>
      <c r="B17">
        <v>40</v>
      </c>
      <c r="C17">
        <v>190</v>
      </c>
      <c r="D17" s="28">
        <f t="shared" si="0"/>
        <v>40</v>
      </c>
      <c r="E17">
        <f t="shared" si="3"/>
        <v>46.666666666666664</v>
      </c>
      <c r="F17">
        <f t="shared" si="4"/>
        <v>54</v>
      </c>
      <c r="G17">
        <f t="shared" si="5"/>
        <v>51.204789940000012</v>
      </c>
      <c r="H17" s="29">
        <f t="shared" si="6"/>
        <v>45.0390625</v>
      </c>
    </row>
    <row r="18" spans="1:27" ht="17.100000000000001" thickBot="1">
      <c r="A18">
        <v>15</v>
      </c>
      <c r="B18">
        <v>50</v>
      </c>
      <c r="C18">
        <v>220</v>
      </c>
      <c r="D18" s="30">
        <f t="shared" si="0"/>
        <v>40</v>
      </c>
      <c r="E18" s="31">
        <f t="shared" si="3"/>
        <v>40</v>
      </c>
      <c r="F18" s="31">
        <f t="shared" si="4"/>
        <v>50</v>
      </c>
      <c r="G18" s="31">
        <f t="shared" si="5"/>
        <v>50.084310946000009</v>
      </c>
      <c r="H18" s="32">
        <f t="shared" si="6"/>
        <v>42.51953125</v>
      </c>
    </row>
    <row r="20" spans="1:27" ht="17.100000000000001" thickBot="1"/>
    <row r="21" spans="1:27" ht="17.100000000000001" thickBot="1">
      <c r="A21" s="38" t="s">
        <v>69</v>
      </c>
      <c r="B21" s="39" t="s">
        <v>70</v>
      </c>
      <c r="C21" s="38" t="s">
        <v>72</v>
      </c>
      <c r="D21" s="40" t="s">
        <v>38</v>
      </c>
      <c r="E21" s="40" t="s">
        <v>39</v>
      </c>
      <c r="F21" s="40" t="s">
        <v>40</v>
      </c>
      <c r="G21" s="39" t="s">
        <v>41</v>
      </c>
      <c r="H21" s="38" t="s">
        <v>73</v>
      </c>
      <c r="I21" s="40" t="s">
        <v>38</v>
      </c>
      <c r="J21" s="40" t="s">
        <v>39</v>
      </c>
      <c r="K21" s="40" t="s">
        <v>40</v>
      </c>
      <c r="L21" s="39" t="s">
        <v>41</v>
      </c>
      <c r="M21" s="38" t="s">
        <v>74</v>
      </c>
      <c r="N21" s="40" t="s">
        <v>38</v>
      </c>
      <c r="O21" s="40" t="s">
        <v>39</v>
      </c>
      <c r="P21" s="40" t="s">
        <v>40</v>
      </c>
      <c r="Q21" s="39" t="s">
        <v>41</v>
      </c>
      <c r="R21" s="38" t="s">
        <v>79</v>
      </c>
      <c r="S21" s="40" t="s">
        <v>38</v>
      </c>
      <c r="T21" s="40" t="s">
        <v>39</v>
      </c>
      <c r="U21" s="40" t="s">
        <v>40</v>
      </c>
      <c r="V21" s="39" t="s">
        <v>41</v>
      </c>
      <c r="W21" s="38" t="s">
        <v>80</v>
      </c>
      <c r="X21" s="40" t="s">
        <v>38</v>
      </c>
      <c r="Y21" s="40" t="s">
        <v>39</v>
      </c>
      <c r="Z21" s="40" t="s">
        <v>40</v>
      </c>
      <c r="AA21" s="39" t="s">
        <v>41</v>
      </c>
    </row>
    <row r="22" spans="1:27">
      <c r="A22" s="28">
        <v>6</v>
      </c>
      <c r="B22" s="29">
        <v>40</v>
      </c>
      <c r="C22" s="28">
        <f>+D9</f>
        <v>30</v>
      </c>
      <c r="D22">
        <f>+$B22-C22</f>
        <v>10</v>
      </c>
      <c r="E22">
        <f>+ABS(D22)</f>
        <v>10</v>
      </c>
      <c r="F22" s="41">
        <f>+E22/$B22</f>
        <v>0.25</v>
      </c>
      <c r="G22" s="29">
        <f>+E22^2</f>
        <v>100</v>
      </c>
      <c r="H22" s="28">
        <f>+E9</f>
        <v>50</v>
      </c>
      <c r="I22">
        <f>+$B22-H22</f>
        <v>-10</v>
      </c>
      <c r="J22">
        <f>+ABS(I22)</f>
        <v>10</v>
      </c>
      <c r="K22" s="41">
        <f>+J22/$B22</f>
        <v>0.25</v>
      </c>
      <c r="L22" s="29">
        <f>+J22^2</f>
        <v>100</v>
      </c>
      <c r="M22" s="28">
        <f>+F9</f>
        <v>54</v>
      </c>
      <c r="N22">
        <f>+$B22-M22</f>
        <v>-14</v>
      </c>
      <c r="O22">
        <f>+ABS(N22)</f>
        <v>14</v>
      </c>
      <c r="P22" s="41">
        <f>+O22/$B22</f>
        <v>0.35</v>
      </c>
      <c r="Q22" s="29">
        <f>+O22^2</f>
        <v>196</v>
      </c>
      <c r="R22" s="28">
        <f>+G9</f>
        <v>54</v>
      </c>
      <c r="S22">
        <f>+$B22-R22</f>
        <v>-14</v>
      </c>
      <c r="T22">
        <f>+ABS(S22)</f>
        <v>14</v>
      </c>
      <c r="U22" s="41">
        <f>+T22/$B22</f>
        <v>0.35</v>
      </c>
      <c r="V22" s="29">
        <f>+T22^2</f>
        <v>196</v>
      </c>
      <c r="W22" s="28">
        <f>+H9</f>
        <v>30</v>
      </c>
      <c r="X22">
        <f>+$B22-W22</f>
        <v>10</v>
      </c>
      <c r="Y22">
        <f>+ABS(X22)</f>
        <v>10</v>
      </c>
      <c r="Z22" s="41">
        <f>+Y22/$B22</f>
        <v>0.25</v>
      </c>
      <c r="AA22" s="29">
        <f>+Y22^2</f>
        <v>100</v>
      </c>
    </row>
    <row r="23" spans="1:27">
      <c r="A23" s="28">
        <v>7</v>
      </c>
      <c r="B23" s="29">
        <v>30</v>
      </c>
      <c r="C23" s="28">
        <f t="shared" ref="C23:C31" si="7">+D10</f>
        <v>40</v>
      </c>
      <c r="D23">
        <f t="shared" ref="D23:D31" si="8">+$B23-C23</f>
        <v>-10</v>
      </c>
      <c r="E23">
        <f t="shared" ref="E23:E31" si="9">+ABS(D23)</f>
        <v>10</v>
      </c>
      <c r="F23" s="41">
        <f t="shared" ref="F23:F31" si="10">+E23/$B23</f>
        <v>0.33333333333333331</v>
      </c>
      <c r="G23" s="29">
        <f t="shared" ref="G23:G31" si="11">+E23^2</f>
        <v>100</v>
      </c>
      <c r="H23" s="28">
        <f t="shared" ref="H23:H31" si="12">+E10</f>
        <v>33.333333333333336</v>
      </c>
      <c r="I23">
        <f t="shared" ref="I23:I31" si="13">+$B23-H23</f>
        <v>-3.3333333333333357</v>
      </c>
      <c r="J23">
        <f t="shared" ref="J23:J31" si="14">+ABS(I23)</f>
        <v>3.3333333333333357</v>
      </c>
      <c r="K23" s="41">
        <f t="shared" ref="K23:K31" si="15">+J23/$B23</f>
        <v>0.11111111111111119</v>
      </c>
      <c r="L23" s="29">
        <f t="shared" ref="L23:L31" si="16">+J23^2</f>
        <v>11.111111111111127</v>
      </c>
      <c r="M23" s="28">
        <f t="shared" ref="M23:M31" si="17">+F10</f>
        <v>52</v>
      </c>
      <c r="N23">
        <f t="shared" ref="N23:N31" si="18">+$B23-M23</f>
        <v>-22</v>
      </c>
      <c r="O23">
        <f t="shared" ref="O23:O31" si="19">+ABS(N23)</f>
        <v>22</v>
      </c>
      <c r="P23" s="41">
        <f t="shared" ref="P23:P31" si="20">+O23/$B23</f>
        <v>0.73333333333333328</v>
      </c>
      <c r="Q23" s="29">
        <f t="shared" ref="Q23:Q31" si="21">+O23^2</f>
        <v>484</v>
      </c>
      <c r="R23" s="28">
        <f t="shared" ref="R23:R31" si="22">+G10</f>
        <v>52.6</v>
      </c>
      <c r="S23">
        <f>+$B23-R23</f>
        <v>-22.6</v>
      </c>
      <c r="T23">
        <f t="shared" ref="T23:T31" si="23">+ABS(S23)</f>
        <v>22.6</v>
      </c>
      <c r="U23" s="41">
        <f t="shared" ref="U23:U31" si="24">+T23/$B23</f>
        <v>0.75333333333333341</v>
      </c>
      <c r="V23" s="29">
        <f t="shared" ref="V23:V31" si="25">+T23^2</f>
        <v>510.76000000000005</v>
      </c>
      <c r="W23" s="28">
        <f t="shared" ref="W23:W31" si="26">+H10</f>
        <v>35</v>
      </c>
      <c r="X23">
        <f t="shared" ref="X23:X31" si="27">+$B23-W23</f>
        <v>-5</v>
      </c>
      <c r="Y23">
        <f t="shared" ref="Y23:Y31" si="28">+ABS(X23)</f>
        <v>5</v>
      </c>
      <c r="Z23" s="41">
        <f t="shared" ref="Z23:Z31" si="29">+Y23/$B23</f>
        <v>0.16666666666666666</v>
      </c>
      <c r="AA23" s="29">
        <f t="shared" ref="AA23:AA31" si="30">+Y23^2</f>
        <v>25</v>
      </c>
    </row>
    <row r="24" spans="1:27">
      <c r="A24" s="28">
        <v>8</v>
      </c>
      <c r="B24" s="29">
        <v>50</v>
      </c>
      <c r="C24" s="28">
        <f t="shared" si="7"/>
        <v>30</v>
      </c>
      <c r="D24">
        <f t="shared" si="8"/>
        <v>20</v>
      </c>
      <c r="E24">
        <f t="shared" si="9"/>
        <v>20</v>
      </c>
      <c r="F24" s="41">
        <f t="shared" si="10"/>
        <v>0.4</v>
      </c>
      <c r="G24" s="29">
        <f t="shared" si="11"/>
        <v>400</v>
      </c>
      <c r="H24" s="28">
        <f t="shared" si="12"/>
        <v>33.333333333333336</v>
      </c>
      <c r="I24">
        <f t="shared" si="13"/>
        <v>16.666666666666664</v>
      </c>
      <c r="J24">
        <f t="shared" si="14"/>
        <v>16.666666666666664</v>
      </c>
      <c r="K24" s="41">
        <f t="shared" si="15"/>
        <v>0.33333333333333326</v>
      </c>
      <c r="L24" s="29">
        <f t="shared" si="16"/>
        <v>277.77777777777771</v>
      </c>
      <c r="M24" s="28">
        <f t="shared" si="17"/>
        <v>44</v>
      </c>
      <c r="N24">
        <f t="shared" si="18"/>
        <v>6</v>
      </c>
      <c r="O24">
        <f t="shared" si="19"/>
        <v>6</v>
      </c>
      <c r="P24" s="41">
        <f t="shared" si="20"/>
        <v>0.12</v>
      </c>
      <c r="Q24" s="29">
        <f t="shared" si="21"/>
        <v>36</v>
      </c>
      <c r="R24" s="28">
        <f t="shared" si="22"/>
        <v>50.34</v>
      </c>
      <c r="S24">
        <f t="shared" ref="S24:S31" si="31">+$B24-R24</f>
        <v>-0.34000000000000341</v>
      </c>
      <c r="T24">
        <f t="shared" si="23"/>
        <v>0.34000000000000341</v>
      </c>
      <c r="U24" s="41">
        <f t="shared" si="24"/>
        <v>6.8000000000000681E-3</v>
      </c>
      <c r="V24" s="29">
        <f t="shared" si="25"/>
        <v>0.11560000000000233</v>
      </c>
      <c r="W24" s="28">
        <f t="shared" si="26"/>
        <v>32.5</v>
      </c>
      <c r="X24">
        <f t="shared" si="27"/>
        <v>17.5</v>
      </c>
      <c r="Y24">
        <f t="shared" si="28"/>
        <v>17.5</v>
      </c>
      <c r="Z24" s="41">
        <f t="shared" si="29"/>
        <v>0.35</v>
      </c>
      <c r="AA24" s="29">
        <f t="shared" si="30"/>
        <v>306.25</v>
      </c>
    </row>
    <row r="25" spans="1:27">
      <c r="A25" s="28">
        <v>9</v>
      </c>
      <c r="B25" s="29">
        <v>60</v>
      </c>
      <c r="C25" s="28">
        <f t="shared" si="7"/>
        <v>50</v>
      </c>
      <c r="D25">
        <f t="shared" si="8"/>
        <v>10</v>
      </c>
      <c r="E25">
        <f t="shared" si="9"/>
        <v>10</v>
      </c>
      <c r="F25" s="41">
        <f t="shared" si="10"/>
        <v>0.16666666666666666</v>
      </c>
      <c r="G25" s="29">
        <f t="shared" si="11"/>
        <v>100</v>
      </c>
      <c r="H25" s="28">
        <f t="shared" si="12"/>
        <v>40</v>
      </c>
      <c r="I25">
        <f t="shared" si="13"/>
        <v>20</v>
      </c>
      <c r="J25">
        <f t="shared" si="14"/>
        <v>20</v>
      </c>
      <c r="K25" s="41">
        <f t="shared" si="15"/>
        <v>0.33333333333333331</v>
      </c>
      <c r="L25" s="29">
        <f t="shared" si="16"/>
        <v>400</v>
      </c>
      <c r="M25" s="28">
        <f t="shared" si="17"/>
        <v>36</v>
      </c>
      <c r="N25">
        <f t="shared" si="18"/>
        <v>24</v>
      </c>
      <c r="O25">
        <f t="shared" si="19"/>
        <v>24</v>
      </c>
      <c r="P25" s="41">
        <f t="shared" si="20"/>
        <v>0.4</v>
      </c>
      <c r="Q25" s="29">
        <f t="shared" si="21"/>
        <v>576</v>
      </c>
      <c r="R25" s="28">
        <f t="shared" si="22"/>
        <v>50.306000000000004</v>
      </c>
      <c r="S25">
        <f t="shared" si="31"/>
        <v>9.6939999999999955</v>
      </c>
      <c r="T25">
        <f t="shared" si="23"/>
        <v>9.6939999999999955</v>
      </c>
      <c r="U25" s="41">
        <f t="shared" si="24"/>
        <v>0.16156666666666658</v>
      </c>
      <c r="V25" s="29">
        <f t="shared" si="25"/>
        <v>93.973635999999914</v>
      </c>
      <c r="W25" s="28">
        <f t="shared" si="26"/>
        <v>41.25</v>
      </c>
      <c r="X25">
        <f t="shared" si="27"/>
        <v>18.75</v>
      </c>
      <c r="Y25">
        <f t="shared" si="28"/>
        <v>18.75</v>
      </c>
      <c r="Z25" s="41">
        <f t="shared" si="29"/>
        <v>0.3125</v>
      </c>
      <c r="AA25" s="29">
        <f t="shared" si="30"/>
        <v>351.5625</v>
      </c>
    </row>
    <row r="26" spans="1:27">
      <c r="A26" s="28">
        <v>10</v>
      </c>
      <c r="B26" s="29">
        <v>70</v>
      </c>
      <c r="C26" s="28">
        <f t="shared" si="7"/>
        <v>60</v>
      </c>
      <c r="D26">
        <f t="shared" si="8"/>
        <v>10</v>
      </c>
      <c r="E26">
        <f t="shared" si="9"/>
        <v>10</v>
      </c>
      <c r="F26" s="41">
        <f t="shared" si="10"/>
        <v>0.14285714285714285</v>
      </c>
      <c r="G26" s="29">
        <f t="shared" si="11"/>
        <v>100</v>
      </c>
      <c r="H26" s="28">
        <f t="shared" si="12"/>
        <v>46.666666666666664</v>
      </c>
      <c r="I26">
        <f t="shared" si="13"/>
        <v>23.333333333333336</v>
      </c>
      <c r="J26">
        <f t="shared" si="14"/>
        <v>23.333333333333336</v>
      </c>
      <c r="K26" s="41">
        <f t="shared" si="15"/>
        <v>0.33333333333333337</v>
      </c>
      <c r="L26" s="29">
        <f t="shared" si="16"/>
        <v>544.44444444444457</v>
      </c>
      <c r="M26" s="28">
        <f t="shared" si="17"/>
        <v>42</v>
      </c>
      <c r="N26">
        <f t="shared" si="18"/>
        <v>28</v>
      </c>
      <c r="O26">
        <f t="shared" si="19"/>
        <v>28</v>
      </c>
      <c r="P26" s="41">
        <f t="shared" si="20"/>
        <v>0.4</v>
      </c>
      <c r="Q26" s="29">
        <f t="shared" si="21"/>
        <v>784</v>
      </c>
      <c r="R26" s="28">
        <f t="shared" si="22"/>
        <v>51.275400000000005</v>
      </c>
      <c r="S26">
        <f t="shared" si="31"/>
        <v>18.724599999999995</v>
      </c>
      <c r="T26">
        <f t="shared" si="23"/>
        <v>18.724599999999995</v>
      </c>
      <c r="U26" s="41">
        <f t="shared" si="24"/>
        <v>0.26749428571428563</v>
      </c>
      <c r="V26" s="29">
        <f t="shared" si="25"/>
        <v>350.61064515999982</v>
      </c>
      <c r="W26" s="28">
        <f t="shared" si="26"/>
        <v>50.625</v>
      </c>
      <c r="X26">
        <f t="shared" si="27"/>
        <v>19.375</v>
      </c>
      <c r="Y26">
        <f t="shared" si="28"/>
        <v>19.375</v>
      </c>
      <c r="Z26" s="41">
        <f t="shared" si="29"/>
        <v>0.2767857142857143</v>
      </c>
      <c r="AA26" s="29">
        <f t="shared" si="30"/>
        <v>375.390625</v>
      </c>
    </row>
    <row r="27" spans="1:27">
      <c r="A27" s="28">
        <v>11</v>
      </c>
      <c r="B27" s="29">
        <v>60</v>
      </c>
      <c r="C27" s="28">
        <f t="shared" si="7"/>
        <v>70</v>
      </c>
      <c r="D27">
        <f t="shared" si="8"/>
        <v>-10</v>
      </c>
      <c r="E27">
        <f t="shared" si="9"/>
        <v>10</v>
      </c>
      <c r="F27" s="41">
        <f t="shared" si="10"/>
        <v>0.16666666666666666</v>
      </c>
      <c r="G27" s="29">
        <f t="shared" si="11"/>
        <v>100</v>
      </c>
      <c r="H27" s="28">
        <f t="shared" si="12"/>
        <v>60</v>
      </c>
      <c r="I27">
        <f t="shared" si="13"/>
        <v>0</v>
      </c>
      <c r="J27">
        <f t="shared" si="14"/>
        <v>0</v>
      </c>
      <c r="K27" s="41">
        <f t="shared" si="15"/>
        <v>0</v>
      </c>
      <c r="L27" s="29">
        <f t="shared" si="16"/>
        <v>0</v>
      </c>
      <c r="M27" s="28">
        <f t="shared" si="17"/>
        <v>50</v>
      </c>
      <c r="N27">
        <f t="shared" si="18"/>
        <v>10</v>
      </c>
      <c r="O27">
        <f t="shared" si="19"/>
        <v>10</v>
      </c>
      <c r="P27" s="41">
        <f t="shared" si="20"/>
        <v>0.16666666666666666</v>
      </c>
      <c r="Q27" s="29">
        <f t="shared" si="21"/>
        <v>100</v>
      </c>
      <c r="R27" s="28">
        <f t="shared" si="22"/>
        <v>53.147860000000009</v>
      </c>
      <c r="S27">
        <f t="shared" si="31"/>
        <v>6.8521399999999915</v>
      </c>
      <c r="T27">
        <f t="shared" si="23"/>
        <v>6.8521399999999915</v>
      </c>
      <c r="U27" s="41">
        <f t="shared" si="24"/>
        <v>0.1142023333333332</v>
      </c>
      <c r="V27" s="29">
        <f t="shared" si="25"/>
        <v>46.951822579599884</v>
      </c>
      <c r="W27" s="28">
        <f t="shared" si="26"/>
        <v>60.3125</v>
      </c>
      <c r="X27">
        <f t="shared" si="27"/>
        <v>-0.3125</v>
      </c>
      <c r="Y27">
        <f t="shared" si="28"/>
        <v>0.3125</v>
      </c>
      <c r="Z27" s="41">
        <f t="shared" si="29"/>
        <v>5.208333333333333E-3</v>
      </c>
      <c r="AA27" s="29">
        <f t="shared" si="30"/>
        <v>9.765625E-2</v>
      </c>
    </row>
    <row r="28" spans="1:27">
      <c r="A28" s="28">
        <v>12</v>
      </c>
      <c r="B28" s="29">
        <v>40</v>
      </c>
      <c r="C28" s="28">
        <f t="shared" si="7"/>
        <v>60</v>
      </c>
      <c r="D28">
        <f t="shared" si="8"/>
        <v>-20</v>
      </c>
      <c r="E28">
        <f t="shared" si="9"/>
        <v>20</v>
      </c>
      <c r="F28" s="41">
        <f t="shared" si="10"/>
        <v>0.5</v>
      </c>
      <c r="G28" s="29">
        <f t="shared" si="11"/>
        <v>400</v>
      </c>
      <c r="H28" s="28">
        <f t="shared" si="12"/>
        <v>63.333333333333336</v>
      </c>
      <c r="I28">
        <f t="shared" si="13"/>
        <v>-23.333333333333336</v>
      </c>
      <c r="J28">
        <f t="shared" si="14"/>
        <v>23.333333333333336</v>
      </c>
      <c r="K28" s="41">
        <f t="shared" si="15"/>
        <v>0.58333333333333337</v>
      </c>
      <c r="L28" s="29">
        <f t="shared" si="16"/>
        <v>544.44444444444457</v>
      </c>
      <c r="M28" s="28">
        <f t="shared" si="17"/>
        <v>54</v>
      </c>
      <c r="N28">
        <f t="shared" si="18"/>
        <v>-14</v>
      </c>
      <c r="O28">
        <f t="shared" si="19"/>
        <v>14</v>
      </c>
      <c r="P28" s="41">
        <f t="shared" si="20"/>
        <v>0.35</v>
      </c>
      <c r="Q28" s="29">
        <f t="shared" si="21"/>
        <v>196</v>
      </c>
      <c r="R28" s="28">
        <f t="shared" si="22"/>
        <v>53.833074000000011</v>
      </c>
      <c r="S28">
        <f t="shared" si="31"/>
        <v>-13.833074000000011</v>
      </c>
      <c r="T28">
        <f t="shared" si="23"/>
        <v>13.833074000000011</v>
      </c>
      <c r="U28" s="41">
        <f t="shared" si="24"/>
        <v>0.34582685000000024</v>
      </c>
      <c r="V28" s="29">
        <f t="shared" si="25"/>
        <v>191.35393628947628</v>
      </c>
      <c r="W28" s="28">
        <f t="shared" si="26"/>
        <v>60.15625</v>
      </c>
      <c r="X28">
        <f t="shared" si="27"/>
        <v>-20.15625</v>
      </c>
      <c r="Y28">
        <f t="shared" si="28"/>
        <v>20.15625</v>
      </c>
      <c r="Z28" s="41">
        <f t="shared" si="29"/>
        <v>0.50390625</v>
      </c>
      <c r="AA28" s="29">
        <f t="shared" si="30"/>
        <v>406.2744140625</v>
      </c>
    </row>
    <row r="29" spans="1:27">
      <c r="A29" s="28">
        <v>13</v>
      </c>
      <c r="B29" s="29">
        <v>40</v>
      </c>
      <c r="C29" s="28">
        <f t="shared" si="7"/>
        <v>40</v>
      </c>
      <c r="D29">
        <f t="shared" si="8"/>
        <v>0</v>
      </c>
      <c r="E29">
        <f t="shared" si="9"/>
        <v>0</v>
      </c>
      <c r="F29" s="41">
        <f t="shared" si="10"/>
        <v>0</v>
      </c>
      <c r="G29" s="29">
        <f t="shared" si="11"/>
        <v>0</v>
      </c>
      <c r="H29" s="28">
        <f t="shared" si="12"/>
        <v>56.666666666666664</v>
      </c>
      <c r="I29">
        <f t="shared" si="13"/>
        <v>-16.666666666666664</v>
      </c>
      <c r="J29">
        <f t="shared" si="14"/>
        <v>16.666666666666664</v>
      </c>
      <c r="K29" s="41">
        <f t="shared" si="15"/>
        <v>0.41666666666666663</v>
      </c>
      <c r="L29" s="29">
        <f t="shared" si="16"/>
        <v>277.77777777777771</v>
      </c>
      <c r="M29" s="28">
        <f t="shared" si="17"/>
        <v>56</v>
      </c>
      <c r="N29">
        <f t="shared" si="18"/>
        <v>-16</v>
      </c>
      <c r="O29">
        <f t="shared" si="19"/>
        <v>16</v>
      </c>
      <c r="P29" s="41">
        <f t="shared" si="20"/>
        <v>0.4</v>
      </c>
      <c r="Q29" s="29">
        <f t="shared" si="21"/>
        <v>256</v>
      </c>
      <c r="R29" s="28">
        <f t="shared" si="22"/>
        <v>52.449766600000011</v>
      </c>
      <c r="S29">
        <f t="shared" si="31"/>
        <v>-12.449766600000011</v>
      </c>
      <c r="T29">
        <f t="shared" si="23"/>
        <v>12.449766600000011</v>
      </c>
      <c r="U29" s="41">
        <f t="shared" si="24"/>
        <v>0.31124416500000029</v>
      </c>
      <c r="V29" s="29">
        <f t="shared" si="25"/>
        <v>154.99668839447583</v>
      </c>
      <c r="W29" s="28">
        <f t="shared" si="26"/>
        <v>50.078125</v>
      </c>
      <c r="X29">
        <f t="shared" si="27"/>
        <v>-10.078125</v>
      </c>
      <c r="Y29">
        <f t="shared" si="28"/>
        <v>10.078125</v>
      </c>
      <c r="Z29" s="41">
        <f t="shared" si="29"/>
        <v>0.251953125</v>
      </c>
      <c r="AA29" s="29">
        <f t="shared" si="30"/>
        <v>101.568603515625</v>
      </c>
    </row>
    <row r="30" spans="1:27">
      <c r="A30" s="28">
        <v>14</v>
      </c>
      <c r="B30" s="29">
        <v>40</v>
      </c>
      <c r="C30" s="28">
        <f t="shared" si="7"/>
        <v>40</v>
      </c>
      <c r="D30">
        <f t="shared" si="8"/>
        <v>0</v>
      </c>
      <c r="E30">
        <f t="shared" si="9"/>
        <v>0</v>
      </c>
      <c r="F30" s="41">
        <f t="shared" si="10"/>
        <v>0</v>
      </c>
      <c r="G30" s="29">
        <f t="shared" si="11"/>
        <v>0</v>
      </c>
      <c r="H30" s="28">
        <f t="shared" si="12"/>
        <v>46.666666666666664</v>
      </c>
      <c r="I30">
        <f t="shared" si="13"/>
        <v>-6.6666666666666643</v>
      </c>
      <c r="J30">
        <f t="shared" si="14"/>
        <v>6.6666666666666643</v>
      </c>
      <c r="K30" s="41">
        <f t="shared" si="15"/>
        <v>0.1666666666666666</v>
      </c>
      <c r="L30" s="29">
        <f t="shared" si="16"/>
        <v>44.444444444444414</v>
      </c>
      <c r="M30" s="28">
        <f t="shared" si="17"/>
        <v>54</v>
      </c>
      <c r="N30">
        <f t="shared" si="18"/>
        <v>-14</v>
      </c>
      <c r="O30">
        <f t="shared" si="19"/>
        <v>14</v>
      </c>
      <c r="P30" s="41">
        <f t="shared" si="20"/>
        <v>0.35</v>
      </c>
      <c r="Q30" s="29">
        <f t="shared" si="21"/>
        <v>196</v>
      </c>
      <c r="R30" s="28">
        <f t="shared" si="22"/>
        <v>51.204789940000012</v>
      </c>
      <c r="S30">
        <f t="shared" si="31"/>
        <v>-11.204789940000012</v>
      </c>
      <c r="T30">
        <f t="shared" si="23"/>
        <v>11.204789940000012</v>
      </c>
      <c r="U30" s="41">
        <f t="shared" si="24"/>
        <v>0.28011974850000032</v>
      </c>
      <c r="V30" s="29">
        <f t="shared" si="25"/>
        <v>125.54731759952547</v>
      </c>
      <c r="W30" s="28">
        <f t="shared" si="26"/>
        <v>45.0390625</v>
      </c>
      <c r="X30">
        <f t="shared" si="27"/>
        <v>-5.0390625</v>
      </c>
      <c r="Y30">
        <f t="shared" si="28"/>
        <v>5.0390625</v>
      </c>
      <c r="Z30" s="41">
        <f t="shared" si="29"/>
        <v>0.1259765625</v>
      </c>
      <c r="AA30" s="29">
        <f t="shared" si="30"/>
        <v>25.39215087890625</v>
      </c>
    </row>
    <row r="31" spans="1:27" ht="17.100000000000001" thickBot="1">
      <c r="A31" s="30">
        <v>15</v>
      </c>
      <c r="B31" s="32">
        <v>50</v>
      </c>
      <c r="C31" s="30">
        <f t="shared" si="7"/>
        <v>40</v>
      </c>
      <c r="D31" s="31">
        <f t="shared" si="8"/>
        <v>10</v>
      </c>
      <c r="E31" s="31">
        <f t="shared" si="9"/>
        <v>10</v>
      </c>
      <c r="F31" s="42">
        <f t="shared" si="10"/>
        <v>0.2</v>
      </c>
      <c r="G31" s="32">
        <f t="shared" si="11"/>
        <v>100</v>
      </c>
      <c r="H31" s="30">
        <f t="shared" si="12"/>
        <v>40</v>
      </c>
      <c r="I31" s="31">
        <f t="shared" si="13"/>
        <v>10</v>
      </c>
      <c r="J31" s="31">
        <f t="shared" si="14"/>
        <v>10</v>
      </c>
      <c r="K31" s="42">
        <f t="shared" si="15"/>
        <v>0.2</v>
      </c>
      <c r="L31" s="32">
        <f t="shared" si="16"/>
        <v>100</v>
      </c>
      <c r="M31" s="30">
        <f t="shared" si="17"/>
        <v>50</v>
      </c>
      <c r="N31" s="31">
        <f t="shared" si="18"/>
        <v>0</v>
      </c>
      <c r="O31" s="31">
        <f t="shared" si="19"/>
        <v>0</v>
      </c>
      <c r="P31" s="42">
        <f t="shared" si="20"/>
        <v>0</v>
      </c>
      <c r="Q31" s="32">
        <f t="shared" si="21"/>
        <v>0</v>
      </c>
      <c r="R31" s="28">
        <f t="shared" si="22"/>
        <v>50.084310946000009</v>
      </c>
      <c r="S31" s="31">
        <f t="shared" si="31"/>
        <v>-8.4310946000009324E-2</v>
      </c>
      <c r="T31" s="31">
        <f t="shared" si="23"/>
        <v>8.4310946000009324E-2</v>
      </c>
      <c r="U31" s="42">
        <f t="shared" si="24"/>
        <v>1.6862189200001865E-3</v>
      </c>
      <c r="V31" s="32">
        <f t="shared" si="25"/>
        <v>7.1083356154164881E-3</v>
      </c>
      <c r="W31" s="30">
        <f t="shared" si="26"/>
        <v>42.51953125</v>
      </c>
      <c r="X31" s="31">
        <f t="shared" si="27"/>
        <v>7.48046875</v>
      </c>
      <c r="Y31" s="31">
        <f t="shared" si="28"/>
        <v>7.48046875</v>
      </c>
      <c r="Z31" s="42">
        <f t="shared" si="29"/>
        <v>0.14960937499999999</v>
      </c>
      <c r="AA31" s="32">
        <f t="shared" si="30"/>
        <v>55.957412719726563</v>
      </c>
    </row>
    <row r="33" spans="1:27" ht="17.100000000000001" thickBot="1"/>
    <row r="34" spans="1:27">
      <c r="C34" s="14" t="s">
        <v>42</v>
      </c>
      <c r="D34" s="86">
        <f>+AVERAGE(D$22:D$31)</f>
        <v>2</v>
      </c>
      <c r="E34" s="18"/>
      <c r="F34" s="18"/>
      <c r="G34" s="21"/>
      <c r="H34" s="14" t="s">
        <v>42</v>
      </c>
      <c r="I34" s="18">
        <f>+AVERAGE(I$22:I$31)</f>
        <v>1</v>
      </c>
      <c r="J34" s="18"/>
      <c r="K34" s="18"/>
      <c r="L34" s="21"/>
      <c r="M34" s="14" t="s">
        <v>42</v>
      </c>
      <c r="N34" s="18">
        <f>+AVERAGE(N$22:N$31)</f>
        <v>-1.2</v>
      </c>
      <c r="O34" s="18"/>
      <c r="P34" s="18"/>
      <c r="Q34" s="21"/>
      <c r="R34" s="14" t="s">
        <v>42</v>
      </c>
      <c r="S34" s="18">
        <f>+AVERAGE(S$22:S$31)</f>
        <v>-3.9241201486000064</v>
      </c>
      <c r="T34" s="18"/>
      <c r="U34" s="18"/>
      <c r="V34" s="21"/>
      <c r="W34" s="43" t="s">
        <v>42</v>
      </c>
      <c r="X34" s="44">
        <f>+AVERAGE(X$22:X$31)</f>
        <v>3.251953125</v>
      </c>
      <c r="Y34" s="44"/>
      <c r="Z34" s="44"/>
      <c r="AA34" s="45"/>
    </row>
    <row r="35" spans="1:27">
      <c r="C35" s="15" t="s">
        <v>43</v>
      </c>
      <c r="D35" s="19"/>
      <c r="E35" s="19">
        <f>+AVERAGE(E$22:E$31)</f>
        <v>10</v>
      </c>
      <c r="F35" s="19"/>
      <c r="G35" s="22"/>
      <c r="H35" s="15" t="s">
        <v>43</v>
      </c>
      <c r="I35" s="19"/>
      <c r="J35" s="19">
        <f>+AVERAGE(J$22:J$31)</f>
        <v>13</v>
      </c>
      <c r="K35" s="19"/>
      <c r="L35" s="22"/>
      <c r="M35" s="15" t="s">
        <v>43</v>
      </c>
      <c r="N35" s="19"/>
      <c r="O35" s="19">
        <f>+AVERAGE(O$22:O$31)</f>
        <v>14.8</v>
      </c>
      <c r="P35" s="19"/>
      <c r="Q35" s="22"/>
      <c r="R35" s="15" t="s">
        <v>43</v>
      </c>
      <c r="S35" s="19"/>
      <c r="T35" s="19">
        <f>+AVERAGE(T$22:T$31)</f>
        <v>10.978268148600003</v>
      </c>
      <c r="U35" s="19"/>
      <c r="V35" s="22"/>
      <c r="W35" s="46" t="s">
        <v>43</v>
      </c>
      <c r="X35" s="47"/>
      <c r="Y35" s="47">
        <f>+AVERAGE(Y$22:Y$31)</f>
        <v>11.369140625</v>
      </c>
      <c r="Z35" s="47"/>
      <c r="AA35" s="48"/>
    </row>
    <row r="36" spans="1:27">
      <c r="C36" s="15" t="s">
        <v>44</v>
      </c>
      <c r="D36" s="19"/>
      <c r="E36" s="19"/>
      <c r="F36" s="27">
        <f>+AVERAGE(F$22:F$31)</f>
        <v>0.21595238095238095</v>
      </c>
      <c r="G36" s="22"/>
      <c r="H36" s="15" t="s">
        <v>44</v>
      </c>
      <c r="I36" s="19"/>
      <c r="J36" s="19"/>
      <c r="K36" s="27">
        <f>+AVERAGE(K$22:K$31)</f>
        <v>0.27277777777777779</v>
      </c>
      <c r="L36" s="22"/>
      <c r="M36" s="15" t="s">
        <v>44</v>
      </c>
      <c r="N36" s="19"/>
      <c r="O36" s="19"/>
      <c r="P36" s="27">
        <f>+AVERAGE(P$22:P$31)</f>
        <v>0.32699999999999996</v>
      </c>
      <c r="Q36" s="22"/>
      <c r="R36" s="15" t="s">
        <v>44</v>
      </c>
      <c r="S36" s="19"/>
      <c r="T36" s="19"/>
      <c r="U36" s="27">
        <f>+AVERAGE(U$22:U$31)</f>
        <v>0.25922736014676201</v>
      </c>
      <c r="V36" s="22"/>
      <c r="W36" s="46" t="s">
        <v>44</v>
      </c>
      <c r="X36" s="47"/>
      <c r="Y36" s="47"/>
      <c r="Z36" s="49">
        <f>+AVERAGE(Z$22:Z$31)</f>
        <v>0.23926060267857138</v>
      </c>
      <c r="AA36" s="48"/>
    </row>
    <row r="37" spans="1:27">
      <c r="C37" s="15" t="s">
        <v>45</v>
      </c>
      <c r="D37" s="19"/>
      <c r="E37" s="19"/>
      <c r="F37" s="19"/>
      <c r="G37" s="22">
        <f>+AVERAGE(G$22:G$31)</f>
        <v>140</v>
      </c>
      <c r="H37" s="15" t="s">
        <v>45</v>
      </c>
      <c r="I37" s="19"/>
      <c r="J37" s="19"/>
      <c r="K37" s="19"/>
      <c r="L37" s="22">
        <f>+AVERAGE(L$22:L$31)</f>
        <v>230</v>
      </c>
      <c r="M37" s="15" t="s">
        <v>45</v>
      </c>
      <c r="N37" s="19"/>
      <c r="O37" s="19"/>
      <c r="P37" s="19"/>
      <c r="Q37" s="22">
        <f>+AVERAGE(Q$22:Q$31)</f>
        <v>282.39999999999998</v>
      </c>
      <c r="R37" s="15" t="s">
        <v>45</v>
      </c>
      <c r="S37" s="19"/>
      <c r="T37" s="19"/>
      <c r="U37" s="19"/>
      <c r="V37" s="22">
        <f>+AVERAGE(V$22:V$31)</f>
        <v>167.03167543586923</v>
      </c>
      <c r="W37" s="46" t="s">
        <v>45</v>
      </c>
      <c r="X37" s="47"/>
      <c r="Y37" s="47"/>
      <c r="Z37" s="47"/>
      <c r="AA37" s="48">
        <f>+AVERAGE(AA$22:AA$31)</f>
        <v>174.74933624267578</v>
      </c>
    </row>
    <row r="38" spans="1:27" ht="17.100000000000001" thickBot="1">
      <c r="C38" s="16" t="s">
        <v>46</v>
      </c>
      <c r="D38" s="20"/>
      <c r="E38" s="20"/>
      <c r="F38" s="20"/>
      <c r="G38" s="23">
        <f>+SQRT(G37)</f>
        <v>11.832159566199232</v>
      </c>
      <c r="H38" s="16" t="s">
        <v>46</v>
      </c>
      <c r="I38" s="20"/>
      <c r="J38" s="20"/>
      <c r="K38" s="20"/>
      <c r="L38" s="23">
        <f>+SQRT(L37)</f>
        <v>15.165750888103101</v>
      </c>
      <c r="M38" s="16" t="s">
        <v>46</v>
      </c>
      <c r="N38" s="20"/>
      <c r="O38" s="20"/>
      <c r="P38" s="20"/>
      <c r="Q38" s="23">
        <f>+SQRT(Q37)</f>
        <v>16.804761230080004</v>
      </c>
      <c r="R38" s="16" t="s">
        <v>46</v>
      </c>
      <c r="S38" s="20"/>
      <c r="T38" s="20"/>
      <c r="U38" s="20"/>
      <c r="V38" s="23">
        <f>+SQRT(V37)</f>
        <v>12.924073484620445</v>
      </c>
      <c r="W38" s="50" t="s">
        <v>46</v>
      </c>
      <c r="X38" s="51"/>
      <c r="Y38" s="51"/>
      <c r="Z38" s="51"/>
      <c r="AA38" s="52">
        <f>+SQRT(AA37)</f>
        <v>13.219278960770733</v>
      </c>
    </row>
    <row r="41" spans="1:27" ht="17.100000000000001" thickBot="1"/>
    <row r="42" spans="1:27" ht="17.100000000000001" thickBot="1">
      <c r="D42" s="161" t="s">
        <v>81</v>
      </c>
      <c r="E42" s="162"/>
      <c r="F42" s="162"/>
      <c r="G42" s="162"/>
      <c r="H42" s="163"/>
    </row>
    <row r="43" spans="1:27" ht="17.100000000000001" thickBot="1">
      <c r="A43" t="s">
        <v>69</v>
      </c>
      <c r="B43" t="s">
        <v>70</v>
      </c>
      <c r="C43" t="s">
        <v>71</v>
      </c>
      <c r="D43" s="35" t="s">
        <v>72</v>
      </c>
      <c r="E43" s="36" t="s">
        <v>73</v>
      </c>
      <c r="F43" s="36" t="s">
        <v>74</v>
      </c>
      <c r="G43" s="36" t="s">
        <v>75</v>
      </c>
      <c r="H43" s="37" t="s">
        <v>76</v>
      </c>
    </row>
    <row r="44" spans="1:27">
      <c r="D44" s="116"/>
      <c r="E44" s="117"/>
      <c r="F44" s="117"/>
      <c r="G44" s="117">
        <f>+AVERAGE(C45:C49)</f>
        <v>76</v>
      </c>
      <c r="H44" s="118">
        <f>+AVERAGE(C45:C49)</f>
        <v>76</v>
      </c>
      <c r="J44" t="s">
        <v>82</v>
      </c>
    </row>
    <row r="45" spans="1:27">
      <c r="A45">
        <v>1</v>
      </c>
      <c r="B45">
        <v>50</v>
      </c>
      <c r="C45">
        <v>50</v>
      </c>
      <c r="D45" s="119"/>
      <c r="E45" s="124"/>
      <c r="F45" s="124"/>
      <c r="G45" s="124">
        <f>+C45*K$4+(1-K$4)*G44</f>
        <v>73.400000000000006</v>
      </c>
      <c r="H45" s="120">
        <f>+C45*L$4+(1-L$4)*H44</f>
        <v>63</v>
      </c>
      <c r="J45">
        <f>+AVERAGE(C45:C59)</f>
        <v>128</v>
      </c>
    </row>
    <row r="46" spans="1:27">
      <c r="A46">
        <v>2</v>
      </c>
      <c r="B46">
        <v>70</v>
      </c>
      <c r="C46">
        <v>70</v>
      </c>
      <c r="D46" s="119">
        <f>+C45</f>
        <v>50</v>
      </c>
      <c r="E46" s="124"/>
      <c r="F46" s="124"/>
      <c r="G46" s="124">
        <f t="shared" ref="G46:G49" si="32">+C46*K$4+(1-K$4)*G45</f>
        <v>73.06</v>
      </c>
      <c r="H46" s="120">
        <f t="shared" ref="H46:H49" si="33">+C46*L$4+(1-L$4)*H45</f>
        <v>66.5</v>
      </c>
      <c r="J46" t="s">
        <v>83</v>
      </c>
    </row>
    <row r="47" spans="1:27">
      <c r="A47">
        <v>3</v>
      </c>
      <c r="B47">
        <v>90</v>
      </c>
      <c r="C47">
        <v>90</v>
      </c>
      <c r="D47" s="119">
        <f t="shared" ref="D47:D59" si="34">+C46</f>
        <v>70</v>
      </c>
      <c r="E47" s="124"/>
      <c r="F47" s="124"/>
      <c r="G47" s="124">
        <f t="shared" si="32"/>
        <v>74.754000000000005</v>
      </c>
      <c r="H47" s="120">
        <f t="shared" si="33"/>
        <v>78.25</v>
      </c>
      <c r="J47">
        <f>+AVERAGE(C45:C49)</f>
        <v>76</v>
      </c>
      <c r="N47" t="s">
        <v>84</v>
      </c>
    </row>
    <row r="48" spans="1:27">
      <c r="A48">
        <v>4</v>
      </c>
      <c r="B48">
        <v>30</v>
      </c>
      <c r="C48">
        <v>80</v>
      </c>
      <c r="D48" s="119">
        <f t="shared" si="34"/>
        <v>90</v>
      </c>
      <c r="E48" s="124">
        <f>+AVERAGE(C45:C47)</f>
        <v>70</v>
      </c>
      <c r="F48" s="124"/>
      <c r="G48" s="124">
        <f t="shared" si="32"/>
        <v>75.278600000000012</v>
      </c>
      <c r="H48" s="120">
        <f t="shared" si="33"/>
        <v>79.125</v>
      </c>
    </row>
    <row r="49" spans="1:27" ht="17.100000000000001" thickBot="1">
      <c r="A49">
        <v>5</v>
      </c>
      <c r="B49">
        <v>30</v>
      </c>
      <c r="C49">
        <v>90</v>
      </c>
      <c r="D49" s="121">
        <f t="shared" si="34"/>
        <v>80</v>
      </c>
      <c r="E49" s="122">
        <f t="shared" ref="E49:E59" si="35">+AVERAGE(C46:C48)</f>
        <v>80</v>
      </c>
      <c r="F49" s="122"/>
      <c r="G49" s="122">
        <f t="shared" si="32"/>
        <v>76.750740000000008</v>
      </c>
      <c r="H49" s="123">
        <f t="shared" si="33"/>
        <v>84.5625</v>
      </c>
    </row>
    <row r="50" spans="1:27" ht="17.100000000000001" thickTop="1">
      <c r="A50">
        <v>6</v>
      </c>
      <c r="B50">
        <v>40</v>
      </c>
      <c r="C50">
        <v>110</v>
      </c>
      <c r="D50" s="28">
        <f t="shared" si="34"/>
        <v>90</v>
      </c>
      <c r="E50">
        <f t="shared" si="35"/>
        <v>86.666666666666671</v>
      </c>
      <c r="F50">
        <f>+AVERAGE(C45:C49)</f>
        <v>76</v>
      </c>
      <c r="G50">
        <f>+G44</f>
        <v>76</v>
      </c>
      <c r="H50" s="29">
        <f>+C49</f>
        <v>90</v>
      </c>
    </row>
    <row r="51" spans="1:27">
      <c r="A51">
        <v>7</v>
      </c>
      <c r="B51">
        <v>30</v>
      </c>
      <c r="C51">
        <v>130</v>
      </c>
      <c r="D51" s="28">
        <f t="shared" si="34"/>
        <v>110</v>
      </c>
      <c r="E51">
        <f t="shared" si="35"/>
        <v>93.333333333333329</v>
      </c>
      <c r="F51">
        <f t="shared" ref="F51:F59" si="36">+AVERAGE(C46:C50)</f>
        <v>88</v>
      </c>
      <c r="G51">
        <f>+C50*K$4+(1-K$4)*G50</f>
        <v>79.400000000000006</v>
      </c>
      <c r="H51" s="29">
        <f>+C50*L$4+(1-L$4)*H50</f>
        <v>100</v>
      </c>
    </row>
    <row r="52" spans="1:27">
      <c r="A52">
        <v>8</v>
      </c>
      <c r="B52">
        <v>50</v>
      </c>
      <c r="C52">
        <v>120</v>
      </c>
      <c r="D52" s="28">
        <f t="shared" si="34"/>
        <v>130</v>
      </c>
      <c r="E52">
        <f t="shared" si="35"/>
        <v>110</v>
      </c>
      <c r="F52">
        <f t="shared" si="36"/>
        <v>100</v>
      </c>
      <c r="G52">
        <f t="shared" ref="G52:G59" si="37">+C51*K$4+(1-K$4)*G51</f>
        <v>84.460000000000008</v>
      </c>
      <c r="H52" s="29">
        <f t="shared" ref="H52:H59" si="38">+C51*L$4+(1-L$4)*H51</f>
        <v>115</v>
      </c>
    </row>
    <row r="53" spans="1:27">
      <c r="A53">
        <v>9</v>
      </c>
      <c r="B53">
        <v>60</v>
      </c>
      <c r="C53">
        <v>140</v>
      </c>
      <c r="D53" s="28">
        <f t="shared" si="34"/>
        <v>120</v>
      </c>
      <c r="E53">
        <f t="shared" si="35"/>
        <v>120</v>
      </c>
      <c r="F53">
        <f t="shared" si="36"/>
        <v>106</v>
      </c>
      <c r="G53">
        <f t="shared" si="37"/>
        <v>88.01400000000001</v>
      </c>
      <c r="H53" s="29">
        <f t="shared" si="38"/>
        <v>117.5</v>
      </c>
    </row>
    <row r="54" spans="1:27">
      <c r="A54">
        <v>10</v>
      </c>
      <c r="B54">
        <v>70</v>
      </c>
      <c r="C54">
        <v>150</v>
      </c>
      <c r="D54" s="28">
        <f t="shared" si="34"/>
        <v>140</v>
      </c>
      <c r="E54">
        <f t="shared" si="35"/>
        <v>130</v>
      </c>
      <c r="F54">
        <f t="shared" si="36"/>
        <v>118</v>
      </c>
      <c r="G54">
        <f t="shared" si="37"/>
        <v>93.212600000000009</v>
      </c>
      <c r="H54" s="29">
        <f t="shared" si="38"/>
        <v>128.75</v>
      </c>
    </row>
    <row r="55" spans="1:27">
      <c r="A55">
        <v>11</v>
      </c>
      <c r="B55">
        <v>60</v>
      </c>
      <c r="C55">
        <v>170</v>
      </c>
      <c r="D55" s="28">
        <f t="shared" si="34"/>
        <v>150</v>
      </c>
      <c r="E55">
        <f t="shared" si="35"/>
        <v>136.66666666666666</v>
      </c>
      <c r="F55">
        <f t="shared" si="36"/>
        <v>130</v>
      </c>
      <c r="G55">
        <f t="shared" si="37"/>
        <v>98.891340000000014</v>
      </c>
      <c r="H55" s="29">
        <f t="shared" si="38"/>
        <v>139.375</v>
      </c>
    </row>
    <row r="56" spans="1:27">
      <c r="A56">
        <v>12</v>
      </c>
      <c r="B56">
        <v>40</v>
      </c>
      <c r="C56">
        <v>160</v>
      </c>
      <c r="D56" s="28">
        <f t="shared" si="34"/>
        <v>170</v>
      </c>
      <c r="E56">
        <f t="shared" si="35"/>
        <v>153.33333333333334</v>
      </c>
      <c r="F56">
        <f t="shared" si="36"/>
        <v>142</v>
      </c>
      <c r="G56">
        <f t="shared" si="37"/>
        <v>106.00220600000002</v>
      </c>
      <c r="H56" s="29">
        <f t="shared" si="38"/>
        <v>154.6875</v>
      </c>
    </row>
    <row r="57" spans="1:27">
      <c r="A57">
        <v>13</v>
      </c>
      <c r="B57">
        <v>40</v>
      </c>
      <c r="C57">
        <v>150</v>
      </c>
      <c r="D57" s="28">
        <f t="shared" si="34"/>
        <v>160</v>
      </c>
      <c r="E57">
        <f t="shared" si="35"/>
        <v>160</v>
      </c>
      <c r="F57">
        <f t="shared" si="36"/>
        <v>148</v>
      </c>
      <c r="G57">
        <f t="shared" si="37"/>
        <v>111.40198540000002</v>
      </c>
      <c r="H57" s="29">
        <f t="shared" si="38"/>
        <v>157.34375</v>
      </c>
    </row>
    <row r="58" spans="1:27">
      <c r="A58">
        <v>14</v>
      </c>
      <c r="B58">
        <v>40</v>
      </c>
      <c r="C58">
        <v>190</v>
      </c>
      <c r="D58" s="28">
        <f t="shared" si="34"/>
        <v>150</v>
      </c>
      <c r="E58">
        <f t="shared" si="35"/>
        <v>160</v>
      </c>
      <c r="F58">
        <f t="shared" si="36"/>
        <v>154</v>
      </c>
      <c r="G58">
        <f t="shared" si="37"/>
        <v>115.26178686000002</v>
      </c>
      <c r="H58" s="29">
        <f t="shared" si="38"/>
        <v>153.671875</v>
      </c>
    </row>
    <row r="59" spans="1:27" ht="17.100000000000001" thickBot="1">
      <c r="A59">
        <v>15</v>
      </c>
      <c r="B59">
        <v>50</v>
      </c>
      <c r="C59">
        <v>220</v>
      </c>
      <c r="D59" s="30">
        <f t="shared" si="34"/>
        <v>190</v>
      </c>
      <c r="E59" s="31">
        <f t="shared" si="35"/>
        <v>166.66666666666666</v>
      </c>
      <c r="F59" s="31">
        <f t="shared" si="36"/>
        <v>164</v>
      </c>
      <c r="G59" s="31">
        <f t="shared" si="37"/>
        <v>122.73560817400002</v>
      </c>
      <c r="H59" s="32">
        <f t="shared" si="38"/>
        <v>171.8359375</v>
      </c>
    </row>
    <row r="61" spans="1:27" ht="17.100000000000001" thickBot="1"/>
    <row r="62" spans="1:27" ht="17.100000000000001" thickBot="1">
      <c r="A62" s="38" t="s">
        <v>69</v>
      </c>
      <c r="B62" s="39" t="s">
        <v>71</v>
      </c>
      <c r="C62" s="38" t="s">
        <v>72</v>
      </c>
      <c r="D62" s="40" t="s">
        <v>38</v>
      </c>
      <c r="E62" s="40" t="s">
        <v>39</v>
      </c>
      <c r="F62" s="40" t="s">
        <v>40</v>
      </c>
      <c r="G62" s="39" t="s">
        <v>41</v>
      </c>
      <c r="H62" s="38" t="s">
        <v>73</v>
      </c>
      <c r="I62" s="40" t="s">
        <v>38</v>
      </c>
      <c r="J62" s="40" t="s">
        <v>39</v>
      </c>
      <c r="K62" s="40" t="s">
        <v>40</v>
      </c>
      <c r="L62" s="39" t="s">
        <v>41</v>
      </c>
      <c r="M62" s="38" t="s">
        <v>74</v>
      </c>
      <c r="N62" s="40" t="s">
        <v>38</v>
      </c>
      <c r="O62" s="40" t="s">
        <v>39</v>
      </c>
      <c r="P62" s="40" t="s">
        <v>40</v>
      </c>
      <c r="Q62" s="39" t="s">
        <v>41</v>
      </c>
      <c r="R62" s="38" t="s">
        <v>79</v>
      </c>
      <c r="S62" s="40" t="s">
        <v>38</v>
      </c>
      <c r="T62" s="40" t="s">
        <v>39</v>
      </c>
      <c r="U62" s="40" t="s">
        <v>40</v>
      </c>
      <c r="V62" s="39" t="s">
        <v>41</v>
      </c>
      <c r="W62" s="38" t="s">
        <v>80</v>
      </c>
      <c r="X62" s="40" t="s">
        <v>38</v>
      </c>
      <c r="Y62" s="40" t="s">
        <v>39</v>
      </c>
      <c r="Z62" s="40" t="s">
        <v>40</v>
      </c>
      <c r="AA62" s="39" t="s">
        <v>41</v>
      </c>
    </row>
    <row r="63" spans="1:27">
      <c r="A63" s="33">
        <v>6</v>
      </c>
      <c r="B63" s="34">
        <f>+C50</f>
        <v>110</v>
      </c>
      <c r="C63" s="28">
        <f>+D50</f>
        <v>90</v>
      </c>
      <c r="D63">
        <f>+$B63-C63</f>
        <v>20</v>
      </c>
      <c r="E63">
        <f>+ABS(D63)</f>
        <v>20</v>
      </c>
      <c r="F63" s="41">
        <f>+E63/$B63</f>
        <v>0.18181818181818182</v>
      </c>
      <c r="G63" s="29">
        <f>+E63^2</f>
        <v>400</v>
      </c>
      <c r="H63" s="28">
        <f>+E50</f>
        <v>86.666666666666671</v>
      </c>
      <c r="I63">
        <f>+$B63-H63</f>
        <v>23.333333333333329</v>
      </c>
      <c r="J63">
        <f>+ABS(I63)</f>
        <v>23.333333333333329</v>
      </c>
      <c r="K63" s="41">
        <f>+J63/$B63</f>
        <v>0.21212121212121207</v>
      </c>
      <c r="L63" s="29">
        <f>+J63^2</f>
        <v>544.44444444444423</v>
      </c>
      <c r="M63" s="28">
        <f>+F50</f>
        <v>76</v>
      </c>
      <c r="N63">
        <f>+$B63-M63</f>
        <v>34</v>
      </c>
      <c r="O63">
        <f>+ABS(N63)</f>
        <v>34</v>
      </c>
      <c r="P63" s="41">
        <f>+O63/$B63</f>
        <v>0.30909090909090908</v>
      </c>
      <c r="Q63" s="29">
        <f>+O63^2</f>
        <v>1156</v>
      </c>
      <c r="R63" s="28">
        <f>+G50</f>
        <v>76</v>
      </c>
      <c r="S63">
        <f>+$B63-R63</f>
        <v>34</v>
      </c>
      <c r="T63">
        <f>+ABS(S63)</f>
        <v>34</v>
      </c>
      <c r="U63" s="41">
        <f>+T63/$B63</f>
        <v>0.30909090909090908</v>
      </c>
      <c r="V63" s="29">
        <f>+T63^2</f>
        <v>1156</v>
      </c>
      <c r="W63" s="28">
        <f>+H50</f>
        <v>90</v>
      </c>
      <c r="X63">
        <f>+$B63-W63</f>
        <v>20</v>
      </c>
      <c r="Y63">
        <f>+ABS(X63)</f>
        <v>20</v>
      </c>
      <c r="Z63" s="41">
        <f>+Y63/$B63</f>
        <v>0.18181818181818182</v>
      </c>
      <c r="AA63" s="29">
        <f>+Y63^2</f>
        <v>400</v>
      </c>
    </row>
    <row r="64" spans="1:27">
      <c r="A64" s="28">
        <v>7</v>
      </c>
      <c r="B64" s="29">
        <f t="shared" ref="B64:B72" si="39">+C51</f>
        <v>130</v>
      </c>
      <c r="C64" s="28">
        <f t="shared" ref="C64:C72" si="40">+D51</f>
        <v>110</v>
      </c>
      <c r="D64">
        <f>+$B64-C64</f>
        <v>20</v>
      </c>
      <c r="E64">
        <f t="shared" ref="E64:E72" si="41">+ABS(D64)</f>
        <v>20</v>
      </c>
      <c r="F64" s="41">
        <f t="shared" ref="F64:F72" si="42">+E64/$B64</f>
        <v>0.15384615384615385</v>
      </c>
      <c r="G64" s="29">
        <f t="shared" ref="G64:G72" si="43">+E64^2</f>
        <v>400</v>
      </c>
      <c r="H64" s="28">
        <f>+E51</f>
        <v>93.333333333333329</v>
      </c>
      <c r="I64">
        <f t="shared" ref="I64:I72" si="44">+$B64-H64</f>
        <v>36.666666666666671</v>
      </c>
      <c r="J64">
        <f t="shared" ref="J64:J72" si="45">+ABS(I64)</f>
        <v>36.666666666666671</v>
      </c>
      <c r="K64" s="41">
        <f t="shared" ref="K64:K72" si="46">+J64/$B64</f>
        <v>0.2820512820512821</v>
      </c>
      <c r="L64" s="29">
        <f t="shared" ref="L64:L72" si="47">+J64^2</f>
        <v>1344.4444444444448</v>
      </c>
      <c r="M64" s="28">
        <f t="shared" ref="M64:M72" si="48">+F51</f>
        <v>88</v>
      </c>
      <c r="N64">
        <f t="shared" ref="N64:N72" si="49">+$B64-M64</f>
        <v>42</v>
      </c>
      <c r="O64">
        <f t="shared" ref="O64:O72" si="50">+ABS(N64)</f>
        <v>42</v>
      </c>
      <c r="P64" s="41">
        <f t="shared" ref="P64:P72" si="51">+O64/$B64</f>
        <v>0.32307692307692309</v>
      </c>
      <c r="Q64" s="29">
        <f t="shared" ref="Q64:Q72" si="52">+O64^2</f>
        <v>1764</v>
      </c>
      <c r="R64" s="28">
        <f t="shared" ref="R64:R72" si="53">+G51</f>
        <v>79.400000000000006</v>
      </c>
      <c r="S64">
        <f>+$B64-R64</f>
        <v>50.599999999999994</v>
      </c>
      <c r="T64">
        <f t="shared" ref="T64:T72" si="54">+ABS(S64)</f>
        <v>50.599999999999994</v>
      </c>
      <c r="U64" s="41">
        <f t="shared" ref="U64:U72" si="55">+T64/$B64</f>
        <v>0.38923076923076921</v>
      </c>
      <c r="V64" s="29">
        <f t="shared" ref="V64:V72" si="56">+T64^2</f>
        <v>2560.3599999999992</v>
      </c>
      <c r="W64" s="28">
        <f t="shared" ref="W64:W72" si="57">+H51</f>
        <v>100</v>
      </c>
      <c r="X64">
        <f t="shared" ref="X64:X72" si="58">+$B64-W64</f>
        <v>30</v>
      </c>
      <c r="Y64">
        <f t="shared" ref="Y64:Y72" si="59">+ABS(X64)</f>
        <v>30</v>
      </c>
      <c r="Z64" s="41">
        <f t="shared" ref="Z64:Z72" si="60">+Y64/$B64</f>
        <v>0.23076923076923078</v>
      </c>
      <c r="AA64" s="29">
        <f t="shared" ref="AA64:AA72" si="61">+Y64^2</f>
        <v>900</v>
      </c>
    </row>
    <row r="65" spans="1:27">
      <c r="A65" s="28">
        <v>8</v>
      </c>
      <c r="B65" s="29">
        <f t="shared" si="39"/>
        <v>120</v>
      </c>
      <c r="C65" s="28">
        <f t="shared" si="40"/>
        <v>130</v>
      </c>
      <c r="D65">
        <f>+$B65-C65</f>
        <v>-10</v>
      </c>
      <c r="E65">
        <f t="shared" si="41"/>
        <v>10</v>
      </c>
      <c r="F65" s="41">
        <f t="shared" si="42"/>
        <v>8.3333333333333329E-2</v>
      </c>
      <c r="G65" s="29">
        <f t="shared" si="43"/>
        <v>100</v>
      </c>
      <c r="H65" s="28">
        <f>+E52</f>
        <v>110</v>
      </c>
      <c r="I65">
        <f t="shared" si="44"/>
        <v>10</v>
      </c>
      <c r="J65">
        <f t="shared" si="45"/>
        <v>10</v>
      </c>
      <c r="K65" s="41">
        <f t="shared" si="46"/>
        <v>8.3333333333333329E-2</v>
      </c>
      <c r="L65" s="29">
        <f t="shared" si="47"/>
        <v>100</v>
      </c>
      <c r="M65" s="28">
        <f t="shared" si="48"/>
        <v>100</v>
      </c>
      <c r="N65">
        <f t="shared" si="49"/>
        <v>20</v>
      </c>
      <c r="O65">
        <f t="shared" si="50"/>
        <v>20</v>
      </c>
      <c r="P65" s="41">
        <f t="shared" si="51"/>
        <v>0.16666666666666666</v>
      </c>
      <c r="Q65" s="29">
        <f t="shared" si="52"/>
        <v>400</v>
      </c>
      <c r="R65" s="28">
        <f t="shared" si="53"/>
        <v>84.460000000000008</v>
      </c>
      <c r="S65">
        <f t="shared" ref="S65:S72" si="62">+$B65-R65</f>
        <v>35.539999999999992</v>
      </c>
      <c r="T65">
        <f t="shared" si="54"/>
        <v>35.539999999999992</v>
      </c>
      <c r="U65" s="41">
        <f t="shared" si="55"/>
        <v>0.29616666666666658</v>
      </c>
      <c r="V65" s="29">
        <f t="shared" si="56"/>
        <v>1263.0915999999995</v>
      </c>
      <c r="W65" s="28">
        <f t="shared" si="57"/>
        <v>115</v>
      </c>
      <c r="X65">
        <f t="shared" si="58"/>
        <v>5</v>
      </c>
      <c r="Y65">
        <f t="shared" si="59"/>
        <v>5</v>
      </c>
      <c r="Z65" s="41">
        <f t="shared" si="60"/>
        <v>4.1666666666666664E-2</v>
      </c>
      <c r="AA65" s="29">
        <f t="shared" si="61"/>
        <v>25</v>
      </c>
    </row>
    <row r="66" spans="1:27">
      <c r="A66" s="28">
        <v>9</v>
      </c>
      <c r="B66" s="29">
        <f t="shared" si="39"/>
        <v>140</v>
      </c>
      <c r="C66" s="28">
        <f t="shared" si="40"/>
        <v>120</v>
      </c>
      <c r="D66">
        <f t="shared" ref="D66:D72" si="63">+$B66-C66</f>
        <v>20</v>
      </c>
      <c r="E66">
        <f t="shared" si="41"/>
        <v>20</v>
      </c>
      <c r="F66" s="41">
        <f t="shared" si="42"/>
        <v>0.14285714285714285</v>
      </c>
      <c r="G66" s="29">
        <f t="shared" si="43"/>
        <v>400</v>
      </c>
      <c r="H66" s="28">
        <f t="shared" ref="H66:H72" si="64">+E53</f>
        <v>120</v>
      </c>
      <c r="I66">
        <f t="shared" si="44"/>
        <v>20</v>
      </c>
      <c r="J66">
        <f t="shared" si="45"/>
        <v>20</v>
      </c>
      <c r="K66" s="41">
        <f t="shared" si="46"/>
        <v>0.14285714285714285</v>
      </c>
      <c r="L66" s="29">
        <f t="shared" si="47"/>
        <v>400</v>
      </c>
      <c r="M66" s="28">
        <f t="shared" si="48"/>
        <v>106</v>
      </c>
      <c r="N66">
        <f t="shared" si="49"/>
        <v>34</v>
      </c>
      <c r="O66">
        <f t="shared" si="50"/>
        <v>34</v>
      </c>
      <c r="P66" s="41">
        <f t="shared" si="51"/>
        <v>0.24285714285714285</v>
      </c>
      <c r="Q66" s="29">
        <f t="shared" si="52"/>
        <v>1156</v>
      </c>
      <c r="R66" s="28">
        <f t="shared" si="53"/>
        <v>88.01400000000001</v>
      </c>
      <c r="S66">
        <f t="shared" si="62"/>
        <v>51.98599999999999</v>
      </c>
      <c r="T66">
        <f t="shared" si="54"/>
        <v>51.98599999999999</v>
      </c>
      <c r="U66" s="41">
        <f t="shared" si="55"/>
        <v>0.37132857142857134</v>
      </c>
      <c r="V66" s="29">
        <f t="shared" si="56"/>
        <v>2702.5441959999989</v>
      </c>
      <c r="W66" s="28">
        <f t="shared" si="57"/>
        <v>117.5</v>
      </c>
      <c r="X66">
        <f t="shared" si="58"/>
        <v>22.5</v>
      </c>
      <c r="Y66">
        <f t="shared" si="59"/>
        <v>22.5</v>
      </c>
      <c r="Z66" s="41">
        <f t="shared" si="60"/>
        <v>0.16071428571428573</v>
      </c>
      <c r="AA66" s="29">
        <f t="shared" si="61"/>
        <v>506.25</v>
      </c>
    </row>
    <row r="67" spans="1:27">
      <c r="A67" s="28">
        <v>10</v>
      </c>
      <c r="B67" s="29">
        <f t="shared" si="39"/>
        <v>150</v>
      </c>
      <c r="C67" s="28">
        <f t="shared" si="40"/>
        <v>140</v>
      </c>
      <c r="D67">
        <f t="shared" si="63"/>
        <v>10</v>
      </c>
      <c r="E67">
        <f t="shared" si="41"/>
        <v>10</v>
      </c>
      <c r="F67" s="41">
        <f t="shared" si="42"/>
        <v>6.6666666666666666E-2</v>
      </c>
      <c r="G67" s="29">
        <f t="shared" si="43"/>
        <v>100</v>
      </c>
      <c r="H67" s="28">
        <f t="shared" si="64"/>
        <v>130</v>
      </c>
      <c r="I67">
        <f t="shared" si="44"/>
        <v>20</v>
      </c>
      <c r="J67">
        <f t="shared" si="45"/>
        <v>20</v>
      </c>
      <c r="K67" s="41">
        <f t="shared" si="46"/>
        <v>0.13333333333333333</v>
      </c>
      <c r="L67" s="29">
        <f t="shared" si="47"/>
        <v>400</v>
      </c>
      <c r="M67" s="28">
        <f t="shared" si="48"/>
        <v>118</v>
      </c>
      <c r="N67">
        <f t="shared" si="49"/>
        <v>32</v>
      </c>
      <c r="O67">
        <f t="shared" si="50"/>
        <v>32</v>
      </c>
      <c r="P67" s="41">
        <f t="shared" si="51"/>
        <v>0.21333333333333335</v>
      </c>
      <c r="Q67" s="29">
        <f t="shared" si="52"/>
        <v>1024</v>
      </c>
      <c r="R67" s="28">
        <f t="shared" si="53"/>
        <v>93.212600000000009</v>
      </c>
      <c r="S67">
        <f t="shared" si="62"/>
        <v>56.787399999999991</v>
      </c>
      <c r="T67">
        <f t="shared" si="54"/>
        <v>56.787399999999991</v>
      </c>
      <c r="U67" s="41">
        <f t="shared" si="55"/>
        <v>0.37858266666666662</v>
      </c>
      <c r="V67" s="29">
        <f t="shared" si="56"/>
        <v>3224.8087987599988</v>
      </c>
      <c r="W67" s="28">
        <f t="shared" si="57"/>
        <v>128.75</v>
      </c>
      <c r="X67">
        <f t="shared" si="58"/>
        <v>21.25</v>
      </c>
      <c r="Y67">
        <f t="shared" si="59"/>
        <v>21.25</v>
      </c>
      <c r="Z67" s="41">
        <f t="shared" si="60"/>
        <v>0.14166666666666666</v>
      </c>
      <c r="AA67" s="29">
        <f t="shared" si="61"/>
        <v>451.5625</v>
      </c>
    </row>
    <row r="68" spans="1:27">
      <c r="A68" s="28">
        <v>11</v>
      </c>
      <c r="B68" s="29">
        <f t="shared" si="39"/>
        <v>170</v>
      </c>
      <c r="C68" s="28">
        <f t="shared" si="40"/>
        <v>150</v>
      </c>
      <c r="D68">
        <f t="shared" si="63"/>
        <v>20</v>
      </c>
      <c r="E68">
        <f t="shared" si="41"/>
        <v>20</v>
      </c>
      <c r="F68" s="41">
        <f t="shared" si="42"/>
        <v>0.11764705882352941</v>
      </c>
      <c r="G68" s="29">
        <f t="shared" si="43"/>
        <v>400</v>
      </c>
      <c r="H68" s="28">
        <f t="shared" si="64"/>
        <v>136.66666666666666</v>
      </c>
      <c r="I68">
        <f t="shared" si="44"/>
        <v>33.333333333333343</v>
      </c>
      <c r="J68">
        <f t="shared" si="45"/>
        <v>33.333333333333343</v>
      </c>
      <c r="K68" s="41">
        <f t="shared" si="46"/>
        <v>0.19607843137254907</v>
      </c>
      <c r="L68" s="29">
        <f t="shared" si="47"/>
        <v>1111.1111111111118</v>
      </c>
      <c r="M68" s="28">
        <f t="shared" si="48"/>
        <v>130</v>
      </c>
      <c r="N68">
        <f t="shared" si="49"/>
        <v>40</v>
      </c>
      <c r="O68">
        <f t="shared" si="50"/>
        <v>40</v>
      </c>
      <c r="P68" s="41">
        <f t="shared" si="51"/>
        <v>0.23529411764705882</v>
      </c>
      <c r="Q68" s="29">
        <f t="shared" si="52"/>
        <v>1600</v>
      </c>
      <c r="R68" s="28">
        <f t="shared" si="53"/>
        <v>98.891340000000014</v>
      </c>
      <c r="S68">
        <f t="shared" si="62"/>
        <v>71.108659999999986</v>
      </c>
      <c r="T68">
        <f t="shared" si="54"/>
        <v>71.108659999999986</v>
      </c>
      <c r="U68" s="41">
        <f t="shared" si="55"/>
        <v>0.41828623529411757</v>
      </c>
      <c r="V68" s="29">
        <f t="shared" si="56"/>
        <v>5056.441526995598</v>
      </c>
      <c r="W68" s="28">
        <f t="shared" si="57"/>
        <v>139.375</v>
      </c>
      <c r="X68">
        <f t="shared" si="58"/>
        <v>30.625</v>
      </c>
      <c r="Y68">
        <f t="shared" si="59"/>
        <v>30.625</v>
      </c>
      <c r="Z68" s="41">
        <f t="shared" si="60"/>
        <v>0.18014705882352941</v>
      </c>
      <c r="AA68" s="29">
        <f t="shared" si="61"/>
        <v>937.890625</v>
      </c>
    </row>
    <row r="69" spans="1:27">
      <c r="A69" s="28">
        <v>12</v>
      </c>
      <c r="B69" s="29">
        <f t="shared" si="39"/>
        <v>160</v>
      </c>
      <c r="C69" s="28">
        <f t="shared" si="40"/>
        <v>170</v>
      </c>
      <c r="D69">
        <f t="shared" si="63"/>
        <v>-10</v>
      </c>
      <c r="E69">
        <f t="shared" si="41"/>
        <v>10</v>
      </c>
      <c r="F69" s="41">
        <f t="shared" si="42"/>
        <v>6.25E-2</v>
      </c>
      <c r="G69" s="29">
        <f t="shared" si="43"/>
        <v>100</v>
      </c>
      <c r="H69" s="28">
        <f t="shared" si="64"/>
        <v>153.33333333333334</v>
      </c>
      <c r="I69">
        <f t="shared" si="44"/>
        <v>6.6666666666666572</v>
      </c>
      <c r="J69">
        <f t="shared" si="45"/>
        <v>6.6666666666666572</v>
      </c>
      <c r="K69" s="41">
        <f t="shared" si="46"/>
        <v>4.1666666666666609E-2</v>
      </c>
      <c r="L69" s="29">
        <f t="shared" si="47"/>
        <v>44.444444444444315</v>
      </c>
      <c r="M69" s="28">
        <f t="shared" si="48"/>
        <v>142</v>
      </c>
      <c r="N69">
        <f t="shared" si="49"/>
        <v>18</v>
      </c>
      <c r="O69">
        <f t="shared" si="50"/>
        <v>18</v>
      </c>
      <c r="P69" s="41">
        <f t="shared" si="51"/>
        <v>0.1125</v>
      </c>
      <c r="Q69" s="29">
        <f t="shared" si="52"/>
        <v>324</v>
      </c>
      <c r="R69" s="28">
        <f t="shared" si="53"/>
        <v>106.00220600000002</v>
      </c>
      <c r="S69">
        <f t="shared" si="62"/>
        <v>53.997793999999985</v>
      </c>
      <c r="T69">
        <f t="shared" si="54"/>
        <v>53.997793999999985</v>
      </c>
      <c r="U69" s="41">
        <f t="shared" si="55"/>
        <v>0.33748621249999988</v>
      </c>
      <c r="V69" s="29">
        <f t="shared" si="56"/>
        <v>2915.7617568664346</v>
      </c>
      <c r="W69" s="28">
        <f t="shared" si="57"/>
        <v>154.6875</v>
      </c>
      <c r="X69">
        <f t="shared" si="58"/>
        <v>5.3125</v>
      </c>
      <c r="Y69">
        <f t="shared" si="59"/>
        <v>5.3125</v>
      </c>
      <c r="Z69" s="41">
        <f t="shared" si="60"/>
        <v>3.3203125E-2</v>
      </c>
      <c r="AA69" s="29">
        <f t="shared" si="61"/>
        <v>28.22265625</v>
      </c>
    </row>
    <row r="70" spans="1:27">
      <c r="A70" s="28">
        <v>13</v>
      </c>
      <c r="B70" s="29">
        <f t="shared" si="39"/>
        <v>150</v>
      </c>
      <c r="C70" s="28">
        <f t="shared" si="40"/>
        <v>160</v>
      </c>
      <c r="D70">
        <f t="shared" si="63"/>
        <v>-10</v>
      </c>
      <c r="E70">
        <f t="shared" si="41"/>
        <v>10</v>
      </c>
      <c r="F70" s="41">
        <f t="shared" si="42"/>
        <v>6.6666666666666666E-2</v>
      </c>
      <c r="G70" s="29">
        <f t="shared" si="43"/>
        <v>100</v>
      </c>
      <c r="H70" s="28">
        <f t="shared" si="64"/>
        <v>160</v>
      </c>
      <c r="I70">
        <f t="shared" si="44"/>
        <v>-10</v>
      </c>
      <c r="J70">
        <f t="shared" si="45"/>
        <v>10</v>
      </c>
      <c r="K70" s="41">
        <f t="shared" si="46"/>
        <v>6.6666666666666666E-2</v>
      </c>
      <c r="L70" s="29">
        <f t="shared" si="47"/>
        <v>100</v>
      </c>
      <c r="M70" s="28">
        <f t="shared" si="48"/>
        <v>148</v>
      </c>
      <c r="N70">
        <f t="shared" si="49"/>
        <v>2</v>
      </c>
      <c r="O70">
        <f t="shared" si="50"/>
        <v>2</v>
      </c>
      <c r="P70" s="41">
        <f t="shared" si="51"/>
        <v>1.3333333333333334E-2</v>
      </c>
      <c r="Q70" s="29">
        <f t="shared" si="52"/>
        <v>4</v>
      </c>
      <c r="R70" s="28">
        <f t="shared" si="53"/>
        <v>111.40198540000002</v>
      </c>
      <c r="S70">
        <f t="shared" si="62"/>
        <v>38.598014599999985</v>
      </c>
      <c r="T70">
        <f t="shared" si="54"/>
        <v>38.598014599999985</v>
      </c>
      <c r="U70" s="41">
        <f t="shared" si="55"/>
        <v>0.25732009733333322</v>
      </c>
      <c r="V70" s="29">
        <f t="shared" si="56"/>
        <v>1489.8067310618119</v>
      </c>
      <c r="W70" s="28">
        <f t="shared" si="57"/>
        <v>157.34375</v>
      </c>
      <c r="X70">
        <f t="shared" si="58"/>
        <v>-7.34375</v>
      </c>
      <c r="Y70">
        <f t="shared" si="59"/>
        <v>7.34375</v>
      </c>
      <c r="Z70" s="41">
        <f t="shared" si="60"/>
        <v>4.8958333333333333E-2</v>
      </c>
      <c r="AA70" s="29">
        <f t="shared" si="61"/>
        <v>53.9306640625</v>
      </c>
    </row>
    <row r="71" spans="1:27">
      <c r="A71" s="28">
        <v>14</v>
      </c>
      <c r="B71" s="29">
        <f t="shared" si="39"/>
        <v>190</v>
      </c>
      <c r="C71" s="28">
        <f t="shared" si="40"/>
        <v>150</v>
      </c>
      <c r="D71">
        <f t="shared" si="63"/>
        <v>40</v>
      </c>
      <c r="E71">
        <f t="shared" si="41"/>
        <v>40</v>
      </c>
      <c r="F71" s="41">
        <f t="shared" si="42"/>
        <v>0.21052631578947367</v>
      </c>
      <c r="G71" s="29">
        <f t="shared" si="43"/>
        <v>1600</v>
      </c>
      <c r="H71" s="28">
        <f t="shared" si="64"/>
        <v>160</v>
      </c>
      <c r="I71">
        <f t="shared" si="44"/>
        <v>30</v>
      </c>
      <c r="J71">
        <f t="shared" si="45"/>
        <v>30</v>
      </c>
      <c r="K71" s="41">
        <f t="shared" si="46"/>
        <v>0.15789473684210525</v>
      </c>
      <c r="L71" s="29">
        <f t="shared" si="47"/>
        <v>900</v>
      </c>
      <c r="M71" s="28">
        <f t="shared" si="48"/>
        <v>154</v>
      </c>
      <c r="N71">
        <f t="shared" si="49"/>
        <v>36</v>
      </c>
      <c r="O71">
        <f t="shared" si="50"/>
        <v>36</v>
      </c>
      <c r="P71" s="41">
        <f t="shared" si="51"/>
        <v>0.18947368421052632</v>
      </c>
      <c r="Q71" s="29">
        <f t="shared" si="52"/>
        <v>1296</v>
      </c>
      <c r="R71" s="28">
        <f t="shared" si="53"/>
        <v>115.26178686000002</v>
      </c>
      <c r="S71">
        <f t="shared" si="62"/>
        <v>74.738213139999985</v>
      </c>
      <c r="T71">
        <f t="shared" si="54"/>
        <v>74.738213139999985</v>
      </c>
      <c r="U71" s="41">
        <f t="shared" si="55"/>
        <v>0.39335901652631572</v>
      </c>
      <c r="V71" s="29">
        <f t="shared" si="56"/>
        <v>5585.8005033600666</v>
      </c>
      <c r="W71" s="28">
        <f t="shared" si="57"/>
        <v>153.671875</v>
      </c>
      <c r="X71">
        <f t="shared" si="58"/>
        <v>36.328125</v>
      </c>
      <c r="Y71">
        <f t="shared" si="59"/>
        <v>36.328125</v>
      </c>
      <c r="Z71" s="41">
        <f t="shared" si="60"/>
        <v>0.19120065789473684</v>
      </c>
      <c r="AA71" s="29">
        <f t="shared" si="61"/>
        <v>1319.732666015625</v>
      </c>
    </row>
    <row r="72" spans="1:27" ht="17.100000000000001" thickBot="1">
      <c r="A72" s="30">
        <v>15</v>
      </c>
      <c r="B72" s="32">
        <f t="shared" si="39"/>
        <v>220</v>
      </c>
      <c r="C72" s="30">
        <f t="shared" si="40"/>
        <v>190</v>
      </c>
      <c r="D72" s="31">
        <f t="shared" si="63"/>
        <v>30</v>
      </c>
      <c r="E72" s="31">
        <f t="shared" si="41"/>
        <v>30</v>
      </c>
      <c r="F72" s="42">
        <f t="shared" si="42"/>
        <v>0.13636363636363635</v>
      </c>
      <c r="G72" s="32">
        <f t="shared" si="43"/>
        <v>900</v>
      </c>
      <c r="H72" s="30">
        <f t="shared" si="64"/>
        <v>166.66666666666666</v>
      </c>
      <c r="I72" s="31">
        <f t="shared" si="44"/>
        <v>53.333333333333343</v>
      </c>
      <c r="J72" s="31">
        <f t="shared" si="45"/>
        <v>53.333333333333343</v>
      </c>
      <c r="K72" s="42">
        <f t="shared" si="46"/>
        <v>0.24242424242424246</v>
      </c>
      <c r="L72" s="32">
        <f t="shared" si="47"/>
        <v>2844.4444444444453</v>
      </c>
      <c r="M72" s="30">
        <f t="shared" si="48"/>
        <v>164</v>
      </c>
      <c r="N72" s="31">
        <f t="shared" si="49"/>
        <v>56</v>
      </c>
      <c r="O72" s="31">
        <f t="shared" si="50"/>
        <v>56</v>
      </c>
      <c r="P72" s="42">
        <f t="shared" si="51"/>
        <v>0.25454545454545452</v>
      </c>
      <c r="Q72" s="32">
        <f t="shared" si="52"/>
        <v>3136</v>
      </c>
      <c r="R72" s="30">
        <f t="shared" si="53"/>
        <v>122.73560817400002</v>
      </c>
      <c r="S72" s="31">
        <f t="shared" si="62"/>
        <v>97.264391825999979</v>
      </c>
      <c r="T72" s="31">
        <f t="shared" si="54"/>
        <v>97.264391825999979</v>
      </c>
      <c r="U72" s="42">
        <f t="shared" si="55"/>
        <v>0.44211087193636356</v>
      </c>
      <c r="V72" s="32">
        <f t="shared" si="56"/>
        <v>9460.3619172816525</v>
      </c>
      <c r="W72" s="30">
        <f t="shared" si="57"/>
        <v>171.8359375</v>
      </c>
      <c r="X72" s="31">
        <f t="shared" si="58"/>
        <v>48.1640625</v>
      </c>
      <c r="Y72" s="31">
        <f t="shared" si="59"/>
        <v>48.1640625</v>
      </c>
      <c r="Z72" s="42">
        <f t="shared" si="60"/>
        <v>0.21892755681818182</v>
      </c>
      <c r="AA72" s="32">
        <f t="shared" si="61"/>
        <v>2319.7769165039063</v>
      </c>
    </row>
    <row r="74" spans="1:27" ht="17.100000000000001" thickBot="1"/>
    <row r="75" spans="1:27">
      <c r="C75" s="14" t="s">
        <v>42</v>
      </c>
      <c r="D75" s="18">
        <f>+AVERAGE(D$63:D$72)</f>
        <v>13</v>
      </c>
      <c r="E75" s="18"/>
      <c r="F75" s="18"/>
      <c r="G75" s="21"/>
      <c r="H75" s="14" t="s">
        <v>42</v>
      </c>
      <c r="I75" s="18">
        <f>+AVERAGE(I$63:I$72)</f>
        <v>22.333333333333336</v>
      </c>
      <c r="J75" s="18"/>
      <c r="K75" s="18"/>
      <c r="L75" s="21"/>
      <c r="M75" s="14" t="s">
        <v>42</v>
      </c>
      <c r="N75" s="18">
        <f>+AVERAGE(N$63:N$72)</f>
        <v>31.4</v>
      </c>
      <c r="O75" s="18"/>
      <c r="P75" s="18"/>
      <c r="Q75" s="21"/>
      <c r="R75" s="14" t="s">
        <v>42</v>
      </c>
      <c r="S75" s="18">
        <f>+AVERAGE(S$63:S$72)</f>
        <v>56.462047356599989</v>
      </c>
      <c r="T75" s="18"/>
      <c r="U75" s="18"/>
      <c r="V75" s="21"/>
      <c r="W75" s="43" t="s">
        <v>42</v>
      </c>
      <c r="X75" s="44">
        <f>+AVERAGE(X$63:X$72)</f>
        <v>21.18359375</v>
      </c>
      <c r="Y75" s="44"/>
      <c r="Z75" s="44"/>
      <c r="AA75" s="45"/>
    </row>
    <row r="76" spans="1:27">
      <c r="C76" s="15" t="s">
        <v>43</v>
      </c>
      <c r="D76" s="19"/>
      <c r="E76" s="19">
        <f>+AVERAGE(E$63:E$72)</f>
        <v>19</v>
      </c>
      <c r="F76" s="19"/>
      <c r="G76" s="22"/>
      <c r="H76" s="15" t="s">
        <v>43</v>
      </c>
      <c r="I76" s="19"/>
      <c r="J76" s="19">
        <f>+AVERAGE(J$63:J$72)</f>
        <v>24.333333333333336</v>
      </c>
      <c r="K76" s="19"/>
      <c r="L76" s="22"/>
      <c r="M76" s="15" t="s">
        <v>43</v>
      </c>
      <c r="N76" s="19"/>
      <c r="O76" s="19">
        <f>+AVERAGE(O$63:O$72)</f>
        <v>31.4</v>
      </c>
      <c r="P76" s="19"/>
      <c r="Q76" s="22"/>
      <c r="R76" s="15" t="s">
        <v>43</v>
      </c>
      <c r="S76" s="19"/>
      <c r="T76" s="19">
        <f>+AVERAGE(T$63:T$72)</f>
        <v>56.462047356599989</v>
      </c>
      <c r="U76" s="19"/>
      <c r="V76" s="22"/>
      <c r="W76" s="46" t="s">
        <v>43</v>
      </c>
      <c r="X76" s="47"/>
      <c r="Y76" s="47">
        <f>+AVERAGE(Y$63:Y$72)</f>
        <v>22.65234375</v>
      </c>
      <c r="Z76" s="47"/>
      <c r="AA76" s="48"/>
    </row>
    <row r="77" spans="1:27">
      <c r="C77" s="15" t="s">
        <v>44</v>
      </c>
      <c r="D77" s="19"/>
      <c r="E77" s="19"/>
      <c r="F77" s="27">
        <f>+AVERAGE(F$63:F$72)</f>
        <v>0.12222251561647846</v>
      </c>
      <c r="G77" s="22"/>
      <c r="H77" s="15" t="s">
        <v>44</v>
      </c>
      <c r="I77" s="19"/>
      <c r="J77" s="19"/>
      <c r="K77" s="27">
        <f>+AVERAGE(K$63:K$72)</f>
        <v>0.15584270476685336</v>
      </c>
      <c r="L77" s="22"/>
      <c r="M77" s="15" t="s">
        <v>44</v>
      </c>
      <c r="N77" s="19"/>
      <c r="O77" s="19"/>
      <c r="P77" s="27">
        <f>+AVERAGE(P$63:P$72)</f>
        <v>0.20601715647613478</v>
      </c>
      <c r="Q77" s="22"/>
      <c r="R77" s="15" t="s">
        <v>44</v>
      </c>
      <c r="S77" s="19"/>
      <c r="T77" s="19"/>
      <c r="U77" s="27">
        <f>+AVERAGE(U$63:U$72)</f>
        <v>0.35929620166737131</v>
      </c>
      <c r="V77" s="22"/>
      <c r="W77" s="46" t="s">
        <v>44</v>
      </c>
      <c r="X77" s="47"/>
      <c r="Y77" s="47"/>
      <c r="Z77" s="49">
        <f>+AVERAGE(Z$63:Z$72)</f>
        <v>0.14290717635048134</v>
      </c>
      <c r="AA77" s="48"/>
    </row>
    <row r="78" spans="1:27">
      <c r="C78" s="15" t="s">
        <v>45</v>
      </c>
      <c r="D78" s="19"/>
      <c r="E78" s="19"/>
      <c r="F78" s="19"/>
      <c r="G78" s="22">
        <f>+AVERAGE(G$63:G$72)</f>
        <v>450</v>
      </c>
      <c r="H78" s="15" t="s">
        <v>45</v>
      </c>
      <c r="I78" s="19"/>
      <c r="J78" s="19"/>
      <c r="K78" s="19"/>
      <c r="L78" s="22">
        <f>+AVERAGE(L$63:L$72)</f>
        <v>778.88888888888903</v>
      </c>
      <c r="M78" s="15" t="s">
        <v>45</v>
      </c>
      <c r="N78" s="19"/>
      <c r="O78" s="19"/>
      <c r="P78" s="19"/>
      <c r="Q78" s="22">
        <f>+AVERAGE(Q$63:Q$72)</f>
        <v>1186</v>
      </c>
      <c r="R78" s="15" t="s">
        <v>45</v>
      </c>
      <c r="S78" s="19"/>
      <c r="T78" s="19"/>
      <c r="U78" s="19"/>
      <c r="V78" s="22">
        <f>+AVERAGE(V$63:V$72)</f>
        <v>3541.4977030325563</v>
      </c>
      <c r="W78" s="46" t="s">
        <v>45</v>
      </c>
      <c r="X78" s="47"/>
      <c r="Y78" s="47"/>
      <c r="Z78" s="47"/>
      <c r="AA78" s="48">
        <f>+AVERAGE(AA$63:AA$72)</f>
        <v>694.23660278320313</v>
      </c>
    </row>
    <row r="79" spans="1:27" ht="17.100000000000001" thickBot="1">
      <c r="C79" s="16" t="s">
        <v>46</v>
      </c>
      <c r="D79" s="20"/>
      <c r="E79" s="20"/>
      <c r="F79" s="20"/>
      <c r="G79" s="23">
        <f>+SQRT(G78)</f>
        <v>21.213203435596427</v>
      </c>
      <c r="H79" s="16" t="s">
        <v>46</v>
      </c>
      <c r="I79" s="20"/>
      <c r="J79" s="20"/>
      <c r="K79" s="20"/>
      <c r="L79" s="23">
        <f>+SQRT(L78)</f>
        <v>27.908580918579307</v>
      </c>
      <c r="M79" s="16" t="s">
        <v>46</v>
      </c>
      <c r="N79" s="20"/>
      <c r="O79" s="20"/>
      <c r="P79" s="20"/>
      <c r="Q79" s="23">
        <f>+SQRT(Q78)</f>
        <v>34.438350715445125</v>
      </c>
      <c r="R79" s="16" t="s">
        <v>46</v>
      </c>
      <c r="S79" s="20"/>
      <c r="T79" s="20"/>
      <c r="U79" s="20"/>
      <c r="V79" s="23">
        <f>+SQRT(V78)</f>
        <v>59.510483975788304</v>
      </c>
      <c r="W79" s="50" t="s">
        <v>46</v>
      </c>
      <c r="X79" s="51"/>
      <c r="Y79" s="51"/>
      <c r="Z79" s="51"/>
      <c r="AA79" s="52">
        <f>+SQRT(AA78)</f>
        <v>26.348370021373299</v>
      </c>
    </row>
  </sheetData>
  <mergeCells count="2">
    <mergeCell ref="D1:H1"/>
    <mergeCell ref="D42:H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1A9D-1611-4FD3-A246-7FB533D8CBDE}">
  <dimension ref="A1:L79"/>
  <sheetViews>
    <sheetView topLeftCell="B80" zoomScale="117" workbookViewId="0">
      <selection activeCell="D12" sqref="D12"/>
    </sheetView>
  </sheetViews>
  <sheetFormatPr defaultColWidth="11" defaultRowHeight="15.95"/>
  <cols>
    <col min="4" max="5" width="20.625" customWidth="1"/>
    <col min="6" max="6" width="17.125" customWidth="1"/>
    <col min="7" max="7" width="20.875" customWidth="1"/>
    <col min="8" max="8" width="18.875" customWidth="1"/>
    <col min="9" max="9" width="17.125" customWidth="1"/>
  </cols>
  <sheetData>
    <row r="1" spans="1:9" ht="17.100000000000001" thickBot="1">
      <c r="D1" s="164" t="s">
        <v>68</v>
      </c>
      <c r="E1" s="165"/>
      <c r="F1" s="165"/>
      <c r="G1" s="165"/>
      <c r="H1" s="165"/>
      <c r="I1" s="165"/>
    </row>
    <row r="2" spans="1:9">
      <c r="A2" t="s">
        <v>69</v>
      </c>
      <c r="B2" t="s">
        <v>70</v>
      </c>
      <c r="C2" t="s">
        <v>71</v>
      </c>
      <c r="D2" s="103" t="s">
        <v>85</v>
      </c>
      <c r="E2" s="104" t="s">
        <v>86</v>
      </c>
      <c r="F2" s="105" t="s">
        <v>87</v>
      </c>
      <c r="G2" s="104" t="s">
        <v>85</v>
      </c>
      <c r="H2" s="104" t="s">
        <v>86</v>
      </c>
      <c r="I2" s="105" t="s">
        <v>88</v>
      </c>
    </row>
    <row r="3" spans="1:9">
      <c r="D3" s="106">
        <v>0.1</v>
      </c>
      <c r="E3" s="102">
        <v>0.2</v>
      </c>
      <c r="F3" s="107"/>
      <c r="G3" s="102">
        <v>0.5</v>
      </c>
      <c r="H3" s="102">
        <v>0.2</v>
      </c>
      <c r="I3" s="107"/>
    </row>
    <row r="4" spans="1:9">
      <c r="A4">
        <v>1</v>
      </c>
      <c r="B4">
        <v>50</v>
      </c>
      <c r="C4">
        <v>50</v>
      </c>
      <c r="D4" s="96"/>
      <c r="F4" s="97"/>
      <c r="I4" s="97"/>
    </row>
    <row r="5" spans="1:9">
      <c r="A5">
        <v>2</v>
      </c>
      <c r="B5">
        <v>70</v>
      </c>
      <c r="C5">
        <v>70</v>
      </c>
      <c r="D5" s="96"/>
      <c r="F5" s="97"/>
      <c r="I5" s="97"/>
    </row>
    <row r="6" spans="1:9">
      <c r="A6">
        <v>3</v>
      </c>
      <c r="B6">
        <v>90</v>
      </c>
      <c r="C6">
        <v>90</v>
      </c>
      <c r="D6" s="96"/>
      <c r="F6" s="97"/>
      <c r="I6" s="97"/>
    </row>
    <row r="7" spans="1:9">
      <c r="A7">
        <v>4</v>
      </c>
      <c r="B7">
        <v>30</v>
      </c>
      <c r="C7">
        <v>80</v>
      </c>
      <c r="D7" s="96"/>
      <c r="F7" s="97"/>
      <c r="I7" s="97"/>
    </row>
    <row r="8" spans="1:9">
      <c r="A8">
        <v>5</v>
      </c>
      <c r="B8">
        <v>30</v>
      </c>
      <c r="C8">
        <v>90</v>
      </c>
      <c r="D8" s="96"/>
      <c r="F8" s="97"/>
      <c r="I8" s="97"/>
    </row>
    <row r="9" spans="1:9">
      <c r="A9">
        <v>6</v>
      </c>
      <c r="B9">
        <v>40</v>
      </c>
      <c r="C9">
        <v>110</v>
      </c>
      <c r="D9" s="96">
        <v>50</v>
      </c>
      <c r="E9">
        <f>($E$3*(D9-D8))+((1-$E$3)*E8)</f>
        <v>10</v>
      </c>
      <c r="F9" s="97">
        <f t="shared" ref="F8:F18" si="0">E9+D9</f>
        <v>60</v>
      </c>
      <c r="G9">
        <f>D9</f>
        <v>50</v>
      </c>
      <c r="H9">
        <f t="shared" ref="H9:H18" si="1">($H$3*(G9-G8))+((1-$H$3)*H8)</f>
        <v>10</v>
      </c>
      <c r="I9" s="97">
        <f t="shared" ref="I8:I18" si="2">H9+G9</f>
        <v>60</v>
      </c>
    </row>
    <row r="10" spans="1:9">
      <c r="A10">
        <v>7</v>
      </c>
      <c r="B10">
        <v>30</v>
      </c>
      <c r="C10">
        <v>130</v>
      </c>
      <c r="D10" s="96">
        <f>$D$3*B9+((1-$D$3)*(D9+E9))</f>
        <v>58</v>
      </c>
      <c r="E10">
        <f>($E$3*(D10-D9))+((1-$E$3)*E9)</f>
        <v>9.6</v>
      </c>
      <c r="F10" s="97">
        <f t="shared" si="0"/>
        <v>67.599999999999994</v>
      </c>
      <c r="G10">
        <f t="shared" ref="G9:G18" si="3">$G$3*B9+((1-$G$3)*(G9+H9))</f>
        <v>50</v>
      </c>
      <c r="H10">
        <f t="shared" si="1"/>
        <v>8</v>
      </c>
      <c r="I10" s="97">
        <f t="shared" si="2"/>
        <v>58</v>
      </c>
    </row>
    <row r="11" spans="1:9">
      <c r="A11">
        <v>8</v>
      </c>
      <c r="B11">
        <v>50</v>
      </c>
      <c r="C11">
        <v>120</v>
      </c>
      <c r="D11" s="96">
        <f>$D$3*B10+((1-$D$3)*(D10+E10))</f>
        <v>63.839999999999996</v>
      </c>
      <c r="E11">
        <f t="shared" ref="E9:E18" si="4">($E$3*(D11-D10))+((1-$E$3)*E10)</f>
        <v>8.847999999999999</v>
      </c>
      <c r="F11" s="97">
        <f t="shared" si="0"/>
        <v>72.687999999999988</v>
      </c>
      <c r="G11">
        <f t="shared" si="3"/>
        <v>44</v>
      </c>
      <c r="H11">
        <f t="shared" si="1"/>
        <v>5.2</v>
      </c>
      <c r="I11" s="97">
        <f t="shared" si="2"/>
        <v>49.2</v>
      </c>
    </row>
    <row r="12" spans="1:9">
      <c r="A12">
        <v>9</v>
      </c>
      <c r="B12">
        <v>60</v>
      </c>
      <c r="C12">
        <v>140</v>
      </c>
      <c r="D12" s="96">
        <f t="shared" ref="D9:D18" si="5">$D$3*B11+((1-$D$3)*(D11+E11))</f>
        <v>70.419199999999989</v>
      </c>
      <c r="E12">
        <f t="shared" si="4"/>
        <v>8.3942399999999981</v>
      </c>
      <c r="F12" s="97">
        <f t="shared" si="0"/>
        <v>78.813439999999986</v>
      </c>
      <c r="G12">
        <f t="shared" si="3"/>
        <v>49.6</v>
      </c>
      <c r="H12">
        <f t="shared" si="1"/>
        <v>5.28</v>
      </c>
      <c r="I12" s="97">
        <f t="shared" si="2"/>
        <v>54.88</v>
      </c>
    </row>
    <row r="13" spans="1:9">
      <c r="A13">
        <v>10</v>
      </c>
      <c r="B13">
        <v>70</v>
      </c>
      <c r="C13">
        <v>150</v>
      </c>
      <c r="D13" s="96">
        <f t="shared" si="5"/>
        <v>76.932095999999987</v>
      </c>
      <c r="E13">
        <f t="shared" si="4"/>
        <v>8.0179711999999981</v>
      </c>
      <c r="F13" s="97">
        <f t="shared" si="0"/>
        <v>84.950067199999978</v>
      </c>
      <c r="G13">
        <f t="shared" si="3"/>
        <v>57.44</v>
      </c>
      <c r="H13">
        <f t="shared" si="1"/>
        <v>5.7919999999999998</v>
      </c>
      <c r="I13" s="97">
        <f t="shared" si="2"/>
        <v>63.231999999999999</v>
      </c>
    </row>
    <row r="14" spans="1:9">
      <c r="A14">
        <v>11</v>
      </c>
      <c r="B14">
        <v>60</v>
      </c>
      <c r="C14">
        <v>170</v>
      </c>
      <c r="D14" s="96">
        <f t="shared" si="5"/>
        <v>83.455060479999986</v>
      </c>
      <c r="E14">
        <f t="shared" si="4"/>
        <v>7.7189698559999984</v>
      </c>
      <c r="F14" s="97">
        <f t="shared" si="0"/>
        <v>91.174030335999987</v>
      </c>
      <c r="G14">
        <f t="shared" si="3"/>
        <v>66.616</v>
      </c>
      <c r="H14">
        <f t="shared" si="1"/>
        <v>6.4688000000000008</v>
      </c>
      <c r="I14" s="97">
        <f t="shared" si="2"/>
        <v>73.084800000000001</v>
      </c>
    </row>
    <row r="15" spans="1:9">
      <c r="A15">
        <v>12</v>
      </c>
      <c r="B15">
        <v>40</v>
      </c>
      <c r="C15">
        <v>160</v>
      </c>
      <c r="D15" s="96">
        <f t="shared" si="5"/>
        <v>88.056627302399988</v>
      </c>
      <c r="E15">
        <f t="shared" si="4"/>
        <v>7.0954892492799999</v>
      </c>
      <c r="F15" s="97">
        <f t="shared" si="0"/>
        <v>95.152116551679995</v>
      </c>
      <c r="G15">
        <f t="shared" si="3"/>
        <v>66.542400000000001</v>
      </c>
      <c r="H15">
        <f t="shared" si="1"/>
        <v>5.1603200000000014</v>
      </c>
      <c r="I15" s="97">
        <f t="shared" si="2"/>
        <v>71.702719999999999</v>
      </c>
    </row>
    <row r="16" spans="1:9">
      <c r="A16">
        <v>13</v>
      </c>
      <c r="B16">
        <v>40</v>
      </c>
      <c r="C16">
        <v>150</v>
      </c>
      <c r="D16" s="96">
        <f t="shared" si="5"/>
        <v>89.636904896511993</v>
      </c>
      <c r="E16">
        <f t="shared" si="4"/>
        <v>5.9924469182464009</v>
      </c>
      <c r="F16" s="97">
        <f t="shared" si="0"/>
        <v>95.629351814758394</v>
      </c>
      <c r="G16">
        <f t="shared" si="3"/>
        <v>55.85136</v>
      </c>
      <c r="H16">
        <f t="shared" si="1"/>
        <v>1.9900480000000011</v>
      </c>
      <c r="I16" s="97">
        <f t="shared" si="2"/>
        <v>57.841408000000001</v>
      </c>
    </row>
    <row r="17" spans="1:12">
      <c r="A17">
        <v>14</v>
      </c>
      <c r="B17">
        <v>40</v>
      </c>
      <c r="C17">
        <v>190</v>
      </c>
      <c r="D17" s="96">
        <f t="shared" si="5"/>
        <v>90.066416633282557</v>
      </c>
      <c r="E17">
        <f t="shared" si="4"/>
        <v>4.8798598819512335</v>
      </c>
      <c r="F17" s="97">
        <f t="shared" si="0"/>
        <v>94.946276515233791</v>
      </c>
      <c r="G17">
        <f t="shared" si="3"/>
        <v>48.920704000000001</v>
      </c>
      <c r="H17">
        <f t="shared" si="1"/>
        <v>0.20590720000000107</v>
      </c>
      <c r="I17" s="97">
        <f t="shared" si="2"/>
        <v>49.126611199999999</v>
      </c>
    </row>
    <row r="18" spans="1:12" ht="17.100000000000001" thickBot="1">
      <c r="A18">
        <v>15</v>
      </c>
      <c r="B18">
        <v>50</v>
      </c>
      <c r="C18">
        <v>220</v>
      </c>
      <c r="D18" s="98">
        <f t="shared" si="5"/>
        <v>89.451648863710417</v>
      </c>
      <c r="E18" s="99">
        <f t="shared" si="4"/>
        <v>3.7809343516465592</v>
      </c>
      <c r="F18" s="101">
        <f t="shared" si="0"/>
        <v>93.232583215356982</v>
      </c>
      <c r="G18" s="99">
        <f t="shared" si="3"/>
        <v>44.5633056</v>
      </c>
      <c r="H18" s="99">
        <f t="shared" si="1"/>
        <v>-0.70675391999999937</v>
      </c>
      <c r="I18" s="101">
        <f t="shared" si="2"/>
        <v>43.856551680000003</v>
      </c>
    </row>
    <row r="20" spans="1:12" ht="17.100000000000001" thickBot="1"/>
    <row r="21" spans="1:12" ht="17.100000000000001" thickBot="1">
      <c r="A21" s="87" t="s">
        <v>69</v>
      </c>
      <c r="B21" s="88" t="s">
        <v>70</v>
      </c>
      <c r="C21" s="91" t="s">
        <v>79</v>
      </c>
      <c r="D21" s="18" t="s">
        <v>38</v>
      </c>
      <c r="E21" s="18" t="s">
        <v>39</v>
      </c>
      <c r="F21" s="18" t="s">
        <v>40</v>
      </c>
      <c r="G21" s="18" t="s">
        <v>41</v>
      </c>
      <c r="H21" s="132" t="s">
        <v>80</v>
      </c>
      <c r="I21" s="133" t="s">
        <v>38</v>
      </c>
      <c r="J21" s="133" t="s">
        <v>39</v>
      </c>
      <c r="K21" s="133" t="s">
        <v>40</v>
      </c>
      <c r="L21" s="134" t="s">
        <v>41</v>
      </c>
    </row>
    <row r="22" spans="1:12">
      <c r="A22" s="28">
        <v>6</v>
      </c>
      <c r="B22">
        <v>40</v>
      </c>
      <c r="C22" s="92">
        <f>+D9</f>
        <v>50</v>
      </c>
      <c r="D22" s="93">
        <f t="shared" ref="D22:D31" si="6">+$B22-C22</f>
        <v>-10</v>
      </c>
      <c r="E22" s="93">
        <f t="shared" ref="E22:E31" si="7">+ABS(D22)</f>
        <v>10</v>
      </c>
      <c r="F22" s="94">
        <f t="shared" ref="F22:F31" si="8">+E22/$B22</f>
        <v>0.25</v>
      </c>
      <c r="G22" s="93">
        <f t="shared" ref="G22:G31" si="9">+E22^2</f>
        <v>100</v>
      </c>
      <c r="H22" s="96">
        <f>G9</f>
        <v>50</v>
      </c>
      <c r="I22">
        <f>+$B22-H22</f>
        <v>-10</v>
      </c>
      <c r="J22">
        <f t="shared" ref="J22:J31" si="10">+ABS(I22)</f>
        <v>10</v>
      </c>
      <c r="K22" s="41">
        <f t="shared" ref="K22:K31" si="11">+J22/$B22</f>
        <v>0.25</v>
      </c>
      <c r="L22" s="97">
        <f t="shared" ref="L22:L31" si="12">+J22^2</f>
        <v>100</v>
      </c>
    </row>
    <row r="23" spans="1:12">
      <c r="A23" s="28">
        <v>7</v>
      </c>
      <c r="B23">
        <v>30</v>
      </c>
      <c r="C23" s="96">
        <f t="shared" ref="C22:C31" si="13">+D10</f>
        <v>58</v>
      </c>
      <c r="D23">
        <f t="shared" si="6"/>
        <v>-28</v>
      </c>
      <c r="E23">
        <f t="shared" si="7"/>
        <v>28</v>
      </c>
      <c r="F23" s="41">
        <f t="shared" si="8"/>
        <v>0.93333333333333335</v>
      </c>
      <c r="G23">
        <f t="shared" si="9"/>
        <v>784</v>
      </c>
      <c r="H23" s="96">
        <f>G10</f>
        <v>50</v>
      </c>
      <c r="I23">
        <f t="shared" ref="I22:I31" si="14">+$B23-H23</f>
        <v>-20</v>
      </c>
      <c r="J23">
        <f t="shared" si="10"/>
        <v>20</v>
      </c>
      <c r="K23" s="41">
        <f t="shared" si="11"/>
        <v>0.66666666666666663</v>
      </c>
      <c r="L23" s="97">
        <f t="shared" si="12"/>
        <v>400</v>
      </c>
    </row>
    <row r="24" spans="1:12">
      <c r="A24" s="28">
        <v>8</v>
      </c>
      <c r="B24">
        <v>50</v>
      </c>
      <c r="C24" s="96">
        <f t="shared" si="13"/>
        <v>63.839999999999996</v>
      </c>
      <c r="D24">
        <f t="shared" si="6"/>
        <v>-13.839999999999996</v>
      </c>
      <c r="E24">
        <f t="shared" si="7"/>
        <v>13.839999999999996</v>
      </c>
      <c r="F24" s="41">
        <f t="shared" si="8"/>
        <v>0.27679999999999993</v>
      </c>
      <c r="G24">
        <f t="shared" si="9"/>
        <v>191.54559999999989</v>
      </c>
      <c r="H24" s="96">
        <f>G11</f>
        <v>44</v>
      </c>
      <c r="I24">
        <f t="shared" si="14"/>
        <v>6</v>
      </c>
      <c r="J24">
        <f t="shared" si="10"/>
        <v>6</v>
      </c>
      <c r="K24" s="41">
        <f t="shared" si="11"/>
        <v>0.12</v>
      </c>
      <c r="L24" s="97">
        <f t="shared" si="12"/>
        <v>36</v>
      </c>
    </row>
    <row r="25" spans="1:12">
      <c r="A25" s="28">
        <v>9</v>
      </c>
      <c r="B25">
        <v>60</v>
      </c>
      <c r="C25" s="96">
        <f t="shared" si="13"/>
        <v>70.419199999999989</v>
      </c>
      <c r="D25">
        <f t="shared" si="6"/>
        <v>-10.419199999999989</v>
      </c>
      <c r="E25">
        <f t="shared" si="7"/>
        <v>10.419199999999989</v>
      </c>
      <c r="F25" s="41">
        <f t="shared" si="8"/>
        <v>0.17365333333333316</v>
      </c>
      <c r="G25">
        <f t="shared" si="9"/>
        <v>108.55972863999978</v>
      </c>
      <c r="H25" s="96">
        <f>G12</f>
        <v>49.6</v>
      </c>
      <c r="I25">
        <f t="shared" si="14"/>
        <v>10.399999999999999</v>
      </c>
      <c r="J25">
        <f t="shared" si="10"/>
        <v>10.399999999999999</v>
      </c>
      <c r="K25" s="41">
        <f t="shared" si="11"/>
        <v>0.17333333333333331</v>
      </c>
      <c r="L25" s="97">
        <f t="shared" si="12"/>
        <v>108.15999999999997</v>
      </c>
    </row>
    <row r="26" spans="1:12">
      <c r="A26" s="28">
        <v>10</v>
      </c>
      <c r="B26">
        <v>70</v>
      </c>
      <c r="C26" s="96">
        <f t="shared" si="13"/>
        <v>76.932095999999987</v>
      </c>
      <c r="D26">
        <f t="shared" si="6"/>
        <v>-6.9320959999999872</v>
      </c>
      <c r="E26">
        <f t="shared" si="7"/>
        <v>6.9320959999999872</v>
      </c>
      <c r="F26" s="41">
        <f t="shared" si="8"/>
        <v>9.9029942857142672E-2</v>
      </c>
      <c r="G26">
        <f t="shared" si="9"/>
        <v>48.053954953215822</v>
      </c>
      <c r="H26" s="96">
        <f>G13</f>
        <v>57.44</v>
      </c>
      <c r="I26">
        <f t="shared" si="14"/>
        <v>12.560000000000002</v>
      </c>
      <c r="J26">
        <f t="shared" si="10"/>
        <v>12.560000000000002</v>
      </c>
      <c r="K26" s="41">
        <f t="shared" si="11"/>
        <v>0.17942857142857147</v>
      </c>
      <c r="L26" s="97">
        <f t="shared" si="12"/>
        <v>157.75360000000006</v>
      </c>
    </row>
    <row r="27" spans="1:12">
      <c r="A27" s="28">
        <v>11</v>
      </c>
      <c r="B27">
        <v>60</v>
      </c>
      <c r="C27" s="96">
        <f t="shared" si="13"/>
        <v>83.455060479999986</v>
      </c>
      <c r="D27">
        <f t="shared" si="6"/>
        <v>-23.455060479999986</v>
      </c>
      <c r="E27">
        <f t="shared" si="7"/>
        <v>23.455060479999986</v>
      </c>
      <c r="F27" s="41">
        <f t="shared" si="8"/>
        <v>0.39091767466666644</v>
      </c>
      <c r="G27">
        <f t="shared" si="9"/>
        <v>550.13986212045722</v>
      </c>
      <c r="H27" s="96">
        <f>G14</f>
        <v>66.616</v>
      </c>
      <c r="I27">
        <f t="shared" si="14"/>
        <v>-6.6159999999999997</v>
      </c>
      <c r="J27">
        <f t="shared" si="10"/>
        <v>6.6159999999999997</v>
      </c>
      <c r="K27" s="41">
        <f t="shared" si="11"/>
        <v>0.11026666666666667</v>
      </c>
      <c r="L27" s="97">
        <f t="shared" si="12"/>
        <v>43.771455999999993</v>
      </c>
    </row>
    <row r="28" spans="1:12">
      <c r="A28" s="28">
        <v>12</v>
      </c>
      <c r="B28">
        <v>40</v>
      </c>
      <c r="C28" s="96">
        <f t="shared" si="13"/>
        <v>88.056627302399988</v>
      </c>
      <c r="D28">
        <f t="shared" si="6"/>
        <v>-48.056627302399988</v>
      </c>
      <c r="E28">
        <f t="shared" si="7"/>
        <v>48.056627302399988</v>
      </c>
      <c r="F28" s="41">
        <f t="shared" si="8"/>
        <v>1.2014156825599998</v>
      </c>
      <c r="G28">
        <f t="shared" si="9"/>
        <v>2309.4394276817761</v>
      </c>
      <c r="H28" s="96">
        <f>G15</f>
        <v>66.542400000000001</v>
      </c>
      <c r="I28">
        <f t="shared" si="14"/>
        <v>-26.542400000000001</v>
      </c>
      <c r="J28">
        <f t="shared" si="10"/>
        <v>26.542400000000001</v>
      </c>
      <c r="K28" s="41">
        <f t="shared" si="11"/>
        <v>0.66356000000000004</v>
      </c>
      <c r="L28" s="97">
        <f t="shared" si="12"/>
        <v>704.49899776000007</v>
      </c>
    </row>
    <row r="29" spans="1:12">
      <c r="A29" s="28">
        <v>13</v>
      </c>
      <c r="B29">
        <v>40</v>
      </c>
      <c r="C29" s="96">
        <f t="shared" si="13"/>
        <v>89.636904896511993</v>
      </c>
      <c r="D29">
        <f t="shared" si="6"/>
        <v>-49.636904896511993</v>
      </c>
      <c r="E29">
        <f t="shared" si="7"/>
        <v>49.636904896511993</v>
      </c>
      <c r="F29" s="41">
        <f t="shared" si="8"/>
        <v>1.2409226224127998</v>
      </c>
      <c r="G29">
        <f t="shared" si="9"/>
        <v>2463.8223277053762</v>
      </c>
      <c r="H29" s="96">
        <f>G16</f>
        <v>55.85136</v>
      </c>
      <c r="I29">
        <f t="shared" si="14"/>
        <v>-15.85136</v>
      </c>
      <c r="J29">
        <f t="shared" si="10"/>
        <v>15.85136</v>
      </c>
      <c r="K29" s="41">
        <f t="shared" si="11"/>
        <v>0.39628399999999997</v>
      </c>
      <c r="L29" s="97">
        <f t="shared" si="12"/>
        <v>251.26561384959999</v>
      </c>
    </row>
    <row r="30" spans="1:12">
      <c r="A30" s="28">
        <v>14</v>
      </c>
      <c r="B30">
        <v>40</v>
      </c>
      <c r="C30" s="96">
        <f t="shared" si="13"/>
        <v>90.066416633282557</v>
      </c>
      <c r="D30">
        <f t="shared" si="6"/>
        <v>-50.066416633282557</v>
      </c>
      <c r="E30">
        <f t="shared" si="7"/>
        <v>50.066416633282557</v>
      </c>
      <c r="F30" s="41">
        <f t="shared" si="8"/>
        <v>1.2516604158320639</v>
      </c>
      <c r="G30">
        <f t="shared" si="9"/>
        <v>2506.6460744974324</v>
      </c>
      <c r="H30" s="96">
        <f>G17</f>
        <v>48.920704000000001</v>
      </c>
      <c r="I30">
        <f t="shared" si="14"/>
        <v>-8.9207040000000006</v>
      </c>
      <c r="J30">
        <f t="shared" si="10"/>
        <v>8.9207040000000006</v>
      </c>
      <c r="K30" s="41">
        <f t="shared" si="11"/>
        <v>0.22301760000000001</v>
      </c>
      <c r="L30" s="97">
        <f t="shared" si="12"/>
        <v>79.578959855616006</v>
      </c>
    </row>
    <row r="31" spans="1:12" ht="17.100000000000001" thickBot="1">
      <c r="A31" s="30">
        <v>15</v>
      </c>
      <c r="B31" s="31">
        <v>50</v>
      </c>
      <c r="C31" s="98">
        <f t="shared" si="13"/>
        <v>89.451648863710417</v>
      </c>
      <c r="D31" s="99">
        <f t="shared" si="6"/>
        <v>-39.451648863710417</v>
      </c>
      <c r="E31" s="99">
        <f t="shared" si="7"/>
        <v>39.451648863710417</v>
      </c>
      <c r="F31" s="100">
        <f t="shared" si="8"/>
        <v>0.7890329772742084</v>
      </c>
      <c r="G31" s="99">
        <f t="shared" si="9"/>
        <v>1556.4325980655035</v>
      </c>
      <c r="H31" s="98">
        <f>G18</f>
        <v>44.5633056</v>
      </c>
      <c r="I31" s="99">
        <f t="shared" si="14"/>
        <v>5.4366944000000004</v>
      </c>
      <c r="J31" s="99">
        <f t="shared" si="10"/>
        <v>5.4366944000000004</v>
      </c>
      <c r="K31" s="100">
        <f t="shared" si="11"/>
        <v>0.108733888</v>
      </c>
      <c r="L31" s="101">
        <f t="shared" si="12"/>
        <v>29.557645998991365</v>
      </c>
    </row>
    <row r="33" spans="1:12" ht="17.100000000000001" thickBot="1"/>
    <row r="34" spans="1:12">
      <c r="C34" s="14" t="s">
        <v>42</v>
      </c>
      <c r="D34" s="18">
        <f>+AVERAGE(D$22:D$31)</f>
        <v>-27.985795417590491</v>
      </c>
      <c r="E34" s="18"/>
      <c r="F34" s="18"/>
      <c r="G34" s="18"/>
      <c r="H34" s="108" t="s">
        <v>42</v>
      </c>
      <c r="I34" s="109">
        <f>+AVERAGE(I$22:I$31)</f>
        <v>-5.3533769600000003</v>
      </c>
      <c r="J34" s="109"/>
      <c r="K34" s="109"/>
      <c r="L34" s="110"/>
    </row>
    <row r="35" spans="1:12">
      <c r="C35" s="15" t="s">
        <v>43</v>
      </c>
      <c r="D35" s="19"/>
      <c r="E35" s="19">
        <f>+AVERAGE(E$22:E$31)</f>
        <v>27.985795417590491</v>
      </c>
      <c r="F35" s="19"/>
      <c r="G35" s="19"/>
      <c r="H35" s="111" t="s">
        <v>43</v>
      </c>
      <c r="I35" s="19"/>
      <c r="J35" s="19">
        <f>+AVERAGE(J$22:J$31)</f>
        <v>12.232715840000001</v>
      </c>
      <c r="K35" s="19"/>
      <c r="L35" s="112"/>
    </row>
    <row r="36" spans="1:12">
      <c r="C36" s="15" t="s">
        <v>44</v>
      </c>
      <c r="D36" s="19"/>
      <c r="E36" s="19"/>
      <c r="F36" s="53">
        <f>+AVERAGE(F$22:F$31)</f>
        <v>0.66067659822695468</v>
      </c>
      <c r="G36" s="19"/>
      <c r="H36" s="111" t="s">
        <v>44</v>
      </c>
      <c r="I36" s="19"/>
      <c r="J36" s="19"/>
      <c r="K36" s="27">
        <f>+AVERAGE(K$22:K$31)</f>
        <v>0.28912907260952381</v>
      </c>
      <c r="L36" s="112"/>
    </row>
    <row r="37" spans="1:12">
      <c r="C37" s="15" t="s">
        <v>45</v>
      </c>
      <c r="D37" s="19"/>
      <c r="E37" s="19"/>
      <c r="F37" s="19"/>
      <c r="G37" s="19">
        <f>+AVERAGE(G$22:G$31)</f>
        <v>1061.8639573663761</v>
      </c>
      <c r="H37" s="111" t="s">
        <v>45</v>
      </c>
      <c r="I37" s="19"/>
      <c r="J37" s="19"/>
      <c r="K37" s="19"/>
      <c r="L37" s="112">
        <f>+AVERAGE(L$22:L$31)</f>
        <v>191.05862734642074</v>
      </c>
    </row>
    <row r="38" spans="1:12" ht="17.100000000000001" thickBot="1">
      <c r="C38" s="16" t="s">
        <v>46</v>
      </c>
      <c r="D38" s="20"/>
      <c r="E38" s="20"/>
      <c r="F38" s="20"/>
      <c r="G38" s="20">
        <f>+SQRT(G37)</f>
        <v>32.586254116826254</v>
      </c>
      <c r="H38" s="113" t="s">
        <v>46</v>
      </c>
      <c r="I38" s="114"/>
      <c r="J38" s="114"/>
      <c r="K38" s="114"/>
      <c r="L38" s="115">
        <f>+SQRT(L37)</f>
        <v>13.822395861297734</v>
      </c>
    </row>
    <row r="41" spans="1:12" ht="17.100000000000001" thickBot="1"/>
    <row r="42" spans="1:12" ht="17.100000000000001" thickBot="1">
      <c r="D42" s="166" t="s">
        <v>81</v>
      </c>
      <c r="E42" s="167"/>
      <c r="F42" s="167"/>
      <c r="G42" s="167"/>
      <c r="H42" s="167"/>
      <c r="I42" s="168"/>
    </row>
    <row r="43" spans="1:12">
      <c r="A43" t="s">
        <v>69</v>
      </c>
      <c r="B43" t="s">
        <v>70</v>
      </c>
      <c r="C43" t="s">
        <v>71</v>
      </c>
      <c r="D43" s="103" t="s">
        <v>85</v>
      </c>
      <c r="E43" s="104" t="s">
        <v>86</v>
      </c>
      <c r="F43" s="104" t="s">
        <v>87</v>
      </c>
      <c r="G43" s="103" t="s">
        <v>85</v>
      </c>
      <c r="H43" s="104" t="s">
        <v>86</v>
      </c>
      <c r="I43" s="105" t="s">
        <v>88</v>
      </c>
    </row>
    <row r="44" spans="1:12">
      <c r="D44" s="106">
        <v>0.1</v>
      </c>
      <c r="E44" s="102">
        <v>0.2</v>
      </c>
      <c r="F44" s="102"/>
      <c r="G44" s="106">
        <v>0.5</v>
      </c>
      <c r="H44" s="102">
        <v>0.2</v>
      </c>
      <c r="I44" s="107"/>
    </row>
    <row r="45" spans="1:12">
      <c r="A45">
        <v>1</v>
      </c>
      <c r="B45">
        <v>50</v>
      </c>
      <c r="C45">
        <v>50</v>
      </c>
      <c r="D45" s="96"/>
      <c r="G45" s="96"/>
      <c r="I45" s="97"/>
    </row>
    <row r="46" spans="1:12">
      <c r="A46">
        <v>2</v>
      </c>
      <c r="B46">
        <v>70</v>
      </c>
      <c r="C46">
        <v>70</v>
      </c>
      <c r="D46" s="96"/>
      <c r="G46" s="96"/>
      <c r="I46" s="97"/>
    </row>
    <row r="47" spans="1:12">
      <c r="A47">
        <v>3</v>
      </c>
      <c r="B47">
        <v>90</v>
      </c>
      <c r="C47">
        <v>90</v>
      </c>
      <c r="D47" s="96"/>
      <c r="G47" s="96"/>
      <c r="I47" s="97"/>
    </row>
    <row r="48" spans="1:12">
      <c r="A48">
        <v>4</v>
      </c>
      <c r="B48">
        <v>30</v>
      </c>
      <c r="C48">
        <v>80</v>
      </c>
      <c r="D48" s="96"/>
      <c r="G48" s="96"/>
      <c r="I48" s="97"/>
    </row>
    <row r="49" spans="1:12">
      <c r="A49">
        <v>5</v>
      </c>
      <c r="B49">
        <v>30</v>
      </c>
      <c r="C49">
        <v>90</v>
      </c>
      <c r="D49" s="96"/>
      <c r="G49" s="96"/>
      <c r="I49" s="97"/>
    </row>
    <row r="50" spans="1:12">
      <c r="A50">
        <v>6</v>
      </c>
      <c r="B50">
        <v>40</v>
      </c>
      <c r="C50">
        <v>110</v>
      </c>
      <c r="D50" s="96">
        <v>50</v>
      </c>
      <c r="E50">
        <f>(C49-C45)*0.25</f>
        <v>10</v>
      </c>
      <c r="F50" s="97">
        <f>E50+D50</f>
        <v>60</v>
      </c>
      <c r="G50">
        <f>D50</f>
        <v>50</v>
      </c>
      <c r="H50">
        <f>E50</f>
        <v>10</v>
      </c>
      <c r="I50" s="97">
        <f>H50+G50</f>
        <v>60</v>
      </c>
    </row>
    <row r="51" spans="1:12">
      <c r="A51">
        <v>7</v>
      </c>
      <c r="B51">
        <v>30</v>
      </c>
      <c r="C51">
        <v>130</v>
      </c>
      <c r="D51" s="96">
        <f t="shared" ref="D50:D59" si="15">$D$3*C50+((1-$D$3)*(D50+E50))</f>
        <v>65</v>
      </c>
      <c r="E51">
        <f t="shared" ref="E50:E59" si="16">($E$3*(D51-D50))+((1-$E$3)*E50)</f>
        <v>11</v>
      </c>
      <c r="F51">
        <f t="shared" ref="F49:F59" si="17">E51+D51</f>
        <v>76</v>
      </c>
      <c r="G51" s="96">
        <f t="shared" ref="G50:G59" si="18">$G$3*C50+((1-$G$3)*(G50+H50))</f>
        <v>85</v>
      </c>
      <c r="H51">
        <f t="shared" ref="H50:H59" si="19">($H$3*(G51-G50))+((1-$H$3)*H50)</f>
        <v>15</v>
      </c>
      <c r="I51" s="97">
        <f t="shared" ref="I49:I59" si="20">H51+G51</f>
        <v>100</v>
      </c>
    </row>
    <row r="52" spans="1:12">
      <c r="A52">
        <v>8</v>
      </c>
      <c r="B52">
        <v>50</v>
      </c>
      <c r="C52">
        <v>120</v>
      </c>
      <c r="D52" s="96">
        <f t="shared" si="15"/>
        <v>81.400000000000006</v>
      </c>
      <c r="E52">
        <f t="shared" si="16"/>
        <v>12.080000000000002</v>
      </c>
      <c r="F52">
        <f t="shared" si="17"/>
        <v>93.48</v>
      </c>
      <c r="G52" s="96">
        <f t="shared" si="18"/>
        <v>115</v>
      </c>
      <c r="H52">
        <f t="shared" si="19"/>
        <v>18</v>
      </c>
      <c r="I52" s="97">
        <f t="shared" si="20"/>
        <v>133</v>
      </c>
    </row>
    <row r="53" spans="1:12">
      <c r="A53">
        <v>9</v>
      </c>
      <c r="B53">
        <v>60</v>
      </c>
      <c r="C53">
        <v>140</v>
      </c>
      <c r="D53" s="96">
        <f t="shared" si="15"/>
        <v>96.132000000000005</v>
      </c>
      <c r="E53">
        <f t="shared" si="16"/>
        <v>12.610400000000002</v>
      </c>
      <c r="F53">
        <f t="shared" si="17"/>
        <v>108.7424</v>
      </c>
      <c r="G53" s="96">
        <f t="shared" si="18"/>
        <v>126.5</v>
      </c>
      <c r="H53">
        <f t="shared" si="19"/>
        <v>16.7</v>
      </c>
      <c r="I53" s="97">
        <f t="shared" si="20"/>
        <v>143.19999999999999</v>
      </c>
    </row>
    <row r="54" spans="1:12">
      <c r="A54">
        <v>10</v>
      </c>
      <c r="B54">
        <v>70</v>
      </c>
      <c r="C54">
        <v>150</v>
      </c>
      <c r="D54" s="96">
        <f t="shared" si="15"/>
        <v>111.86816</v>
      </c>
      <c r="E54">
        <f t="shared" si="16"/>
        <v>13.235552000000002</v>
      </c>
      <c r="F54">
        <f t="shared" si="17"/>
        <v>125.103712</v>
      </c>
      <c r="G54" s="96">
        <f t="shared" si="18"/>
        <v>141.6</v>
      </c>
      <c r="H54">
        <f t="shared" si="19"/>
        <v>16.38</v>
      </c>
      <c r="I54" s="97">
        <f t="shared" si="20"/>
        <v>157.97999999999999</v>
      </c>
    </row>
    <row r="55" spans="1:12">
      <c r="A55">
        <v>11</v>
      </c>
      <c r="B55">
        <v>60</v>
      </c>
      <c r="C55">
        <v>170</v>
      </c>
      <c r="D55" s="96">
        <f t="shared" si="15"/>
        <v>127.59334080000001</v>
      </c>
      <c r="E55">
        <f t="shared" si="16"/>
        <v>13.733477760000003</v>
      </c>
      <c r="F55">
        <f t="shared" si="17"/>
        <v>141.32681856000002</v>
      </c>
      <c r="G55" s="96">
        <f t="shared" si="18"/>
        <v>153.99</v>
      </c>
      <c r="H55">
        <f t="shared" si="19"/>
        <v>15.582000000000003</v>
      </c>
      <c r="I55" s="97">
        <f t="shared" si="20"/>
        <v>169.572</v>
      </c>
    </row>
    <row r="56" spans="1:12">
      <c r="A56">
        <v>12</v>
      </c>
      <c r="B56">
        <v>40</v>
      </c>
      <c r="C56">
        <v>160</v>
      </c>
      <c r="D56" s="96">
        <f t="shared" si="15"/>
        <v>144.19413670400002</v>
      </c>
      <c r="E56">
        <f t="shared" si="16"/>
        <v>14.306941388800006</v>
      </c>
      <c r="F56">
        <f t="shared" si="17"/>
        <v>158.50107809280001</v>
      </c>
      <c r="G56" s="96">
        <f t="shared" si="18"/>
        <v>169.786</v>
      </c>
      <c r="H56">
        <f t="shared" si="19"/>
        <v>15.6248</v>
      </c>
      <c r="I56" s="97">
        <f t="shared" si="20"/>
        <v>185.41079999999999</v>
      </c>
    </row>
    <row r="57" spans="1:12">
      <c r="A57">
        <v>13</v>
      </c>
      <c r="B57">
        <v>40</v>
      </c>
      <c r="C57">
        <v>150</v>
      </c>
      <c r="D57" s="96">
        <f t="shared" si="15"/>
        <v>158.65097028352002</v>
      </c>
      <c r="E57">
        <f t="shared" si="16"/>
        <v>14.336919826944008</v>
      </c>
      <c r="F57">
        <f t="shared" si="17"/>
        <v>172.98789011046404</v>
      </c>
      <c r="G57" s="96">
        <f t="shared" si="18"/>
        <v>172.7054</v>
      </c>
      <c r="H57">
        <f t="shared" si="19"/>
        <v>13.08372</v>
      </c>
      <c r="I57" s="97">
        <f t="shared" si="20"/>
        <v>185.78912</v>
      </c>
    </row>
    <row r="58" spans="1:12">
      <c r="A58">
        <v>14</v>
      </c>
      <c r="B58">
        <v>40</v>
      </c>
      <c r="C58">
        <v>190</v>
      </c>
      <c r="D58" s="96">
        <f t="shared" si="15"/>
        <v>170.68910109941763</v>
      </c>
      <c r="E58">
        <f t="shared" si="16"/>
        <v>13.877162024734728</v>
      </c>
      <c r="F58">
        <f t="shared" si="17"/>
        <v>184.56626312415236</v>
      </c>
      <c r="G58" s="96">
        <f t="shared" si="18"/>
        <v>167.89456000000001</v>
      </c>
      <c r="H58">
        <f t="shared" si="19"/>
        <v>9.5048080000000041</v>
      </c>
      <c r="I58" s="97">
        <f t="shared" si="20"/>
        <v>177.39936800000001</v>
      </c>
    </row>
    <row r="59" spans="1:12" ht="17.100000000000001" thickBot="1">
      <c r="A59">
        <v>15</v>
      </c>
      <c r="B59">
        <v>50</v>
      </c>
      <c r="C59">
        <v>220</v>
      </c>
      <c r="D59" s="98">
        <f t="shared" si="15"/>
        <v>185.10963681173712</v>
      </c>
      <c r="E59" s="99">
        <f t="shared" si="16"/>
        <v>13.985836762251681</v>
      </c>
      <c r="F59" s="99">
        <f t="shared" si="17"/>
        <v>199.09547357398881</v>
      </c>
      <c r="G59" s="98">
        <f t="shared" si="18"/>
        <v>183.69968399999999</v>
      </c>
      <c r="H59" s="99">
        <f t="shared" si="19"/>
        <v>10.7648712</v>
      </c>
      <c r="I59" s="101">
        <f t="shared" si="20"/>
        <v>194.46455519999998</v>
      </c>
    </row>
    <row r="61" spans="1:12" ht="17.100000000000001" thickBot="1"/>
    <row r="62" spans="1:12" ht="17.100000000000001" thickBot="1">
      <c r="A62" s="87" t="s">
        <v>69</v>
      </c>
      <c r="B62" s="88" t="s">
        <v>71</v>
      </c>
      <c r="C62" s="87" t="s">
        <v>79</v>
      </c>
      <c r="D62" s="89" t="s">
        <v>38</v>
      </c>
      <c r="E62" s="89" t="s">
        <v>39</v>
      </c>
      <c r="F62" s="89" t="s">
        <v>40</v>
      </c>
      <c r="G62" s="89" t="s">
        <v>41</v>
      </c>
      <c r="H62" s="132" t="s">
        <v>80</v>
      </c>
      <c r="I62" s="133" t="s">
        <v>38</v>
      </c>
      <c r="J62" s="133" t="s">
        <v>39</v>
      </c>
      <c r="K62" s="133" t="s">
        <v>40</v>
      </c>
      <c r="L62" s="134" t="s">
        <v>41</v>
      </c>
    </row>
    <row r="63" spans="1:12">
      <c r="A63" s="33">
        <v>6</v>
      </c>
      <c r="B63" s="34">
        <f t="shared" ref="B63:B72" si="21">+C50</f>
        <v>110</v>
      </c>
      <c r="C63" s="28">
        <f>+F50</f>
        <v>60</v>
      </c>
      <c r="D63">
        <f>+$B63-C63</f>
        <v>50</v>
      </c>
      <c r="E63">
        <f t="shared" ref="E63:E72" si="22">+ABS(D63)</f>
        <v>50</v>
      </c>
      <c r="F63" s="90">
        <f t="shared" ref="F63:F72" si="23">+E63/$B63</f>
        <v>0.45454545454545453</v>
      </c>
      <c r="G63">
        <f t="shared" ref="G63:G72" si="24">+E63^2</f>
        <v>2500</v>
      </c>
      <c r="H63" s="96">
        <f>+I50</f>
        <v>60</v>
      </c>
      <c r="I63">
        <f>+$B63-H63</f>
        <v>50</v>
      </c>
      <c r="J63">
        <f t="shared" ref="J63:J72" si="25">+ABS(I63)</f>
        <v>50</v>
      </c>
      <c r="K63" s="41">
        <f t="shared" ref="K63:K72" si="26">+J63/$B63</f>
        <v>0.45454545454545453</v>
      </c>
      <c r="L63" s="97">
        <f t="shared" ref="L63:L72" si="27">+J63^2</f>
        <v>2500</v>
      </c>
    </row>
    <row r="64" spans="1:12">
      <c r="A64" s="28">
        <v>7</v>
      </c>
      <c r="B64" s="29">
        <f t="shared" si="21"/>
        <v>130</v>
      </c>
      <c r="C64" s="28">
        <f t="shared" ref="C63:C72" si="28">+F51</f>
        <v>76</v>
      </c>
      <c r="D64">
        <f t="shared" ref="D63:D72" si="29">+$B64-C64</f>
        <v>54</v>
      </c>
      <c r="E64">
        <f t="shared" si="22"/>
        <v>54</v>
      </c>
      <c r="F64" s="90">
        <f t="shared" si="23"/>
        <v>0.41538461538461541</v>
      </c>
      <c r="G64">
        <f t="shared" si="24"/>
        <v>2916</v>
      </c>
      <c r="H64" s="96">
        <f>+I51</f>
        <v>100</v>
      </c>
      <c r="I64">
        <f>+$B64-H64</f>
        <v>30</v>
      </c>
      <c r="J64">
        <f t="shared" si="25"/>
        <v>30</v>
      </c>
      <c r="K64" s="41">
        <f t="shared" si="26"/>
        <v>0.23076923076923078</v>
      </c>
      <c r="L64" s="97">
        <f t="shared" si="27"/>
        <v>900</v>
      </c>
    </row>
    <row r="65" spans="1:12">
      <c r="A65" s="28">
        <v>8</v>
      </c>
      <c r="B65" s="29">
        <f t="shared" si="21"/>
        <v>120</v>
      </c>
      <c r="C65" s="28">
        <f t="shared" si="28"/>
        <v>93.48</v>
      </c>
      <c r="D65">
        <f t="shared" si="29"/>
        <v>26.519999999999996</v>
      </c>
      <c r="E65">
        <f t="shared" si="22"/>
        <v>26.519999999999996</v>
      </c>
      <c r="F65" s="90">
        <f t="shared" si="23"/>
        <v>0.22099999999999997</v>
      </c>
      <c r="G65">
        <f t="shared" si="24"/>
        <v>703.31039999999985</v>
      </c>
      <c r="H65" s="96">
        <f>+I52</f>
        <v>133</v>
      </c>
      <c r="I65">
        <f>+$B65-H65</f>
        <v>-13</v>
      </c>
      <c r="J65">
        <f t="shared" si="25"/>
        <v>13</v>
      </c>
      <c r="K65" s="41">
        <f t="shared" si="26"/>
        <v>0.10833333333333334</v>
      </c>
      <c r="L65" s="97">
        <f t="shared" si="27"/>
        <v>169</v>
      </c>
    </row>
    <row r="66" spans="1:12">
      <c r="A66" s="28">
        <v>9</v>
      </c>
      <c r="B66" s="29">
        <f t="shared" si="21"/>
        <v>140</v>
      </c>
      <c r="C66" s="28">
        <f t="shared" si="28"/>
        <v>108.7424</v>
      </c>
      <c r="D66">
        <f t="shared" si="29"/>
        <v>31.257599999999996</v>
      </c>
      <c r="E66">
        <f t="shared" si="22"/>
        <v>31.257599999999996</v>
      </c>
      <c r="F66" s="90">
        <f t="shared" si="23"/>
        <v>0.2232685714285714</v>
      </c>
      <c r="G66">
        <f t="shared" si="24"/>
        <v>977.0375577599998</v>
      </c>
      <c r="H66" s="96">
        <f>+I53</f>
        <v>143.19999999999999</v>
      </c>
      <c r="I66">
        <f>+$B66-H66</f>
        <v>-3.1999999999999886</v>
      </c>
      <c r="J66">
        <f t="shared" si="25"/>
        <v>3.1999999999999886</v>
      </c>
      <c r="K66" s="41">
        <f t="shared" si="26"/>
        <v>2.2857142857142777E-2</v>
      </c>
      <c r="L66" s="97">
        <f t="shared" si="27"/>
        <v>10.239999999999927</v>
      </c>
    </row>
    <row r="67" spans="1:12">
      <c r="A67" s="28">
        <v>10</v>
      </c>
      <c r="B67" s="29">
        <f t="shared" si="21"/>
        <v>150</v>
      </c>
      <c r="C67" s="28">
        <f t="shared" si="28"/>
        <v>125.103712</v>
      </c>
      <c r="D67">
        <f t="shared" si="29"/>
        <v>24.896287999999998</v>
      </c>
      <c r="E67">
        <f t="shared" si="22"/>
        <v>24.896287999999998</v>
      </c>
      <c r="F67" s="90">
        <f t="shared" si="23"/>
        <v>0.16597525333333332</v>
      </c>
      <c r="G67">
        <f t="shared" si="24"/>
        <v>619.82515617894387</v>
      </c>
      <c r="H67" s="96">
        <f>+I54</f>
        <v>157.97999999999999</v>
      </c>
      <c r="I67">
        <f>+$B67-H67</f>
        <v>-7.9799999999999898</v>
      </c>
      <c r="J67">
        <f t="shared" si="25"/>
        <v>7.9799999999999898</v>
      </c>
      <c r="K67" s="41">
        <f t="shared" si="26"/>
        <v>5.3199999999999935E-2</v>
      </c>
      <c r="L67" s="97">
        <f t="shared" si="27"/>
        <v>63.680399999999835</v>
      </c>
    </row>
    <row r="68" spans="1:12">
      <c r="A68" s="28">
        <v>11</v>
      </c>
      <c r="B68" s="29">
        <f t="shared" si="21"/>
        <v>170</v>
      </c>
      <c r="C68" s="28">
        <f t="shared" si="28"/>
        <v>141.32681856000002</v>
      </c>
      <c r="D68">
        <f t="shared" si="29"/>
        <v>28.673181439999979</v>
      </c>
      <c r="E68">
        <f t="shared" si="22"/>
        <v>28.673181439999979</v>
      </c>
      <c r="F68" s="90">
        <f t="shared" si="23"/>
        <v>0.16866577317647047</v>
      </c>
      <c r="G68">
        <f t="shared" si="24"/>
        <v>822.15133389115931</v>
      </c>
      <c r="H68" s="96">
        <f>+I55</f>
        <v>169.572</v>
      </c>
      <c r="I68">
        <f t="shared" ref="I63:I72" si="30">+$B68-H68</f>
        <v>0.42799999999999727</v>
      </c>
      <c r="J68">
        <f t="shared" si="25"/>
        <v>0.42799999999999727</v>
      </c>
      <c r="K68" s="41">
        <f t="shared" si="26"/>
        <v>2.5176470588235134E-3</v>
      </c>
      <c r="L68" s="97">
        <f t="shared" si="27"/>
        <v>0.18318399999999765</v>
      </c>
    </row>
    <row r="69" spans="1:12">
      <c r="A69" s="28">
        <v>12</v>
      </c>
      <c r="B69" s="29">
        <f t="shared" si="21"/>
        <v>160</v>
      </c>
      <c r="C69" s="28">
        <f t="shared" si="28"/>
        <v>158.50107809280001</v>
      </c>
      <c r="D69">
        <f t="shared" si="29"/>
        <v>1.4989219071999855</v>
      </c>
      <c r="E69">
        <f t="shared" si="22"/>
        <v>1.4989219071999855</v>
      </c>
      <c r="F69" s="90">
        <f t="shared" si="23"/>
        <v>9.3682619199999088E-3</v>
      </c>
      <c r="G69">
        <f t="shared" si="24"/>
        <v>2.246766883884042</v>
      </c>
      <c r="H69" s="96">
        <f>+I56</f>
        <v>185.41079999999999</v>
      </c>
      <c r="I69">
        <f t="shared" si="30"/>
        <v>-25.410799999999995</v>
      </c>
      <c r="J69">
        <f t="shared" si="25"/>
        <v>25.410799999999995</v>
      </c>
      <c r="K69" s="41">
        <f t="shared" si="26"/>
        <v>0.15881749999999997</v>
      </c>
      <c r="L69" s="97">
        <f t="shared" si="27"/>
        <v>645.70875663999971</v>
      </c>
    </row>
    <row r="70" spans="1:12">
      <c r="A70" s="28">
        <v>13</v>
      </c>
      <c r="B70" s="29">
        <f t="shared" si="21"/>
        <v>150</v>
      </c>
      <c r="C70" s="28">
        <f t="shared" si="28"/>
        <v>172.98789011046404</v>
      </c>
      <c r="D70">
        <f t="shared" si="29"/>
        <v>-22.987890110464036</v>
      </c>
      <c r="E70">
        <f t="shared" si="22"/>
        <v>22.987890110464036</v>
      </c>
      <c r="F70" s="90">
        <f t="shared" si="23"/>
        <v>0.15325260073642691</v>
      </c>
      <c r="G70">
        <f t="shared" si="24"/>
        <v>528.44309173077022</v>
      </c>
      <c r="H70" s="96">
        <f>+I57</f>
        <v>185.78912</v>
      </c>
      <c r="I70">
        <f t="shared" si="30"/>
        <v>-35.789119999999997</v>
      </c>
      <c r="J70">
        <f t="shared" si="25"/>
        <v>35.789119999999997</v>
      </c>
      <c r="K70" s="41">
        <f t="shared" si="26"/>
        <v>0.23859413333333332</v>
      </c>
      <c r="L70" s="97">
        <f t="shared" si="27"/>
        <v>1280.8611103743997</v>
      </c>
    </row>
    <row r="71" spans="1:12">
      <c r="A71" s="28">
        <v>14</v>
      </c>
      <c r="B71" s="29">
        <f t="shared" si="21"/>
        <v>190</v>
      </c>
      <c r="C71" s="28">
        <f t="shared" si="28"/>
        <v>184.56626312415236</v>
      </c>
      <c r="D71">
        <f t="shared" si="29"/>
        <v>5.433736875847643</v>
      </c>
      <c r="E71">
        <f t="shared" si="22"/>
        <v>5.433736875847643</v>
      </c>
      <c r="F71" s="90">
        <f t="shared" si="23"/>
        <v>2.8598615136040225E-2</v>
      </c>
      <c r="G71">
        <f t="shared" si="24"/>
        <v>29.525496435946504</v>
      </c>
      <c r="H71" s="96">
        <f>+I58</f>
        <v>177.39936800000001</v>
      </c>
      <c r="I71">
        <f t="shared" si="30"/>
        <v>12.60063199999999</v>
      </c>
      <c r="J71">
        <f t="shared" si="25"/>
        <v>12.60063199999999</v>
      </c>
      <c r="K71" s="41">
        <f t="shared" si="26"/>
        <v>6.6319115789473637E-2</v>
      </c>
      <c r="L71" s="97">
        <f t="shared" si="27"/>
        <v>158.77592679942376</v>
      </c>
    </row>
    <row r="72" spans="1:12" ht="17.100000000000001" thickBot="1">
      <c r="A72" s="30">
        <v>15</v>
      </c>
      <c r="B72" s="32">
        <f t="shared" si="21"/>
        <v>220</v>
      </c>
      <c r="C72" s="30">
        <f t="shared" si="28"/>
        <v>199.09547357398881</v>
      </c>
      <c r="D72" s="31">
        <f t="shared" si="29"/>
        <v>20.904526426011188</v>
      </c>
      <c r="E72" s="31">
        <f t="shared" si="22"/>
        <v>20.904526426011188</v>
      </c>
      <c r="F72" s="42">
        <f t="shared" si="23"/>
        <v>9.5020574663687213E-2</v>
      </c>
      <c r="G72" s="31">
        <f t="shared" si="24"/>
        <v>436.99922509580011</v>
      </c>
      <c r="H72" s="98">
        <f>+I59</f>
        <v>194.46455519999998</v>
      </c>
      <c r="I72" s="99">
        <f t="shared" si="30"/>
        <v>25.535444800000022</v>
      </c>
      <c r="J72" s="99">
        <f t="shared" si="25"/>
        <v>25.535444800000022</v>
      </c>
      <c r="K72" s="100">
        <f t="shared" si="26"/>
        <v>0.11607020363636374</v>
      </c>
      <c r="L72" s="101">
        <f t="shared" si="27"/>
        <v>652.05894113384818</v>
      </c>
    </row>
    <row r="73" spans="1:12">
      <c r="A73">
        <v>20</v>
      </c>
      <c r="H73">
        <f>G59+(5+1)*H59</f>
        <v>248.28891119999997</v>
      </c>
    </row>
    <row r="74" spans="1:12" ht="17.100000000000001" thickBot="1"/>
    <row r="75" spans="1:12">
      <c r="C75" s="14" t="s">
        <v>42</v>
      </c>
      <c r="D75" s="18">
        <f>+AVERAGE(D$63:D$72)</f>
        <v>22.019636453859473</v>
      </c>
      <c r="E75" s="18"/>
      <c r="F75" s="18"/>
      <c r="G75" s="21"/>
      <c r="H75" s="14" t="s">
        <v>42</v>
      </c>
      <c r="I75" s="18">
        <f>+AVERAGE(I$63:I$72)</f>
        <v>3.3184156800000038</v>
      </c>
      <c r="J75" s="18"/>
      <c r="K75" s="18"/>
      <c r="L75" s="21"/>
    </row>
    <row r="76" spans="1:12">
      <c r="C76" s="15" t="s">
        <v>43</v>
      </c>
      <c r="D76" s="19"/>
      <c r="E76" s="19">
        <f>+AVERAGE(E$63:E$72)</f>
        <v>26.617214475952277</v>
      </c>
      <c r="F76" s="19"/>
      <c r="G76" s="22"/>
      <c r="H76" s="15" t="s">
        <v>43</v>
      </c>
      <c r="I76" s="19"/>
      <c r="J76" s="19">
        <f>+AVERAGE(J$63:J$72)</f>
        <v>20.394399679999999</v>
      </c>
      <c r="K76" s="19"/>
      <c r="L76" s="22"/>
    </row>
    <row r="77" spans="1:12">
      <c r="C77" s="15" t="s">
        <v>44</v>
      </c>
      <c r="D77" s="19"/>
      <c r="E77" s="19"/>
      <c r="F77" s="53">
        <f>+AVERAGE(F$63:F$72)</f>
        <v>0.19350797203245995</v>
      </c>
      <c r="G77" s="22"/>
      <c r="H77" s="15" t="s">
        <v>44</v>
      </c>
      <c r="I77" s="19"/>
      <c r="J77" s="19"/>
      <c r="K77" s="54">
        <f>+AVERAGE(K$63:K$72)</f>
        <v>0.14520237613231551</v>
      </c>
      <c r="L77" s="22"/>
    </row>
    <row r="78" spans="1:12">
      <c r="C78" s="15" t="s">
        <v>45</v>
      </c>
      <c r="D78" s="19"/>
      <c r="E78" s="19"/>
      <c r="F78" s="19"/>
      <c r="G78" s="22">
        <f>+AVERAGE(G$63:G$72)</f>
        <v>953.55390279765049</v>
      </c>
      <c r="H78" s="15" t="s">
        <v>45</v>
      </c>
      <c r="I78" s="19"/>
      <c r="J78" s="19"/>
      <c r="K78" s="19"/>
      <c r="L78" s="22">
        <f>+AVERAGE(L$63:L$72)</f>
        <v>638.05083189476704</v>
      </c>
    </row>
    <row r="79" spans="1:12" ht="17.100000000000001" thickBot="1">
      <c r="C79" s="16" t="s">
        <v>46</v>
      </c>
      <c r="D79" s="20"/>
      <c r="E79" s="20"/>
      <c r="F79" s="20"/>
      <c r="G79" s="23">
        <f>+SQRT(G78)</f>
        <v>30.879668113463435</v>
      </c>
      <c r="H79" s="16" t="s">
        <v>46</v>
      </c>
      <c r="I79" s="20"/>
      <c r="J79" s="20"/>
      <c r="K79" s="20"/>
      <c r="L79" s="23">
        <f>+SQRT(L78)</f>
        <v>25.259668087581179</v>
      </c>
    </row>
  </sheetData>
  <mergeCells count="2">
    <mergeCell ref="D1:I1"/>
    <mergeCell ref="D42:I4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70C8-153E-0D4A-97F3-4ABEAEE655E7}">
  <dimension ref="A1:T68"/>
  <sheetViews>
    <sheetView tabSelected="1" topLeftCell="A54" zoomScale="75" zoomScaleNormal="165" workbookViewId="0">
      <selection activeCell="I56" sqref="I56:I67"/>
    </sheetView>
  </sheetViews>
  <sheetFormatPr defaultColWidth="11" defaultRowHeight="15.95"/>
  <cols>
    <col min="5" max="5" width="21.875" customWidth="1"/>
    <col min="6" max="6" width="17" customWidth="1"/>
    <col min="7" max="7" width="15" customWidth="1"/>
    <col min="8" max="8" width="15.625" customWidth="1"/>
  </cols>
  <sheetData>
    <row r="1" spans="1:8" ht="15.75">
      <c r="A1" s="92" t="s">
        <v>18</v>
      </c>
      <c r="B1" s="93" t="s">
        <v>89</v>
      </c>
      <c r="C1" s="93" t="s">
        <v>90</v>
      </c>
      <c r="D1" s="93" t="s">
        <v>91</v>
      </c>
      <c r="E1" s="103" t="s">
        <v>85</v>
      </c>
      <c r="F1" s="104" t="s">
        <v>86</v>
      </c>
      <c r="G1" s="104" t="s">
        <v>92</v>
      </c>
      <c r="H1" s="144" t="s">
        <v>93</v>
      </c>
    </row>
    <row r="2" spans="1:8" ht="15.75">
      <c r="A2" s="96"/>
      <c r="E2" s="147">
        <v>0.3</v>
      </c>
      <c r="F2" s="145">
        <v>0.1</v>
      </c>
      <c r="G2" s="145">
        <v>0.2</v>
      </c>
      <c r="H2" s="146"/>
    </row>
    <row r="3" spans="1:8" ht="15.75">
      <c r="A3" s="96" t="s">
        <v>94</v>
      </c>
      <c r="B3">
        <v>401</v>
      </c>
      <c r="C3">
        <v>263</v>
      </c>
      <c r="D3">
        <v>393</v>
      </c>
      <c r="E3" s="96">
        <f>AVERAGE(B3:B14)</f>
        <v>570.91666666666663</v>
      </c>
      <c r="F3">
        <v>0</v>
      </c>
      <c r="G3">
        <f>AVERAGE(B3:B14)</f>
        <v>570.91666666666663</v>
      </c>
      <c r="H3" s="97">
        <f t="shared" ref="H3:H14" si="0">F3+E3</f>
        <v>570.91666666666663</v>
      </c>
    </row>
    <row r="4" spans="1:8" ht="15.75">
      <c r="A4" s="96" t="s">
        <v>95</v>
      </c>
      <c r="B4">
        <v>395</v>
      </c>
      <c r="C4">
        <v>289</v>
      </c>
      <c r="D4">
        <v>316</v>
      </c>
      <c r="E4" s="96">
        <f>$E$2*(D3/G3)+((1-$E$2)*(E3+F3))</f>
        <v>399.84817666520695</v>
      </c>
      <c r="F4">
        <f t="shared" ref="F4:F14" si="1">($F$2*(E4-E3))+((1-$F$2)*F3)</f>
        <v>-17.106849000145967</v>
      </c>
      <c r="G4">
        <f t="shared" ref="G4:G14" si="2">($G$2*(D4/E4))+((1-$G$2)*G3)</f>
        <v>456.89139332632141</v>
      </c>
      <c r="H4" s="97">
        <f t="shared" si="0"/>
        <v>382.74132766506096</v>
      </c>
    </row>
    <row r="5" spans="1:8" ht="15.75">
      <c r="A5" s="96" t="s">
        <v>96</v>
      </c>
      <c r="B5">
        <v>451</v>
      </c>
      <c r="C5">
        <v>337</v>
      </c>
      <c r="D5">
        <v>428</v>
      </c>
      <c r="E5" s="96">
        <f>$E$2*(D4/G4)+((1-$E$2)*(E4+F4))</f>
        <v>268.12641850056406</v>
      </c>
      <c r="F5">
        <f t="shared" si="1"/>
        <v>-28.568339916595662</v>
      </c>
      <c r="G5">
        <f t="shared" si="2"/>
        <v>365.83236705132401</v>
      </c>
      <c r="H5" s="97">
        <f t="shared" si="0"/>
        <v>239.55807858396838</v>
      </c>
    </row>
    <row r="6" spans="1:8" ht="15.75">
      <c r="A6" s="96" t="s">
        <v>97</v>
      </c>
      <c r="B6">
        <v>427</v>
      </c>
      <c r="C6">
        <v>374</v>
      </c>
      <c r="D6">
        <v>467</v>
      </c>
      <c r="E6" s="96">
        <f t="shared" ref="E6:E14" si="3">$E$2*D5+((1-$E$2)*(E5+F5))</f>
        <v>296.09065500877784</v>
      </c>
      <c r="F6">
        <f t="shared" si="1"/>
        <v>-22.915082274114717</v>
      </c>
      <c r="G6">
        <f t="shared" si="2"/>
        <v>292.98133757155824</v>
      </c>
      <c r="H6" s="97">
        <f t="shared" si="0"/>
        <v>273.17557273466315</v>
      </c>
    </row>
    <row r="7" spans="1:8" ht="15.75">
      <c r="A7" s="96" t="s">
        <v>98</v>
      </c>
      <c r="B7">
        <v>496</v>
      </c>
      <c r="C7">
        <v>292</v>
      </c>
      <c r="D7">
        <v>501</v>
      </c>
      <c r="E7" s="96">
        <f t="shared" si="3"/>
        <v>331.32290091426421</v>
      </c>
      <c r="F7">
        <f t="shared" si="1"/>
        <v>-17.100349456154611</v>
      </c>
      <c r="G7">
        <f t="shared" si="2"/>
        <v>234.68749406634316</v>
      </c>
      <c r="H7" s="97">
        <f t="shared" si="0"/>
        <v>314.22255145810959</v>
      </c>
    </row>
    <row r="8" spans="1:8" ht="15.75">
      <c r="A8" s="96" t="s">
        <v>25</v>
      </c>
      <c r="B8">
        <v>467</v>
      </c>
      <c r="C8">
        <v>398</v>
      </c>
      <c r="D8">
        <v>487</v>
      </c>
      <c r="E8" s="96">
        <f t="shared" si="3"/>
        <v>370.25578602067668</v>
      </c>
      <c r="F8">
        <f t="shared" si="1"/>
        <v>-11.497025999897904</v>
      </c>
      <c r="G8">
        <f t="shared" si="2"/>
        <v>188.01305663841251</v>
      </c>
      <c r="H8" s="97">
        <f t="shared" si="0"/>
        <v>358.75876002077877</v>
      </c>
    </row>
    <row r="9" spans="1:8" ht="15.75">
      <c r="A9" s="96" t="s">
        <v>26</v>
      </c>
      <c r="B9">
        <v>352</v>
      </c>
      <c r="C9">
        <v>421</v>
      </c>
      <c r="D9">
        <v>463</v>
      </c>
      <c r="E9" s="96">
        <f t="shared" si="3"/>
        <v>397.2311320145451</v>
      </c>
      <c r="F9">
        <f t="shared" si="1"/>
        <v>-7.6497888005212715</v>
      </c>
      <c r="G9">
        <f t="shared" si="2"/>
        <v>150.64355896305224</v>
      </c>
      <c r="H9" s="97">
        <f t="shared" si="0"/>
        <v>389.58134321402383</v>
      </c>
    </row>
    <row r="10" spans="1:8" ht="15.75">
      <c r="A10" s="96" t="s">
        <v>27</v>
      </c>
      <c r="B10">
        <v>182</v>
      </c>
      <c r="C10">
        <v>173</v>
      </c>
      <c r="D10">
        <v>165</v>
      </c>
      <c r="E10" s="96">
        <f t="shared" si="3"/>
        <v>411.60694024981672</v>
      </c>
      <c r="F10">
        <f t="shared" si="1"/>
        <v>-5.4472290969419817</v>
      </c>
      <c r="G10">
        <f t="shared" si="2"/>
        <v>120.59502074569777</v>
      </c>
      <c r="H10" s="97">
        <f t="shared" si="0"/>
        <v>406.15971115287471</v>
      </c>
    </row>
    <row r="11" spans="1:8" ht="15.75">
      <c r="A11" s="96" t="s">
        <v>28</v>
      </c>
      <c r="B11">
        <v>522</v>
      </c>
      <c r="C11">
        <v>522</v>
      </c>
      <c r="D11">
        <v>595</v>
      </c>
      <c r="E11" s="96">
        <f t="shared" si="3"/>
        <v>333.81179780701228</v>
      </c>
      <c r="F11">
        <f t="shared" si="1"/>
        <v>-12.682020431528226</v>
      </c>
      <c r="G11">
        <f t="shared" si="2"/>
        <v>96.832504895599101</v>
      </c>
      <c r="H11" s="97">
        <f t="shared" si="0"/>
        <v>321.12977737548408</v>
      </c>
    </row>
    <row r="12" spans="1:8" ht="15.75">
      <c r="A12" s="96" t="s">
        <v>29</v>
      </c>
      <c r="B12">
        <v>687</v>
      </c>
      <c r="C12">
        <v>642</v>
      </c>
      <c r="D12">
        <v>698</v>
      </c>
      <c r="E12" s="96">
        <f t="shared" si="3"/>
        <v>403.29084416283888</v>
      </c>
      <c r="F12">
        <f t="shared" si="1"/>
        <v>-4.4659137527927442</v>
      </c>
      <c r="G12">
        <f t="shared" si="2"/>
        <v>77.81215608437634</v>
      </c>
      <c r="H12" s="97">
        <f t="shared" si="0"/>
        <v>398.82493041004614</v>
      </c>
    </row>
    <row r="13" spans="1:8" ht="15.75">
      <c r="A13" s="96" t="s">
        <v>30</v>
      </c>
      <c r="B13">
        <v>1080</v>
      </c>
      <c r="C13">
        <v>984</v>
      </c>
      <c r="D13">
        <v>1012</v>
      </c>
      <c r="E13" s="96">
        <f t="shared" si="3"/>
        <v>488.57745128703232</v>
      </c>
      <c r="F13">
        <f t="shared" si="1"/>
        <v>4.5093383349058733</v>
      </c>
      <c r="G13">
        <f t="shared" si="2"/>
        <v>62.663988766636876</v>
      </c>
      <c r="H13" s="97">
        <f t="shared" si="0"/>
        <v>493.08678962193818</v>
      </c>
    </row>
    <row r="14" spans="1:8" ht="15.75">
      <c r="A14" s="98" t="s">
        <v>31</v>
      </c>
      <c r="B14" s="99">
        <v>1391</v>
      </c>
      <c r="C14" s="99">
        <v>1307</v>
      </c>
      <c r="D14" s="99">
        <v>1380</v>
      </c>
      <c r="E14" s="98">
        <f t="shared" si="3"/>
        <v>648.76075273535662</v>
      </c>
      <c r="F14" s="99">
        <f t="shared" si="1"/>
        <v>20.076734646247715</v>
      </c>
      <c r="G14" s="99">
        <f t="shared" si="2"/>
        <v>50.556617488071282</v>
      </c>
      <c r="H14" s="101">
        <f t="shared" si="0"/>
        <v>668.83748738160432</v>
      </c>
    </row>
    <row r="15" spans="1:8" ht="15.75"/>
    <row r="18" spans="1:20" ht="15.75"/>
    <row r="19" spans="1:20" ht="15.75">
      <c r="A19" s="92" t="s">
        <v>18</v>
      </c>
      <c r="B19" s="93" t="s">
        <v>99</v>
      </c>
      <c r="C19" s="93" t="s">
        <v>100</v>
      </c>
      <c r="D19" s="93" t="s">
        <v>101</v>
      </c>
      <c r="E19" s="93" t="s">
        <v>102</v>
      </c>
      <c r="F19" s="93" t="s">
        <v>103</v>
      </c>
      <c r="G19" s="93"/>
      <c r="H19" s="95"/>
    </row>
    <row r="20" spans="1:20" ht="15.75">
      <c r="A20" s="96">
        <v>1</v>
      </c>
      <c r="B20">
        <v>401</v>
      </c>
      <c r="E20">
        <f>+B20/AVERAGE($B$20:$B$31)</f>
        <v>0.70237921471318066</v>
      </c>
      <c r="H20" s="97"/>
    </row>
    <row r="21" spans="1:20" ht="15.75">
      <c r="A21" s="96">
        <v>2</v>
      </c>
      <c r="B21">
        <v>395</v>
      </c>
      <c r="E21">
        <f>+B21/AVERAGE($B$20:$B$31)</f>
        <v>0.69186980002919285</v>
      </c>
      <c r="H21" s="97"/>
    </row>
    <row r="22" spans="1:20" ht="15.75">
      <c r="A22" s="96">
        <v>3</v>
      </c>
      <c r="B22">
        <v>451</v>
      </c>
      <c r="E22">
        <f>+B22/AVERAGE($B$20:$B$31)</f>
        <v>0.78995767041307841</v>
      </c>
      <c r="H22" s="97"/>
      <c r="T22" t="s">
        <v>103</v>
      </c>
    </row>
    <row r="23" spans="1:20" ht="15.75">
      <c r="A23" s="96">
        <v>4</v>
      </c>
      <c r="B23">
        <v>427</v>
      </c>
      <c r="E23">
        <f>+B23/AVERAGE($B$20:$B$31)</f>
        <v>0.74792001167712752</v>
      </c>
      <c r="H23" s="97"/>
    </row>
    <row r="24" spans="1:20" ht="15.75">
      <c r="A24" s="96">
        <v>5</v>
      </c>
      <c r="B24">
        <v>496</v>
      </c>
      <c r="E24">
        <f>+B24/AVERAGE($B$20:$B$31)</f>
        <v>0.86877828054298645</v>
      </c>
      <c r="H24" s="97"/>
    </row>
    <row r="25" spans="1:20" ht="15.75">
      <c r="A25" s="96">
        <v>6</v>
      </c>
      <c r="B25">
        <v>467</v>
      </c>
      <c r="E25">
        <f>+B25/AVERAGE($B$20:$B$31)</f>
        <v>0.81798277623704574</v>
      </c>
      <c r="H25" s="97"/>
    </row>
    <row r="26" spans="1:20" ht="15.75">
      <c r="A26" s="96">
        <v>7</v>
      </c>
      <c r="B26">
        <v>352</v>
      </c>
      <c r="E26">
        <f>+B26/AVERAGE($B$20:$B$31)</f>
        <v>0.61655232812728078</v>
      </c>
      <c r="H26" s="97"/>
    </row>
    <row r="27" spans="1:20" ht="15.75">
      <c r="A27" s="96">
        <v>8</v>
      </c>
      <c r="B27">
        <v>182</v>
      </c>
      <c r="E27">
        <f>+B27/AVERAGE($B$20:$B$31)</f>
        <v>0.31878557874762808</v>
      </c>
      <c r="H27" s="97"/>
    </row>
    <row r="28" spans="1:20" ht="15.75">
      <c r="A28" s="96">
        <v>9</v>
      </c>
      <c r="B28">
        <v>522</v>
      </c>
      <c r="E28">
        <f>+B28/AVERAGE($B$20:$B$31)</f>
        <v>0.91431907750693331</v>
      </c>
      <c r="H28" s="97"/>
    </row>
    <row r="29" spans="1:20" ht="15.75">
      <c r="A29" s="96">
        <v>10</v>
      </c>
      <c r="B29">
        <v>687</v>
      </c>
      <c r="E29">
        <f>+B29/AVERAGE($B$20:$B$31)</f>
        <v>1.2033279813165962</v>
      </c>
      <c r="H29" s="97"/>
    </row>
    <row r="30" spans="1:20" ht="15.75">
      <c r="A30" s="96">
        <v>11</v>
      </c>
      <c r="B30">
        <v>1080</v>
      </c>
      <c r="E30">
        <f>+B30/AVERAGE($B$20:$B$31)</f>
        <v>1.8916946431177932</v>
      </c>
      <c r="H30" s="97"/>
    </row>
    <row r="31" spans="1:20" ht="15.75">
      <c r="A31" s="96">
        <v>12</v>
      </c>
      <c r="B31">
        <v>1391</v>
      </c>
      <c r="C31">
        <f>+AVERAGE(B20:B31)</f>
        <v>570.91666666666663</v>
      </c>
      <c r="D31">
        <v>0</v>
      </c>
      <c r="E31">
        <f>+B31/AVERAGE($B$20:$B$31)</f>
        <v>2.4364326375711576</v>
      </c>
      <c r="H31" s="97"/>
    </row>
    <row r="32" spans="1:20" ht="15.75">
      <c r="A32" s="96">
        <v>13</v>
      </c>
      <c r="B32">
        <v>263</v>
      </c>
      <c r="C32">
        <f>+$E$2*B31/E20+(1-$E$2)*C31+D31</f>
        <v>993.76517040731483</v>
      </c>
      <c r="D32">
        <f>+$F$2*(C32-C31)+(1-$F$2)*D31</f>
        <v>42.284850374064824</v>
      </c>
      <c r="E32">
        <f>+$G$2*B32/C32+(1-$G$2)*E20</f>
        <v>0.61483338136067822</v>
      </c>
      <c r="F32">
        <f>+(C32+D32)*E20</f>
        <v>727.69999999999982</v>
      </c>
      <c r="G32">
        <f>+B32-F32</f>
        <v>-464.69999999999982</v>
      </c>
      <c r="H32" s="148">
        <f>+ABS(G32)/B32</f>
        <v>1.7669201520912541</v>
      </c>
    </row>
    <row r="33" spans="1:8" ht="15.75">
      <c r="A33" s="96">
        <v>14</v>
      </c>
      <c r="B33">
        <v>289</v>
      </c>
      <c r="C33">
        <f>+$E$2*B32/E21+(1-$E$2)*(C32+D32)</f>
        <v>839.27381201532012</v>
      </c>
      <c r="D33">
        <f t="shared" ref="D33:D55" si="4">+$F$2*(C33-C32)+(1-$F$2)*D32</f>
        <v>22.607229497458874</v>
      </c>
      <c r="E33">
        <f t="shared" ref="E33:E55" si="5">+$G$2*B33/C33+(1-$G$2)*E21</f>
        <v>0.62236490179141635</v>
      </c>
      <c r="F33">
        <f>+(C33+D33)*E21</f>
        <v>596.30946384039885</v>
      </c>
      <c r="G33">
        <f t="shared" ref="G33:G55" si="6">+B33-F33</f>
        <v>-307.30946384039885</v>
      </c>
      <c r="H33" s="148">
        <f t="shared" ref="H33:H55" si="7">+ABS(G33)/B33</f>
        <v>1.0633545461605496</v>
      </c>
    </row>
    <row r="34" spans="1:8" ht="15.75">
      <c r="A34" s="96">
        <v>15</v>
      </c>
      <c r="B34">
        <v>337</v>
      </c>
      <c r="C34">
        <f t="shared" ref="C34:C55" si="8">+$E$2*B33/E22+(1-$E$2)*(C33+D33)</f>
        <v>713.06944524519804</v>
      </c>
      <c r="D34">
        <f t="shared" si="4"/>
        <v>7.7260698707007798</v>
      </c>
      <c r="E34">
        <f t="shared" si="5"/>
        <v>0.72648708439439735</v>
      </c>
      <c r="F34">
        <f t="shared" ref="F33:F55" si="9">+(C34+D34)*E22</f>
        <v>569.39794596515026</v>
      </c>
      <c r="G34">
        <f t="shared" si="6"/>
        <v>-232.39794596515026</v>
      </c>
      <c r="H34" s="148">
        <f t="shared" si="7"/>
        <v>0.68960814826454087</v>
      </c>
    </row>
    <row r="35" spans="1:8" ht="15.75">
      <c r="A35" s="96">
        <v>16</v>
      </c>
      <c r="B35">
        <v>374</v>
      </c>
      <c r="C35">
        <f t="shared" si="8"/>
        <v>639.73174348511043</v>
      </c>
      <c r="D35">
        <f t="shared" si="4"/>
        <v>-0.38030729237805971</v>
      </c>
      <c r="E35">
        <f t="shared" si="5"/>
        <v>0.71526001813405449</v>
      </c>
      <c r="F35">
        <f t="shared" si="9"/>
        <v>478.1837336230567</v>
      </c>
      <c r="G35">
        <f t="shared" si="6"/>
        <v>-104.1837336230567</v>
      </c>
      <c r="H35" s="148">
        <f t="shared" si="7"/>
        <v>0.27856613268196978</v>
      </c>
    </row>
    <row r="36" spans="1:8" ht="15.75">
      <c r="A36" s="96">
        <v>17</v>
      </c>
      <c r="B36">
        <v>292</v>
      </c>
      <c r="C36">
        <f t="shared" si="8"/>
        <v>576.69288033491262</v>
      </c>
      <c r="D36">
        <f t="shared" si="4"/>
        <v>-6.6461628781600348</v>
      </c>
      <c r="E36">
        <f t="shared" si="5"/>
        <v>0.79628969741452449</v>
      </c>
      <c r="F36">
        <f t="shared" si="9"/>
        <v>495.24420702125116</v>
      </c>
      <c r="G36">
        <f t="shared" si="6"/>
        <v>-203.24420702125116</v>
      </c>
      <c r="H36" s="148">
        <f t="shared" si="7"/>
        <v>0.6960418048672985</v>
      </c>
    </row>
    <row r="37" spans="1:8" ht="15.75">
      <c r="A37" s="96">
        <v>18</v>
      </c>
      <c r="B37">
        <v>398</v>
      </c>
      <c r="C37">
        <f t="shared" si="8"/>
        <v>506.12542170580815</v>
      </c>
      <c r="D37">
        <f t="shared" si="4"/>
        <v>-13.038292453254478</v>
      </c>
      <c r="E37">
        <f t="shared" si="5"/>
        <v>0.81165949078849786</v>
      </c>
      <c r="F37">
        <f t="shared" si="9"/>
        <v>403.33677891275886</v>
      </c>
      <c r="G37">
        <f t="shared" si="6"/>
        <v>-5.3367789127588594</v>
      </c>
      <c r="H37" s="148">
        <f t="shared" si="7"/>
        <v>1.3408992243112712E-2</v>
      </c>
    </row>
    <row r="38" spans="1:8" ht="15.75">
      <c r="A38" s="96">
        <v>19</v>
      </c>
      <c r="B38">
        <v>421</v>
      </c>
      <c r="C38">
        <f t="shared" si="8"/>
        <v>538.81851888587846</v>
      </c>
      <c r="D38">
        <f t="shared" si="4"/>
        <v>-8.4651534899219989</v>
      </c>
      <c r="E38">
        <f t="shared" si="5"/>
        <v>0.64950969118392221</v>
      </c>
      <c r="F38">
        <f t="shared" si="9"/>
        <v>326.99060216501533</v>
      </c>
      <c r="G38">
        <f t="shared" si="6"/>
        <v>94.009397834984668</v>
      </c>
      <c r="H38" s="148">
        <f t="shared" si="7"/>
        <v>0.22330023238713698</v>
      </c>
    </row>
    <row r="39" spans="1:8" ht="15.75">
      <c r="A39" s="96">
        <v>20</v>
      </c>
      <c r="B39">
        <v>173</v>
      </c>
      <c r="C39">
        <f t="shared" si="8"/>
        <v>767.43842720574094</v>
      </c>
      <c r="D39">
        <f t="shared" si="4"/>
        <v>15.243352691056447</v>
      </c>
      <c r="E39">
        <f t="shared" si="5"/>
        <v>0.30011351317728013</v>
      </c>
      <c r="F39">
        <f t="shared" si="9"/>
        <v>249.50766417962421</v>
      </c>
      <c r="G39">
        <f t="shared" si="6"/>
        <v>-76.507664179624214</v>
      </c>
      <c r="H39" s="148">
        <f t="shared" si="7"/>
        <v>0.44224083340823245</v>
      </c>
    </row>
    <row r="40" spans="1:8" ht="15.75">
      <c r="A40" s="96">
        <v>21</v>
      </c>
      <c r="B40">
        <v>522</v>
      </c>
      <c r="C40">
        <f t="shared" si="8"/>
        <v>604.64079956760486</v>
      </c>
      <c r="D40">
        <f t="shared" si="4"/>
        <v>-2.5607453418628054</v>
      </c>
      <c r="E40">
        <f t="shared" si="5"/>
        <v>0.9041197597944145</v>
      </c>
      <c r="F40">
        <f t="shared" si="9"/>
        <v>550.4932797650049</v>
      </c>
      <c r="G40">
        <f t="shared" si="6"/>
        <v>-28.4932797650049</v>
      </c>
      <c r="H40" s="148">
        <f t="shared" si="7"/>
        <v>5.4584827136024715E-2</v>
      </c>
    </row>
    <row r="41" spans="1:8" ht="15.75">
      <c r="A41" s="96">
        <v>22</v>
      </c>
      <c r="B41">
        <v>642</v>
      </c>
      <c r="C41">
        <f t="shared" si="8"/>
        <v>551.59512092745172</v>
      </c>
      <c r="D41">
        <f t="shared" si="4"/>
        <v>-7.6092386716918394</v>
      </c>
      <c r="E41">
        <f t="shared" si="5"/>
        <v>1.1954418189686973</v>
      </c>
      <c r="F41">
        <f t="shared" si="9"/>
        <v>654.59343355955116</v>
      </c>
      <c r="G41">
        <f t="shared" si="6"/>
        <v>-12.593433559551158</v>
      </c>
      <c r="H41" s="148">
        <f t="shared" si="7"/>
        <v>1.9615940123911463E-2</v>
      </c>
    </row>
    <row r="42" spans="1:8" ht="15.75">
      <c r="A42" s="96">
        <v>23</v>
      </c>
      <c r="B42">
        <v>984</v>
      </c>
      <c r="C42">
        <f t="shared" si="8"/>
        <v>482.60358980125409</v>
      </c>
      <c r="D42">
        <f t="shared" si="4"/>
        <v>-13.747467917142419</v>
      </c>
      <c r="E42">
        <f t="shared" si="5"/>
        <v>1.9211438125501281</v>
      </c>
      <c r="F42">
        <f t="shared" si="9"/>
        <v>886.93261416115718</v>
      </c>
      <c r="G42">
        <f t="shared" si="6"/>
        <v>97.067385838842824</v>
      </c>
      <c r="H42" s="148">
        <f t="shared" si="7"/>
        <v>9.8645717315897177E-2</v>
      </c>
    </row>
    <row r="43" spans="1:8" ht="15.75">
      <c r="A43" s="96">
        <v>24</v>
      </c>
      <c r="B43">
        <v>1307</v>
      </c>
      <c r="C43">
        <f t="shared" si="8"/>
        <v>449.36003298242952</v>
      </c>
      <c r="D43">
        <f t="shared" si="4"/>
        <v>-15.697076807310635</v>
      </c>
      <c r="E43">
        <f t="shared" si="5"/>
        <v>2.5308622859817689</v>
      </c>
      <c r="F43">
        <f t="shared" si="9"/>
        <v>1056.5905801306503</v>
      </c>
      <c r="G43">
        <f t="shared" si="6"/>
        <v>250.40941986934968</v>
      </c>
      <c r="H43" s="148">
        <f t="shared" si="7"/>
        <v>0.19159098689315202</v>
      </c>
    </row>
    <row r="44" spans="1:8" ht="15.75">
      <c r="A44" s="96">
        <v>25</v>
      </c>
      <c r="B44">
        <v>393</v>
      </c>
      <c r="C44">
        <f t="shared" si="8"/>
        <v>941.29782270508417</v>
      </c>
      <c r="D44">
        <f t="shared" si="4"/>
        <v>35.066409845685897</v>
      </c>
      <c r="E44">
        <f t="shared" si="5"/>
        <v>0.57536843865690546</v>
      </c>
      <c r="F44">
        <f t="shared" si="9"/>
        <v>600.30132253881357</v>
      </c>
      <c r="G44">
        <f t="shared" si="6"/>
        <v>-207.30132253881357</v>
      </c>
      <c r="H44" s="148">
        <f t="shared" si="7"/>
        <v>0.52748428126924574</v>
      </c>
    </row>
    <row r="45" spans="1:8" ht="15.75">
      <c r="A45" s="96">
        <v>26</v>
      </c>
      <c r="B45">
        <v>316</v>
      </c>
      <c r="C45">
        <f t="shared" si="8"/>
        <v>872.89366612603328</v>
      </c>
      <c r="D45">
        <f t="shared" si="4"/>
        <v>24.719353203212219</v>
      </c>
      <c r="E45">
        <f t="shared" si="5"/>
        <v>0.57029478383501797</v>
      </c>
      <c r="F45">
        <f t="shared" si="9"/>
        <v>558.64283862154264</v>
      </c>
      <c r="G45">
        <f t="shared" si="6"/>
        <v>-242.64283862154264</v>
      </c>
      <c r="H45" s="148">
        <f t="shared" si="7"/>
        <v>0.76785708424538812</v>
      </c>
    </row>
    <row r="46" spans="1:8" ht="15.75">
      <c r="A46" s="96">
        <v>27</v>
      </c>
      <c r="B46">
        <v>428</v>
      </c>
      <c r="C46">
        <f t="shared" si="8"/>
        <v>758.82007756326755</v>
      </c>
      <c r="D46">
        <f t="shared" si="4"/>
        <v>10.840059026614423</v>
      </c>
      <c r="E46">
        <f t="shared" si="5"/>
        <v>0.69399638221774329</v>
      </c>
      <c r="F46">
        <f t="shared" si="9"/>
        <v>559.14814860577701</v>
      </c>
      <c r="G46">
        <f t="shared" si="6"/>
        <v>-131.14814860577701</v>
      </c>
      <c r="H46" s="148">
        <f t="shared" si="7"/>
        <v>0.30642090795742294</v>
      </c>
    </row>
    <row r="47" spans="1:8" ht="15.75">
      <c r="A47" s="96">
        <v>28</v>
      </c>
      <c r="B47">
        <v>467</v>
      </c>
      <c r="C47">
        <f t="shared" si="8"/>
        <v>718.27723240885553</v>
      </c>
      <c r="D47">
        <f t="shared" si="4"/>
        <v>5.7017686085117782</v>
      </c>
      <c r="E47">
        <f t="shared" si="5"/>
        <v>0.70224137180407509</v>
      </c>
      <c r="F47">
        <f t="shared" si="9"/>
        <v>517.83323339635683</v>
      </c>
      <c r="G47">
        <f t="shared" si="6"/>
        <v>-50.833233396356832</v>
      </c>
      <c r="H47" s="148">
        <f t="shared" si="7"/>
        <v>0.10885060684444718</v>
      </c>
    </row>
    <row r="48" spans="1:8" ht="15.75">
      <c r="A48" s="96">
        <v>29</v>
      </c>
      <c r="B48">
        <v>501</v>
      </c>
      <c r="C48">
        <f t="shared" si="8"/>
        <v>682.72629361322197</v>
      </c>
      <c r="D48">
        <f t="shared" si="4"/>
        <v>1.5764978680972446</v>
      </c>
      <c r="E48">
        <f t="shared" si="5"/>
        <v>0.78379628265749068</v>
      </c>
      <c r="F48">
        <f t="shared" si="9"/>
        <v>544.90326276857411</v>
      </c>
      <c r="G48">
        <f t="shared" si="6"/>
        <v>-43.903262768574109</v>
      </c>
      <c r="H48" s="148">
        <f t="shared" si="7"/>
        <v>8.7631263011125962E-2</v>
      </c>
    </row>
    <row r="49" spans="1:8" ht="15.75">
      <c r="A49" s="96">
        <v>30</v>
      </c>
      <c r="B49">
        <v>487</v>
      </c>
      <c r="C49">
        <f t="shared" si="8"/>
        <v>664.18812915192018</v>
      </c>
      <c r="D49">
        <f t="shared" si="4"/>
        <v>-0.43496836484265899</v>
      </c>
      <c r="E49">
        <f t="shared" si="5"/>
        <v>0.79597279106932928</v>
      </c>
      <c r="F49">
        <f t="shared" si="9"/>
        <v>538.74155249369528</v>
      </c>
      <c r="G49">
        <f t="shared" si="6"/>
        <v>-51.741552493695281</v>
      </c>
      <c r="H49" s="148">
        <f t="shared" si="7"/>
        <v>0.10624548766672542</v>
      </c>
    </row>
    <row r="50" spans="1:8" ht="15.75">
      <c r="A50" s="96">
        <v>31</v>
      </c>
      <c r="B50">
        <v>463</v>
      </c>
      <c r="C50">
        <f t="shared" si="8"/>
        <v>689.56611951890079</v>
      </c>
      <c r="D50">
        <f t="shared" si="4"/>
        <v>2.146327508339668</v>
      </c>
      <c r="E50">
        <f t="shared" si="5"/>
        <v>0.65389509302789106</v>
      </c>
      <c r="F50">
        <f t="shared" si="9"/>
        <v>449.27393785673814</v>
      </c>
      <c r="G50">
        <f t="shared" si="6"/>
        <v>13.726062143261856</v>
      </c>
      <c r="H50" s="148">
        <f t="shared" si="7"/>
        <v>2.964592255564116E-2</v>
      </c>
    </row>
    <row r="51" spans="1:8" ht="15.75">
      <c r="A51" s="96">
        <v>32</v>
      </c>
      <c r="B51">
        <v>165</v>
      </c>
      <c r="C51">
        <f t="shared" si="8"/>
        <v>947.02359051113581</v>
      </c>
      <c r="D51">
        <f t="shared" si="4"/>
        <v>27.677441856729207</v>
      </c>
      <c r="E51">
        <f t="shared" si="5"/>
        <v>0.2749368273999564</v>
      </c>
      <c r="F51">
        <f t="shared" si="9"/>
        <v>292.52095112144178</v>
      </c>
      <c r="G51">
        <f t="shared" si="6"/>
        <v>-127.52095112144178</v>
      </c>
      <c r="H51" s="148">
        <f t="shared" si="7"/>
        <v>0.77285424922085932</v>
      </c>
    </row>
    <row r="52" spans="1:8" ht="15.75">
      <c r="A52" s="96">
        <v>33</v>
      </c>
      <c r="B52">
        <v>595</v>
      </c>
      <c r="C52">
        <f t="shared" si="8"/>
        <v>737.04010675597442</v>
      </c>
      <c r="D52">
        <f t="shared" si="4"/>
        <v>3.9113492955401448</v>
      </c>
      <c r="E52">
        <f t="shared" si="5"/>
        <v>0.88475242180972824</v>
      </c>
      <c r="F52">
        <f t="shared" si="9"/>
        <v>669.90885246461698</v>
      </c>
      <c r="G52">
        <f t="shared" si="6"/>
        <v>-74.908852464616984</v>
      </c>
      <c r="H52" s="148">
        <f t="shared" si="7"/>
        <v>0.12589723103296971</v>
      </c>
    </row>
    <row r="53" spans="1:8" ht="15.75">
      <c r="A53" s="96">
        <v>34</v>
      </c>
      <c r="B53">
        <v>698</v>
      </c>
      <c r="C53">
        <f t="shared" si="8"/>
        <v>667.98319817998504</v>
      </c>
      <c r="D53">
        <f t="shared" si="4"/>
        <v>-3.3854764916128079</v>
      </c>
      <c r="E53">
        <f t="shared" si="5"/>
        <v>1.1653407476403372</v>
      </c>
      <c r="F53">
        <f t="shared" si="9"/>
        <v>794.48790929759969</v>
      </c>
      <c r="G53">
        <f t="shared" si="6"/>
        <v>-96.487909297599685</v>
      </c>
      <c r="H53" s="148">
        <f t="shared" si="7"/>
        <v>0.13823482707392504</v>
      </c>
    </row>
    <row r="54" spans="1:8" ht="15.75">
      <c r="A54" s="96">
        <v>35</v>
      </c>
      <c r="B54">
        <v>1012</v>
      </c>
      <c r="C54">
        <f t="shared" si="8"/>
        <v>574.21597144007944</v>
      </c>
      <c r="D54">
        <f t="shared" si="4"/>
        <v>-12.423651516442087</v>
      </c>
      <c r="E54">
        <f t="shared" si="5"/>
        <v>1.8893956672064971</v>
      </c>
      <c r="F54">
        <f t="shared" si="9"/>
        <v>1079.283839359478</v>
      </c>
      <c r="G54">
        <f t="shared" si="6"/>
        <v>-67.283839359477952</v>
      </c>
      <c r="H54" s="148">
        <f t="shared" si="7"/>
        <v>6.648600727221142E-2</v>
      </c>
    </row>
    <row r="55" spans="1:8" ht="15.75">
      <c r="A55" s="96">
        <v>36</v>
      </c>
      <c r="B55">
        <v>1380</v>
      </c>
      <c r="C55">
        <f t="shared" si="8"/>
        <v>513.21373894131079</v>
      </c>
      <c r="D55">
        <f>+$F$2*(C55-C54)+(1-$F$2)*D54</f>
        <v>-17.281509614674746</v>
      </c>
      <c r="E55">
        <f t="shared" si="5"/>
        <v>2.5624774581059979</v>
      </c>
      <c r="F55">
        <f t="shared" si="9"/>
        <v>1255.1361756056449</v>
      </c>
      <c r="G55">
        <f t="shared" si="6"/>
        <v>124.86382439435511</v>
      </c>
      <c r="H55" s="148">
        <f t="shared" si="7"/>
        <v>9.0481032169822534E-2</v>
      </c>
    </row>
    <row r="56" spans="1:8" ht="15.75">
      <c r="A56" s="149">
        <v>37</v>
      </c>
      <c r="F56" s="5">
        <f>+($C$55+(A20+1)*$D$55)*E44</f>
        <v>275.40051726267524</v>
      </c>
      <c r="H56" s="148"/>
    </row>
    <row r="57" spans="1:8" ht="15.75">
      <c r="A57" s="149">
        <v>38</v>
      </c>
      <c r="F57" s="5">
        <f>+($C$55+(A21+1)*$D$55)*E45</f>
        <v>263.11645394056501</v>
      </c>
      <c r="H57" s="148"/>
    </row>
    <row r="58" spans="1:8" ht="15.75">
      <c r="A58" s="149">
        <v>39</v>
      </c>
      <c r="F58" s="5">
        <f>+($C$55+(A22+1)*$D$55)*E46</f>
        <v>308.19525752232937</v>
      </c>
      <c r="H58" s="148"/>
    </row>
    <row r="59" spans="1:8" ht="15.75">
      <c r="A59" s="149">
        <v>40</v>
      </c>
      <c r="F59" s="5">
        <f>+($C$55+(A23+1)*$D$55)*E47</f>
        <v>299.72096496957204</v>
      </c>
      <c r="H59" s="148"/>
    </row>
    <row r="60" spans="1:8" ht="15.75">
      <c r="A60" s="149">
        <v>41</v>
      </c>
      <c r="F60" s="5">
        <f>+($C$55+(A24+1)*$D$55)*E48</f>
        <v>320.98392282280076</v>
      </c>
      <c r="H60" s="148"/>
    </row>
    <row r="61" spans="1:8" ht="15.75">
      <c r="A61" s="149">
        <v>42</v>
      </c>
      <c r="F61" s="5">
        <f>+($C$55+(A25+1)*$D$55)*E49</f>
        <v>312.21489210705255</v>
      </c>
      <c r="H61" s="148"/>
    </row>
    <row r="62" spans="1:8" ht="15.75">
      <c r="A62" s="149">
        <v>43</v>
      </c>
      <c r="F62" s="5">
        <f>+($C$55+(A26+1)*$D$55)*E50</f>
        <v>245.18559087101912</v>
      </c>
      <c r="H62" s="148"/>
    </row>
    <row r="63" spans="1:8" ht="15.75">
      <c r="A63" s="149">
        <v>44</v>
      </c>
      <c r="F63" s="5">
        <f>+($C$55+(A27+1)*$D$55)*E51</f>
        <v>98.339446327328787</v>
      </c>
      <c r="H63" s="148"/>
    </row>
    <row r="64" spans="1:8" ht="15.75">
      <c r="A64" s="149">
        <v>45</v>
      </c>
      <c r="F64" s="5">
        <f>+($C$55+(A28+1)*$D$55)*E52</f>
        <v>301.16852359323451</v>
      </c>
      <c r="H64" s="148"/>
    </row>
    <row r="65" spans="1:8" ht="15.75">
      <c r="A65" s="149">
        <v>46</v>
      </c>
      <c r="F65" s="5">
        <f>+($C$55+(A29+1)*$D$55)*E53</f>
        <v>376.54156155525379</v>
      </c>
      <c r="H65" s="148"/>
    </row>
    <row r="66" spans="1:8" ht="15.75">
      <c r="A66" s="149">
        <v>47</v>
      </c>
      <c r="F66" s="5">
        <f>+($C$55+(A30+1)*$D$55)*E54</f>
        <v>577.84450204151233</v>
      </c>
      <c r="H66" s="148"/>
    </row>
    <row r="67" spans="1:8" ht="15.75">
      <c r="A67" s="150">
        <v>48</v>
      </c>
      <c r="B67" s="99"/>
      <c r="C67" s="99"/>
      <c r="D67" s="99"/>
      <c r="E67" s="99"/>
      <c r="F67" s="151">
        <f>+($C$55+(A31+1)*$D$55)*E55</f>
        <v>739.41341244200589</v>
      </c>
      <c r="G67" s="99"/>
      <c r="H67" s="152"/>
    </row>
    <row r="68" spans="1:8" ht="15.7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VILLEGASURAN FELIPE</dc:creator>
  <cp:keywords/>
  <dc:description/>
  <cp:lastModifiedBy/>
  <cp:revision/>
  <dcterms:created xsi:type="dcterms:W3CDTF">2024-02-26T08:35:04Z</dcterms:created>
  <dcterms:modified xsi:type="dcterms:W3CDTF">2024-02-28T17:29:52Z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2024-02-26T13:23:15Z</vt:lpwstr>
  </property>
  <property fmtid="{D5CDD505-2E9C-101B-9397-08002B2CF9AE}" pid="4" name="MSIP_Label_e17f3165-8a52-429a-ab2a-1fd572a4c07f_Method">
    <vt:lpwstr>Privileged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494b9539-e2aa-4515-aeb6-ae14b6d10b1f</vt:lpwstr>
  </property>
  <property fmtid="{D5CDD505-2E9C-101B-9397-08002B2CF9AE}" pid="8" name="MSIP_Label_e17f3165-8a52-429a-ab2a-1fd572a4c07f_ContentBits">
    <vt:lpwstr>0</vt:lpwstr>
  </property>
</Properties>
</file>